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20490" windowHeight="6255" firstSheet="1" activeTab="1"/>
  </bookViews>
  <sheets>
    <sheet name="PR JAN 2021" sheetId="1" state="hidden" r:id="rId1"/>
    <sheet name="Sheet1" sheetId="2" r:id="rId2"/>
    <sheet name="Outstanding Shrimp" sheetId="3" state="hidden" r:id="rId3"/>
    <sheet name="Sheet2" sheetId="4" state="hidden" r:id="rId4"/>
  </sheets>
  <calcPr calcId="144525"/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4" i="2"/>
  <c r="R4" i="2"/>
  <c r="R5" i="2"/>
  <c r="R6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Q19" i="2"/>
  <c r="Q20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E5" i="2"/>
  <c r="E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4" i="2"/>
  <c r="F8" i="4" l="1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F20" i="4" l="1"/>
  <c r="F16" i="4"/>
  <c r="F11" i="4"/>
  <c r="F9" i="4"/>
  <c r="F4" i="4"/>
  <c r="F3" i="4"/>
  <c r="U21" i="1" l="1"/>
  <c r="V144" i="1" l="1"/>
  <c r="V133" i="1"/>
  <c r="V134" i="1"/>
  <c r="V126" i="1"/>
  <c r="V125" i="1"/>
  <c r="V122" i="1"/>
  <c r="V130" i="1"/>
  <c r="V124" i="1"/>
  <c r="V119" i="1"/>
  <c r="V128" i="1"/>
  <c r="V131" i="1"/>
  <c r="V140" i="1"/>
  <c r="V120" i="1"/>
  <c r="V137" i="1"/>
  <c r="V121" i="1"/>
  <c r="V127" i="1"/>
  <c r="V132" i="1"/>
  <c r="V123" i="1"/>
  <c r="V136" i="1"/>
  <c r="U130" i="1"/>
  <c r="U123" i="1"/>
  <c r="U136" i="1"/>
  <c r="U134" i="1"/>
  <c r="U126" i="1"/>
  <c r="U125" i="1"/>
  <c r="U135" i="1"/>
  <c r="U127" i="1"/>
  <c r="U119" i="1"/>
  <c r="U132" i="1"/>
  <c r="U118" i="1"/>
  <c r="U131" i="1"/>
  <c r="U124" i="1"/>
  <c r="U133" i="1"/>
  <c r="U140" i="1"/>
  <c r="U129" i="1"/>
  <c r="U128" i="1"/>
  <c r="N159" i="1" l="1"/>
  <c r="T9" i="1"/>
  <c r="H209" i="1"/>
  <c r="S29" i="1"/>
  <c r="S17" i="1"/>
  <c r="S27" i="1"/>
  <c r="S4" i="1"/>
  <c r="G136" i="1"/>
  <c r="H208" i="1"/>
  <c r="S148" i="1"/>
  <c r="S177" i="1"/>
  <c r="S139" i="1"/>
  <c r="H136" i="1"/>
  <c r="S134" i="1"/>
  <c r="S126" i="1"/>
  <c r="S125" i="1"/>
  <c r="S119" i="1"/>
  <c r="S133" i="1"/>
  <c r="S132" i="1"/>
  <c r="S121" i="1"/>
  <c r="S122" i="1"/>
  <c r="S130" i="1"/>
  <c r="S135" i="1"/>
  <c r="S127" i="1"/>
  <c r="S118" i="1"/>
  <c r="S140" i="1"/>
  <c r="S124" i="1"/>
  <c r="S137" i="1"/>
  <c r="S131" i="1"/>
  <c r="S154" i="1"/>
  <c r="S146" i="1"/>
  <c r="S128" i="1"/>
  <c r="S123" i="1"/>
  <c r="S156" i="1"/>
  <c r="S147" i="1"/>
  <c r="L169" i="1" l="1"/>
  <c r="H207" i="1" l="1"/>
  <c r="H206" i="1"/>
  <c r="G140" i="1"/>
  <c r="G139" i="1"/>
  <c r="G138" i="1"/>
  <c r="G137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Q160" i="1"/>
  <c r="Q132" i="1"/>
  <c r="H205" i="1" l="1"/>
  <c r="P138" i="1"/>
  <c r="P121" i="1"/>
  <c r="H204" i="1"/>
  <c r="H203" i="1"/>
  <c r="P140" i="1"/>
  <c r="P134" i="1"/>
  <c r="P126" i="1"/>
  <c r="P125" i="1"/>
  <c r="P119" i="1"/>
  <c r="P118" i="1"/>
  <c r="P130" i="1"/>
  <c r="P139" i="1"/>
  <c r="P135" i="1"/>
  <c r="P133" i="1"/>
  <c r="P137" i="1"/>
  <c r="P124" i="1"/>
  <c r="P131" i="1"/>
  <c r="P122" i="1"/>
  <c r="P147" i="1"/>
  <c r="P143" i="1"/>
  <c r="O139" i="1" l="1"/>
  <c r="O151" i="1"/>
  <c r="H202" i="1"/>
  <c r="O134" i="1"/>
  <c r="O126" i="1"/>
  <c r="O125" i="1"/>
  <c r="O138" i="1"/>
  <c r="O119" i="1"/>
  <c r="O121" i="1"/>
  <c r="O122" i="1"/>
  <c r="O130" i="1"/>
  <c r="O137" i="1"/>
  <c r="O131" i="1"/>
  <c r="O118" i="1"/>
  <c r="O140" i="1"/>
  <c r="O123" i="1"/>
  <c r="O133" i="1"/>
  <c r="O132" i="1"/>
  <c r="H200" i="1"/>
  <c r="H201" i="1"/>
  <c r="N153" i="1" l="1"/>
  <c r="N121" i="1"/>
  <c r="N139" i="1"/>
  <c r="N134" i="1"/>
  <c r="N125" i="1"/>
  <c r="N138" i="1"/>
  <c r="N119" i="1"/>
  <c r="N129" i="1"/>
  <c r="N128" i="1"/>
  <c r="N130" i="1"/>
  <c r="N118" i="1"/>
  <c r="H171" i="1" l="1"/>
  <c r="H172" i="1"/>
  <c r="H174" i="1"/>
  <c r="H175" i="1"/>
  <c r="H176" i="1"/>
  <c r="H178" i="1"/>
  <c r="H179" i="1"/>
  <c r="H180" i="1"/>
  <c r="H183" i="1"/>
  <c r="H184" i="1"/>
  <c r="H187" i="1"/>
  <c r="H188" i="1"/>
  <c r="H191" i="1"/>
  <c r="H192" i="1"/>
  <c r="H195" i="1"/>
  <c r="H196" i="1"/>
  <c r="H199" i="1"/>
  <c r="H181" i="1"/>
  <c r="H182" i="1"/>
  <c r="H185" i="1"/>
  <c r="H186" i="1"/>
  <c r="H189" i="1"/>
  <c r="H190" i="1"/>
  <c r="H193" i="1"/>
  <c r="H194" i="1"/>
  <c r="H197" i="1"/>
  <c r="H198" i="1"/>
  <c r="H173" i="1"/>
  <c r="H177" i="1"/>
  <c r="H155" i="1" l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41" i="1"/>
  <c r="H142" i="1"/>
  <c r="H143" i="1"/>
  <c r="H144" i="1"/>
  <c r="E7" i="2" s="1"/>
  <c r="H145" i="1"/>
  <c r="H146" i="1"/>
  <c r="H147" i="1"/>
  <c r="H148" i="1"/>
  <c r="H149" i="1"/>
  <c r="H150" i="1"/>
  <c r="H151" i="1"/>
  <c r="H152" i="1"/>
  <c r="H153" i="1"/>
  <c r="H154" i="1"/>
  <c r="H118" i="1" l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7" i="1"/>
  <c r="H138" i="1"/>
  <c r="H139" i="1"/>
  <c r="H140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4" i="1"/>
</calcChain>
</file>

<file path=xl/sharedStrings.xml><?xml version="1.0" encoding="utf-8"?>
<sst xmlns="http://schemas.openxmlformats.org/spreadsheetml/2006/main" count="977" uniqueCount="258">
  <si>
    <t>No.</t>
  </si>
  <si>
    <t>Nama Barang</t>
  </si>
  <si>
    <t>Qty Request</t>
  </si>
  <si>
    <t>Satuan</t>
  </si>
  <si>
    <t>Air Mineral 24 botol , 330 ml</t>
  </si>
  <si>
    <t>Dus</t>
  </si>
  <si>
    <t>Beras 25 Kg</t>
  </si>
  <si>
    <t>Karung</t>
  </si>
  <si>
    <t>Bihun AAA 18 pak , 450 Gram</t>
  </si>
  <si>
    <t>Pack</t>
  </si>
  <si>
    <t>Biji Wijen 1 Kg</t>
  </si>
  <si>
    <t>Kg</t>
  </si>
  <si>
    <t>Buah Lychee, 1 Can 510 Gr</t>
  </si>
  <si>
    <t>Can</t>
  </si>
  <si>
    <t>Cabe Bubuk 1 Kg</t>
  </si>
  <si>
    <t>Chicken Powder 1 Kg</t>
  </si>
  <si>
    <t>Dcost chili pillow</t>
  </si>
  <si>
    <t>Garam Halus 10 Pack,500 gram</t>
  </si>
  <si>
    <t>Health Today Green Tea 50 Pcs</t>
  </si>
  <si>
    <t>Jamur Kuping 1 Kg</t>
  </si>
  <si>
    <t>Kecap Asin ABC @ 620 ml</t>
  </si>
  <si>
    <t>Botol</t>
  </si>
  <si>
    <t>Kecap Manis ABC 25 Kg</t>
  </si>
  <si>
    <t>Jerigen</t>
  </si>
  <si>
    <t>Kecap Manis Bango 6.2 Kg</t>
  </si>
  <si>
    <t>Keju Chedar 165 gram</t>
  </si>
  <si>
    <t>Lada Putih Halus 1 Kg</t>
  </si>
  <si>
    <t>Lemontea Nestea 1 Kg</t>
  </si>
  <si>
    <t>Lychee Syrup 500 Ml</t>
  </si>
  <si>
    <t>Maggi Chicken Powder 1 Pack 1 Kg</t>
  </si>
  <si>
    <t>Mayonnaise Cimory 1 Kg</t>
  </si>
  <si>
    <t>Mentega BlueBand 4.5 kg</t>
  </si>
  <si>
    <t>Mie Kering Atom Bulan 20 pak, 200 gram</t>
  </si>
  <si>
    <t>Milo 120 sachet, 35 gram</t>
  </si>
  <si>
    <t>Minyak Goreng 1 dus 18 Liter</t>
  </si>
  <si>
    <t>Minyak Wijen Ghee Hyang 700 ml ( 620 gr )</t>
  </si>
  <si>
    <t>MSG Ajinomoto 1 Kg</t>
  </si>
  <si>
    <t>Oyster Saus Panda 2,2 Kg</t>
  </si>
  <si>
    <t>Santan Kara 200 Ml</t>
  </si>
  <si>
    <t>Susu Cair UHT 1 Ltr</t>
  </si>
  <si>
    <t>Susu Cair UHT 200 ml</t>
  </si>
  <si>
    <t>Susu Kental Manis Frisian Flag Coklat 385 gram</t>
  </si>
  <si>
    <t>Susu Kental Manis Frisian Flag Gold 385 Gram</t>
  </si>
  <si>
    <t>Teh Cap Poci Gold 10 Pack, 10 buah</t>
  </si>
  <si>
    <t>Tepung Pisang Goreng 1kg</t>
  </si>
  <si>
    <t>Tepung Serbaguna Dcost 1 Kg</t>
  </si>
  <si>
    <t>Tepung Tapioka Sagu Tani 20 pak , 500 gram</t>
  </si>
  <si>
    <t>Terasi Kuda Laut 1 Kg</t>
  </si>
  <si>
    <t>SENLOG</t>
  </si>
  <si>
    <t>Entitas</t>
  </si>
  <si>
    <t>No.PR</t>
  </si>
  <si>
    <t>2020/RQ/SENLOGPB/XII/524</t>
  </si>
  <si>
    <t>Bawang Merah Bubuk 1 Kg</t>
  </si>
  <si>
    <t>Bawang Putih Bubuk, 1 Kg</t>
  </si>
  <si>
    <t>Beef Powder 1 Kg</t>
  </si>
  <si>
    <t>Butter Unsalted 25kg</t>
  </si>
  <si>
    <t>Ebi Kering ( utuh )</t>
  </si>
  <si>
    <t>Gula Halus Clariss 250 Gram</t>
  </si>
  <si>
    <t>Gula Merah</t>
  </si>
  <si>
    <t>Kecap Inggris Harum Sedap 620 ml</t>
  </si>
  <si>
    <t>Lada Hitam Biji</t>
  </si>
  <si>
    <t>Lime Powder 1 Pack 400 g</t>
  </si>
  <si>
    <t>Madu Cair 5Kg</t>
  </si>
  <si>
    <t>Jrg</t>
  </si>
  <si>
    <t>Santan Kara 1 L</t>
  </si>
  <si>
    <t>Saus Sambal Abc 5.7 Kg</t>
  </si>
  <si>
    <t>Saus Tomat Abc 5.7 Kg</t>
  </si>
  <si>
    <t>Saus Tomat Delmonte 5.7 Kg</t>
  </si>
  <si>
    <t>Tepung Beras Rose Brand 20 pak , 500 Gram</t>
  </si>
  <si>
    <t>Tepung Tapioka 25 Kg</t>
  </si>
  <si>
    <t>Ball</t>
  </si>
  <si>
    <t>Tepung Terigu Segitiga Biru 25 Kg</t>
  </si>
  <si>
    <t>Terasi Mamasuka 1 Kg</t>
  </si>
  <si>
    <t>2020/RQ/SENLOGPB/XII/523</t>
  </si>
  <si>
    <t>Alumunium Foil</t>
  </si>
  <si>
    <t>Roll</t>
  </si>
  <si>
    <t>Amplop coklat A4</t>
  </si>
  <si>
    <t>Baterai AAA, 1 Pack 2 Pcs</t>
  </si>
  <si>
    <t>Blender</t>
  </si>
  <si>
    <t>Pcs</t>
  </si>
  <si>
    <t>Bolpen 12 Pcs</t>
  </si>
  <si>
    <t>Bowl 650 Ml 1 Pack 25 Pcs</t>
  </si>
  <si>
    <t>Buku Tanda Terima</t>
  </si>
  <si>
    <t>Cup Es Krim 1 Pack 50 Pcs</t>
  </si>
  <si>
    <t>Dus DD Besar 100 set</t>
  </si>
  <si>
    <t>Eco Bag</t>
  </si>
  <si>
    <t>Gelas Plastik 16 Oz Non Logo</t>
  </si>
  <si>
    <t>GELAS TAKE AWAY+TUTUP 12 OZ @50SET</t>
  </si>
  <si>
    <t>GELAS TAKE AWAY+TUTUP 16 OZ @50SET</t>
  </si>
  <si>
    <t>Gelas Takeaway 12 oz Non Logo</t>
  </si>
  <si>
    <t>Hairnet</t>
  </si>
  <si>
    <t>Hijab Paris Polos</t>
  </si>
  <si>
    <t>Hvs F4</t>
  </si>
  <si>
    <t>Isi Staples 20 Pack</t>
  </si>
  <si>
    <t>Isolatip 12 Roll</t>
  </si>
  <si>
    <t>Kertas Nasi DD Kecil 1 Pack 1000 Lembar</t>
  </si>
  <si>
    <t>Kertas Thermal 1 Dus 50 Roll</t>
  </si>
  <si>
    <t>Lem Stick Kertas</t>
  </si>
  <si>
    <t>Lid Bowl 650 ml 1 pack isi 50 pcs</t>
  </si>
  <si>
    <t>Lunch Box Hitam Sekat Besar 22 x 22 New Logo</t>
  </si>
  <si>
    <t>Lunch Box Kecil Tanpa Sekat 300 Set</t>
  </si>
  <si>
    <t>Lunch Box Sedang Sekat 300 Set</t>
  </si>
  <si>
    <t>Pelindung Muka / Face Shield</t>
  </si>
  <si>
    <t>Pita DBox</t>
  </si>
  <si>
    <t>Plastik Hd 15 X 30 ( 392 Lembar )</t>
  </si>
  <si>
    <t>Plastik Hd 20 X 35 (272 Lembar)</t>
  </si>
  <si>
    <t>Plastik Sampah Besar</t>
  </si>
  <si>
    <t>Plastik Sampah Sedang</t>
  </si>
  <si>
    <t>Plastik Wrapping</t>
  </si>
  <si>
    <t>Post It 8 Cm Tempel/ Lengket Satu Warna</t>
  </si>
  <si>
    <t>Rice Cooker Kecil 2 Ltr</t>
  </si>
  <si>
    <t>SAPU KWALI KASAR (LOKAL)</t>
  </si>
  <si>
    <t>Sarung Tangan Karet 100 Buah</t>
  </si>
  <si>
    <t>Sarung Tangan Plastik 100 Pcs</t>
  </si>
  <si>
    <t>Sendok Es Kelapa ( Long Spoon )</t>
  </si>
  <si>
    <t>Sendok Ice Cream Kayu 1 Pack 50 Pcs</t>
  </si>
  <si>
    <t>Spidol White Board Hitam</t>
  </si>
  <si>
    <t>Spidol whiteboard biru</t>
  </si>
  <si>
    <t>Spidol whiteboard merah</t>
  </si>
  <si>
    <t>Spon Cuci Busa</t>
  </si>
  <si>
    <t>Stabilo Kuning</t>
  </si>
  <si>
    <t>Tas Plastik DD isi 3</t>
  </si>
  <si>
    <t>Tas Plastik DD Isi 7</t>
  </si>
  <si>
    <t>Thermometer Freezer</t>
  </si>
  <si>
    <t>Thermometer Infrared</t>
  </si>
  <si>
    <t>Thermometer Tusuk</t>
  </si>
  <si>
    <t>Tinta Printer</t>
  </si>
  <si>
    <t>Tinta Stempel</t>
  </si>
  <si>
    <t>Tissue Hand Roll Besar</t>
  </si>
  <si>
    <t>Tissue Hand Towel</t>
  </si>
  <si>
    <t>Tissue Livi DD 1 Dus 60 Pack, 100 lembar</t>
  </si>
  <si>
    <t>Tissue Napkin Pop-Up</t>
  </si>
  <si>
    <t>Tusuk Sate 1 Pack 600 Pcs</t>
  </si>
  <si>
    <t>2020/RQ/SENLOGPB/XII/525</t>
  </si>
  <si>
    <t>Outstanding PR</t>
  </si>
  <si>
    <t>Bawang Merah Kupas</t>
  </si>
  <si>
    <t>Bawang Putih Kupas</t>
  </si>
  <si>
    <t>Biji Ketumbar</t>
  </si>
  <si>
    <t>Cabe Hijau Besar</t>
  </si>
  <si>
    <t>Cabe Hijau Keriting</t>
  </si>
  <si>
    <t>Cabe Merah Besar</t>
  </si>
  <si>
    <t>Cabe Merah Keriting</t>
  </si>
  <si>
    <t>Cabe Rawit Hijau</t>
  </si>
  <si>
    <t>Cabe Rawit Merah</t>
  </si>
  <si>
    <t>Daun Jeruk</t>
  </si>
  <si>
    <t>Daun Pepaya</t>
  </si>
  <si>
    <t>Daun Singkong</t>
  </si>
  <si>
    <t>Jahe</t>
  </si>
  <si>
    <t>Kemiri</t>
  </si>
  <si>
    <t>Kentang</t>
  </si>
  <si>
    <t>Kunyit</t>
  </si>
  <si>
    <t>Lengkuas</t>
  </si>
  <si>
    <t>Sereh</t>
  </si>
  <si>
    <t>Tape Mengkel</t>
  </si>
  <si>
    <t>Telur Ayam 1 Kg, 16 butir</t>
  </si>
  <si>
    <t>Tempe</t>
  </si>
  <si>
    <t>Papan</t>
  </si>
  <si>
    <t>Tomat Hijau</t>
  </si>
  <si>
    <t>Wortel Lokal</t>
  </si>
  <si>
    <t>2020/RQ/SENKITPB/XII/785</t>
  </si>
  <si>
    <t>SENKIT</t>
  </si>
  <si>
    <t>2021/RQ/SENKITPB/I/787</t>
  </si>
  <si>
    <t>Ayam Utuh</t>
  </si>
  <si>
    <t>Capit Kepiting Utuh</t>
  </si>
  <si>
    <t>Cumi Utuh</t>
  </si>
  <si>
    <t>Daging Ayam Fillet Dada</t>
  </si>
  <si>
    <t>Daging Ayam Fillet Paha</t>
  </si>
  <si>
    <t>Ikan Fillet Utuh</t>
  </si>
  <si>
    <t>Ikan Gurami Utuh ( Hidup )</t>
  </si>
  <si>
    <t>Ikan Gurami WGGS</t>
  </si>
  <si>
    <t>Ikan Kerapu Utuh</t>
  </si>
  <si>
    <t>Kerang Hijau</t>
  </si>
  <si>
    <t>Sayap Ayam Utuh</t>
  </si>
  <si>
    <t>Tilapia Utuh</t>
  </si>
  <si>
    <t>Udang Utuh</t>
  </si>
  <si>
    <t>Udang Utuh Kecil ( Udang Peyek )</t>
  </si>
  <si>
    <t>Ayam Cut Up 10</t>
  </si>
  <si>
    <t>Ayam Cut Up 28 ( Terasi )</t>
  </si>
  <si>
    <t>Porsi</t>
  </si>
  <si>
    <t>ayam cut up 28 R ( Marinasi )</t>
  </si>
  <si>
    <t>Bakso Ikan 1 Pack , 50 butir</t>
  </si>
  <si>
    <t>Daging Sirsak 1 Kg</t>
  </si>
  <si>
    <t>Es Batu</t>
  </si>
  <si>
    <t>Filing coklat</t>
  </si>
  <si>
    <t>Gula Pasir 1 Kg</t>
  </si>
  <si>
    <t>Kelapa Muda Kerok</t>
  </si>
  <si>
    <t>Mix vegetables 1 Pack 1 Kg</t>
  </si>
  <si>
    <t>Pastel Ayam 900 Gram , 36 Pcs</t>
  </si>
  <si>
    <t>Perisa Vanilla koepoe-koepoe 30 Ml</t>
  </si>
  <si>
    <t>Pewarna Coklat Cap Koepoe Koepoe, 30 ml</t>
  </si>
  <si>
    <t>Soda Kue Kopoe-Kopoe @ 81Gram</t>
  </si>
  <si>
    <t>Tahu Jepang Kong Kee 10 buah</t>
  </si>
  <si>
    <t>Udang Vanamey PND 91/100</t>
  </si>
  <si>
    <t>2020/RQ/SENKITPB/XII/786</t>
  </si>
  <si>
    <t>Asam Jawa</t>
  </si>
  <si>
    <t>Kerang Batik</t>
  </si>
  <si>
    <t>Kertas Barcode</t>
  </si>
  <si>
    <t>Plastik PE 10 x 20 ( 750 Pcs )</t>
  </si>
  <si>
    <t>Plastik Pe 40 X 60 ( 56 Lembar )</t>
  </si>
  <si>
    <t>Plastik Vacum 18 X 28</t>
  </si>
  <si>
    <t>2021/RQ/SENKITPB/I/790</t>
  </si>
  <si>
    <t>Bumbu Pasta Tomyum Munik @ 1 Kg</t>
  </si>
  <si>
    <t>Dark Soy KCT 640 ml ( 850 gr )</t>
  </si>
  <si>
    <t>2021/RQ/SENLOGPB/I/528</t>
  </si>
  <si>
    <t>Daun Bawang</t>
  </si>
  <si>
    <t>Kacang Tanah Kupas</t>
  </si>
  <si>
    <t>Kulit Spring Roll</t>
  </si>
  <si>
    <t>Gas Tabung 50 Kg</t>
  </si>
  <si>
    <t>Talenan kayu</t>
  </si>
  <si>
    <t>Daun Salam</t>
  </si>
  <si>
    <t>2021/RQ/SENKITPB/I/789</t>
  </si>
  <si>
    <t>2021/PN/SENKITPB/I/3777</t>
  </si>
  <si>
    <t>Receive tgl</t>
  </si>
  <si>
    <t>QTY Request</t>
  </si>
  <si>
    <t>Oustanding</t>
  </si>
  <si>
    <t>Schedule Tgl kedatangan</t>
  </si>
  <si>
    <t>Uom</t>
  </si>
  <si>
    <t>Item</t>
  </si>
  <si>
    <t>Udang Shrimp Butterfly size 41/50, 1 Pack 12 Ekor</t>
  </si>
  <si>
    <t>TABEL KEDATANGAN BARANG</t>
  </si>
  <si>
    <t>Daun Kunyit</t>
  </si>
  <si>
    <t>Mix Vegetables</t>
  </si>
  <si>
    <t>Teri Medan</t>
  </si>
  <si>
    <t>Bawang Bombay</t>
  </si>
  <si>
    <t>OUT STANDING</t>
  </si>
  <si>
    <t>PR BESAR</t>
  </si>
  <si>
    <t>FISIK</t>
  </si>
  <si>
    <t>ITEM</t>
  </si>
  <si>
    <t>NO</t>
  </si>
  <si>
    <t>Column1</t>
  </si>
  <si>
    <t>UOM</t>
  </si>
  <si>
    <t>Buah Cengkeh/Kg</t>
  </si>
  <si>
    <t>Biji Pala</t>
  </si>
  <si>
    <t>Kayu Manis</t>
  </si>
  <si>
    <t>Kapulaga</t>
  </si>
  <si>
    <t>ORDER</t>
  </si>
  <si>
    <t>Column2</t>
  </si>
  <si>
    <t>Column3</t>
  </si>
  <si>
    <t>Column4</t>
  </si>
  <si>
    <t>60 Kg</t>
  </si>
  <si>
    <t>40 kg</t>
  </si>
  <si>
    <t>5.8 kg</t>
  </si>
  <si>
    <t>110 kg</t>
  </si>
  <si>
    <t>35.9 kg</t>
  </si>
  <si>
    <t xml:space="preserve">Bawang Merah Kupas </t>
  </si>
  <si>
    <t xml:space="preserve">Bawang Putih Kupas </t>
  </si>
  <si>
    <t xml:space="preserve">Cabe Hijau Keriting </t>
  </si>
  <si>
    <t xml:space="preserve">Cabe Merah Besar </t>
  </si>
  <si>
    <t xml:space="preserve">Cabe Merah Keriting </t>
  </si>
  <si>
    <t xml:space="preserve">Kemiri </t>
  </si>
  <si>
    <t>Di tangkan sabtu 16 januari 2021</t>
  </si>
  <si>
    <t>Di Datangkan Senin 18 januari 2021</t>
  </si>
  <si>
    <t>18/1/2021</t>
  </si>
  <si>
    <t>√</t>
  </si>
  <si>
    <t>15/1/21</t>
  </si>
  <si>
    <t>13/1/2021</t>
  </si>
  <si>
    <t>14/1/21/</t>
  </si>
  <si>
    <t>16/1/21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</si>
</sst>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0" xfId="0"/>
    <xf numFmtId="0" fontId="1" fillId="3" borderId="0" xfId="0" applyFont="1" applyFill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4" fontId="2" fillId="0" borderId="17" xfId="0" applyNumberFormat="1" applyFont="1" applyBorder="1"/>
    <xf numFmtId="14" fontId="2" fillId="0" borderId="18" xfId="0" applyNumberFormat="1" applyFont="1" applyBorder="1"/>
    <xf numFmtId="14" fontId="2" fillId="0" borderId="19" xfId="0" applyNumberFormat="1" applyFont="1" applyBorder="1"/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/>
    <xf numFmtId="0" fontId="0" fillId="0" borderId="0" xfId="0" applyBorder="1"/>
    <xf numFmtId="0" fontId="0" fillId="0" borderId="16" xfId="0" applyBorder="1"/>
    <xf numFmtId="0" fontId="2" fillId="0" borderId="24" xfId="0" applyFont="1" applyBorder="1" applyAlignment="1">
      <alignment horizontal="center"/>
    </xf>
    <xf numFmtId="164" fontId="2" fillId="0" borderId="17" xfId="0" applyNumberFormat="1" applyFont="1" applyBorder="1"/>
    <xf numFmtId="164" fontId="2" fillId="0" borderId="18" xfId="0" applyNumberFormat="1" applyFont="1" applyBorder="1"/>
    <xf numFmtId="164" fontId="2" fillId="0" borderId="19" xfId="0" applyNumberFormat="1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5" xfId="0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0" borderId="0" xfId="0" applyFill="1" applyBorder="1"/>
    <xf numFmtId="0" fontId="0" fillId="3" borderId="0" xfId="0" applyFill="1"/>
    <xf numFmtId="0" fontId="0" fillId="0" borderId="37" xfId="0" applyFont="1" applyFill="1" applyBorder="1"/>
    <xf numFmtId="0" fontId="0" fillId="0" borderId="25" xfId="0" applyFill="1" applyBorder="1"/>
    <xf numFmtId="0" fontId="4" fillId="0" borderId="26" xfId="0" applyFont="1" applyFill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2:K35" totalsRowShown="0">
  <autoFilter ref="A2:K35">
    <filterColumn colId="10">
      <customFilters>
        <customFilter operator="notEqual" val=" "/>
      </customFilters>
    </filterColumn>
  </autoFilter>
  <tableColumns count="11">
    <tableColumn id="1" name="NO"/>
    <tableColumn id="2" name="ITEM"/>
    <tableColumn id="3" name="UOM"/>
    <tableColumn id="4" name="PR BESAR"/>
    <tableColumn id="5" name="OUT STANDING"/>
    <tableColumn id="6" name="FISIK"/>
    <tableColumn id="7" name="ORDER"/>
    <tableColumn id="8" name="Column1">
      <calculatedColumnFormula>((Table1[[#This Row],[OUT STANDING]]+Table1[[#This Row],[FISIK]]))-(Table1[[#This Row],[ORDER]])</calculatedColumnFormula>
    </tableColumn>
    <tableColumn id="9" name="Column2"/>
    <tableColumn id="10" name="Column3"/>
    <tableColumn id="11" name="Column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209"/>
  <sheetViews>
    <sheetView zoomScale="110" zoomScaleNormal="110" workbookViewId="0">
      <pane xSplit="8" ySplit="3" topLeftCell="V135" activePane="bottomRight" state="frozen"/>
      <selection pane="topRight" activeCell="H1" sqref="H1"/>
      <selection pane="bottomLeft" activeCell="A4" sqref="A4"/>
      <selection pane="bottomRight" activeCell="F154" sqref="F154"/>
    </sheetView>
  </sheetViews>
  <sheetFormatPr defaultRowHeight="11.25" x14ac:dyDescent="0.25"/>
  <cols>
    <col min="1" max="3" width="9.140625" style="1"/>
    <col min="4" max="4" width="24.140625" style="1" bestFit="1" customWidth="1"/>
    <col min="5" max="5" width="42.7109375" style="2" bestFit="1" customWidth="1"/>
    <col min="6" max="6" width="9.140625" style="1"/>
    <col min="7" max="7" width="11.85546875" style="3" bestFit="1" customWidth="1"/>
    <col min="8" max="8" width="13.7109375" style="3" bestFit="1" customWidth="1"/>
    <col min="9" max="13" width="4.7109375" style="1" customWidth="1"/>
    <col min="14" max="14" width="7.140625" style="1" customWidth="1"/>
    <col min="15" max="15" width="7.85546875" style="1" customWidth="1"/>
    <col min="16" max="18" width="4.7109375" style="1" customWidth="1"/>
    <col min="19" max="19" width="6.28515625" style="1" customWidth="1"/>
    <col min="20" max="39" width="4.7109375" style="1" customWidth="1"/>
    <col min="40" max="16384" width="9.140625" style="1"/>
  </cols>
  <sheetData>
    <row r="3" spans="2:39" x14ac:dyDescent="0.25">
      <c r="B3" s="1" t="s">
        <v>0</v>
      </c>
      <c r="C3" s="1" t="s">
        <v>49</v>
      </c>
      <c r="D3" s="1" t="s">
        <v>50</v>
      </c>
      <c r="E3" s="1" t="s">
        <v>1</v>
      </c>
      <c r="F3" s="1" t="s">
        <v>3</v>
      </c>
      <c r="G3" s="3" t="s">
        <v>2</v>
      </c>
      <c r="H3" s="4" t="s">
        <v>134</v>
      </c>
      <c r="I3" s="1">
        <v>1</v>
      </c>
      <c r="J3" s="1">
        <v>2</v>
      </c>
      <c r="K3" s="1">
        <v>3</v>
      </c>
      <c r="L3" s="1">
        <v>4</v>
      </c>
      <c r="M3" s="1">
        <v>5</v>
      </c>
      <c r="N3" s="1">
        <v>6</v>
      </c>
      <c r="O3" s="1">
        <v>7</v>
      </c>
      <c r="P3" s="1">
        <v>8</v>
      </c>
      <c r="Q3" s="1">
        <v>9</v>
      </c>
      <c r="R3" s="42">
        <v>10</v>
      </c>
      <c r="S3" s="1">
        <v>11</v>
      </c>
      <c r="T3" s="1">
        <v>12</v>
      </c>
      <c r="U3" s="1">
        <v>13</v>
      </c>
      <c r="V3" s="1">
        <v>14</v>
      </c>
      <c r="W3" s="1">
        <v>15</v>
      </c>
      <c r="X3" s="1">
        <v>16</v>
      </c>
      <c r="Y3" s="42">
        <v>17</v>
      </c>
      <c r="Z3" s="1">
        <v>18</v>
      </c>
      <c r="AA3" s="1">
        <v>19</v>
      </c>
      <c r="AB3" s="1">
        <v>20</v>
      </c>
      <c r="AC3" s="1">
        <v>21</v>
      </c>
      <c r="AD3" s="1">
        <v>22</v>
      </c>
      <c r="AE3" s="1">
        <v>23</v>
      </c>
      <c r="AF3" s="1">
        <v>24</v>
      </c>
      <c r="AG3" s="1">
        <v>25</v>
      </c>
      <c r="AH3" s="1">
        <v>26</v>
      </c>
      <c r="AI3" s="1">
        <v>27</v>
      </c>
      <c r="AJ3" s="1">
        <v>28</v>
      </c>
      <c r="AK3" s="1">
        <v>29</v>
      </c>
      <c r="AL3" s="1">
        <v>30</v>
      </c>
      <c r="AM3" s="1">
        <v>31</v>
      </c>
    </row>
    <row r="4" spans="2:39" x14ac:dyDescent="0.25">
      <c r="B4" s="1">
        <v>1</v>
      </c>
      <c r="C4" s="1" t="s">
        <v>48</v>
      </c>
      <c r="D4" s="1" t="s">
        <v>51</v>
      </c>
      <c r="E4" s="2" t="s">
        <v>4</v>
      </c>
      <c r="F4" s="1" t="s">
        <v>5</v>
      </c>
      <c r="G4" s="3">
        <v>500</v>
      </c>
      <c r="H4" s="3">
        <f t="shared" ref="H4:H35" si="0">SUM(I4:AM4)-G4</f>
        <v>-200</v>
      </c>
      <c r="L4" s="1">
        <v>25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42"/>
      <c r="S4" s="1">
        <f>250+25</f>
        <v>275</v>
      </c>
      <c r="T4" s="1">
        <v>0</v>
      </c>
      <c r="U4" s="1">
        <v>0</v>
      </c>
      <c r="Y4" s="42"/>
    </row>
    <row r="5" spans="2:39" x14ac:dyDescent="0.25">
      <c r="B5" s="1">
        <v>2</v>
      </c>
      <c r="C5" s="1" t="s">
        <v>48</v>
      </c>
      <c r="D5" s="1" t="s">
        <v>51</v>
      </c>
      <c r="E5" s="2" t="s">
        <v>6</v>
      </c>
      <c r="F5" s="1" t="s">
        <v>7</v>
      </c>
      <c r="G5" s="3">
        <v>700</v>
      </c>
      <c r="H5" s="3">
        <f t="shared" si="0"/>
        <v>-200</v>
      </c>
      <c r="L5" s="1">
        <v>0</v>
      </c>
      <c r="M5" s="1">
        <v>0</v>
      </c>
      <c r="N5" s="1">
        <v>0</v>
      </c>
      <c r="O5" s="1">
        <v>250</v>
      </c>
      <c r="P5" s="1">
        <v>0</v>
      </c>
      <c r="Q5" s="1">
        <v>0</v>
      </c>
      <c r="R5" s="42"/>
      <c r="S5" s="1">
        <v>0</v>
      </c>
      <c r="T5" s="1">
        <v>0</v>
      </c>
      <c r="U5" s="1">
        <v>0</v>
      </c>
      <c r="V5" s="1">
        <v>250</v>
      </c>
      <c r="Y5" s="42"/>
    </row>
    <row r="6" spans="2:39" x14ac:dyDescent="0.25">
      <c r="B6" s="1">
        <v>3</v>
      </c>
      <c r="C6" s="1" t="s">
        <v>48</v>
      </c>
      <c r="D6" s="1" t="s">
        <v>51</v>
      </c>
      <c r="E6" s="2" t="s">
        <v>8</v>
      </c>
      <c r="F6" s="1" t="s">
        <v>9</v>
      </c>
      <c r="G6" s="3">
        <v>1224</v>
      </c>
      <c r="H6" s="3">
        <f t="shared" si="0"/>
        <v>0</v>
      </c>
      <c r="L6" s="1">
        <v>612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42"/>
      <c r="S6" s="1">
        <v>612</v>
      </c>
      <c r="T6" s="1">
        <v>0</v>
      </c>
      <c r="U6" s="1">
        <v>0</v>
      </c>
      <c r="Y6" s="42"/>
    </row>
    <row r="7" spans="2:39" x14ac:dyDescent="0.25">
      <c r="B7" s="1">
        <v>4</v>
      </c>
      <c r="C7" s="1" t="s">
        <v>48</v>
      </c>
      <c r="D7" s="1" t="s">
        <v>51</v>
      </c>
      <c r="E7" s="2" t="s">
        <v>10</v>
      </c>
      <c r="F7" s="1" t="s">
        <v>11</v>
      </c>
      <c r="G7" s="3">
        <v>14</v>
      </c>
      <c r="H7" s="3">
        <f t="shared" si="0"/>
        <v>0</v>
      </c>
      <c r="L7" s="1">
        <v>0</v>
      </c>
      <c r="M7" s="1">
        <v>0</v>
      </c>
      <c r="N7" s="1">
        <v>14</v>
      </c>
      <c r="O7" s="1">
        <v>0</v>
      </c>
      <c r="P7" s="1">
        <v>0</v>
      </c>
      <c r="Q7" s="1">
        <v>0</v>
      </c>
      <c r="R7" s="42"/>
      <c r="S7" s="1">
        <v>0</v>
      </c>
      <c r="T7" s="1">
        <v>0</v>
      </c>
      <c r="U7" s="1">
        <v>0</v>
      </c>
      <c r="Y7" s="42"/>
    </row>
    <row r="8" spans="2:39" x14ac:dyDescent="0.25">
      <c r="B8" s="1">
        <v>5</v>
      </c>
      <c r="C8" s="1" t="s">
        <v>48</v>
      </c>
      <c r="D8" s="1" t="s">
        <v>51</v>
      </c>
      <c r="E8" s="2" t="s">
        <v>12</v>
      </c>
      <c r="F8" s="1" t="s">
        <v>13</v>
      </c>
      <c r="G8" s="3">
        <v>420</v>
      </c>
      <c r="H8" s="3">
        <f t="shared" si="0"/>
        <v>0</v>
      </c>
      <c r="L8" s="1">
        <v>0</v>
      </c>
      <c r="M8" s="1">
        <v>0</v>
      </c>
      <c r="N8" s="1">
        <v>420</v>
      </c>
      <c r="O8" s="1">
        <v>0</v>
      </c>
      <c r="P8" s="1">
        <v>0</v>
      </c>
      <c r="Q8" s="1">
        <v>0</v>
      </c>
      <c r="R8" s="42"/>
      <c r="S8" s="1">
        <v>0</v>
      </c>
      <c r="T8" s="1">
        <v>0</v>
      </c>
      <c r="U8" s="1">
        <v>0</v>
      </c>
      <c r="Y8" s="42"/>
    </row>
    <row r="9" spans="2:39" x14ac:dyDescent="0.25">
      <c r="B9" s="1">
        <v>6</v>
      </c>
      <c r="C9" s="1" t="s">
        <v>48</v>
      </c>
      <c r="D9" s="1" t="s">
        <v>51</v>
      </c>
      <c r="E9" s="2" t="s">
        <v>14</v>
      </c>
      <c r="F9" s="1" t="s">
        <v>9</v>
      </c>
      <c r="G9" s="3">
        <v>60</v>
      </c>
      <c r="H9" s="3">
        <f t="shared" si="0"/>
        <v>110</v>
      </c>
      <c r="L9" s="1">
        <v>20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2"/>
      <c r="S9" s="1">
        <v>0</v>
      </c>
      <c r="T9" s="1">
        <f>90+60</f>
        <v>150</v>
      </c>
      <c r="U9" s="1">
        <v>0</v>
      </c>
      <c r="Y9" s="42"/>
    </row>
    <row r="10" spans="2:39" x14ac:dyDescent="0.25">
      <c r="B10" s="1">
        <v>7</v>
      </c>
      <c r="C10" s="1" t="s">
        <v>48</v>
      </c>
      <c r="D10" s="1" t="s">
        <v>51</v>
      </c>
      <c r="E10" s="2" t="s">
        <v>15</v>
      </c>
      <c r="F10" s="1" t="s">
        <v>9</v>
      </c>
      <c r="G10" s="3">
        <v>480</v>
      </c>
      <c r="H10" s="3">
        <f t="shared" si="0"/>
        <v>360</v>
      </c>
      <c r="L10" s="1">
        <v>0</v>
      </c>
      <c r="M10" s="1">
        <v>480</v>
      </c>
      <c r="N10" s="1">
        <v>0</v>
      </c>
      <c r="O10" s="1">
        <v>0</v>
      </c>
      <c r="P10" s="1">
        <v>360</v>
      </c>
      <c r="Q10" s="1">
        <v>0</v>
      </c>
      <c r="R10" s="42"/>
      <c r="S10" s="1">
        <v>0</v>
      </c>
      <c r="T10" s="1">
        <v>0</v>
      </c>
      <c r="U10" s="1">
        <v>0</v>
      </c>
      <c r="Y10" s="42"/>
    </row>
    <row r="11" spans="2:39" x14ac:dyDescent="0.25">
      <c r="B11" s="1">
        <v>8</v>
      </c>
      <c r="C11" s="1" t="s">
        <v>48</v>
      </c>
      <c r="D11" s="1" t="s">
        <v>51</v>
      </c>
      <c r="E11" s="2" t="s">
        <v>16</v>
      </c>
      <c r="F11" s="1" t="s">
        <v>9</v>
      </c>
      <c r="G11" s="3">
        <v>160</v>
      </c>
      <c r="H11" s="3">
        <f t="shared" si="0"/>
        <v>0</v>
      </c>
      <c r="L11" s="1">
        <v>0</v>
      </c>
      <c r="M11" s="1">
        <v>160</v>
      </c>
      <c r="N11" s="1">
        <v>0</v>
      </c>
      <c r="O11" s="1">
        <v>0</v>
      </c>
      <c r="P11" s="1">
        <v>0</v>
      </c>
      <c r="Q11" s="1">
        <v>0</v>
      </c>
      <c r="R11" s="42"/>
      <c r="S11" s="1">
        <v>0</v>
      </c>
      <c r="T11" s="1">
        <v>0</v>
      </c>
      <c r="U11" s="1">
        <v>0</v>
      </c>
      <c r="Y11" s="42"/>
    </row>
    <row r="12" spans="2:39" x14ac:dyDescent="0.25">
      <c r="B12" s="1">
        <v>9</v>
      </c>
      <c r="C12" s="1" t="s">
        <v>48</v>
      </c>
      <c r="D12" s="1" t="s">
        <v>51</v>
      </c>
      <c r="E12" s="2" t="s">
        <v>17</v>
      </c>
      <c r="F12" s="1" t="s">
        <v>9</v>
      </c>
      <c r="G12" s="3">
        <v>110</v>
      </c>
      <c r="H12" s="3">
        <f t="shared" si="0"/>
        <v>200</v>
      </c>
      <c r="L12" s="1">
        <v>0</v>
      </c>
      <c r="M12" s="1">
        <v>110</v>
      </c>
      <c r="N12" s="1">
        <v>0</v>
      </c>
      <c r="O12" s="1">
        <v>0</v>
      </c>
      <c r="P12" s="1">
        <v>100</v>
      </c>
      <c r="Q12" s="1">
        <v>0</v>
      </c>
      <c r="R12" s="42"/>
      <c r="S12" s="1">
        <v>0</v>
      </c>
      <c r="T12" s="1">
        <v>100</v>
      </c>
      <c r="U12" s="1">
        <v>0</v>
      </c>
      <c r="Y12" s="42"/>
    </row>
    <row r="13" spans="2:39" x14ac:dyDescent="0.25">
      <c r="B13" s="1">
        <v>10</v>
      </c>
      <c r="C13" s="1" t="s">
        <v>48</v>
      </c>
      <c r="D13" s="1" t="s">
        <v>51</v>
      </c>
      <c r="E13" s="2" t="s">
        <v>18</v>
      </c>
      <c r="F13" s="1" t="s">
        <v>9</v>
      </c>
      <c r="G13" s="3">
        <v>60</v>
      </c>
      <c r="H13" s="3">
        <f t="shared" si="0"/>
        <v>20</v>
      </c>
      <c r="L13" s="1">
        <v>0</v>
      </c>
      <c r="M13" s="1">
        <v>20</v>
      </c>
      <c r="N13" s="1">
        <v>0</v>
      </c>
      <c r="O13" s="1">
        <v>0</v>
      </c>
      <c r="P13" s="1">
        <v>0</v>
      </c>
      <c r="Q13" s="1">
        <v>0</v>
      </c>
      <c r="R13" s="42"/>
      <c r="S13" s="1">
        <v>0</v>
      </c>
      <c r="T13" s="1">
        <v>60</v>
      </c>
      <c r="U13" s="1">
        <v>0</v>
      </c>
      <c r="Y13" s="42"/>
    </row>
    <row r="14" spans="2:39" x14ac:dyDescent="0.25">
      <c r="B14" s="1">
        <v>11</v>
      </c>
      <c r="C14" s="1" t="s">
        <v>48</v>
      </c>
      <c r="D14" s="1" t="s">
        <v>51</v>
      </c>
      <c r="E14" s="2" t="s">
        <v>19</v>
      </c>
      <c r="F14" s="1" t="s">
        <v>11</v>
      </c>
      <c r="G14" s="3">
        <v>60</v>
      </c>
      <c r="H14" s="3">
        <f t="shared" si="0"/>
        <v>0</v>
      </c>
      <c r="L14" s="1">
        <v>0</v>
      </c>
      <c r="M14" s="1">
        <v>30</v>
      </c>
      <c r="N14" s="1">
        <v>0</v>
      </c>
      <c r="O14" s="1">
        <v>0</v>
      </c>
      <c r="P14" s="1">
        <v>0</v>
      </c>
      <c r="Q14" s="1">
        <v>0</v>
      </c>
      <c r="R14" s="42"/>
      <c r="S14" s="1">
        <v>30</v>
      </c>
      <c r="T14" s="1">
        <v>0</v>
      </c>
      <c r="U14" s="1">
        <v>0</v>
      </c>
      <c r="Y14" s="42"/>
    </row>
    <row r="15" spans="2:39" x14ac:dyDescent="0.25">
      <c r="B15" s="1">
        <v>12</v>
      </c>
      <c r="C15" s="1" t="s">
        <v>48</v>
      </c>
      <c r="D15" s="1" t="s">
        <v>51</v>
      </c>
      <c r="E15" s="2" t="s">
        <v>20</v>
      </c>
      <c r="F15" s="1" t="s">
        <v>21</v>
      </c>
      <c r="G15" s="3">
        <v>30</v>
      </c>
      <c r="H15" s="3">
        <f t="shared" si="0"/>
        <v>6</v>
      </c>
      <c r="L15" s="1">
        <v>36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42"/>
      <c r="S15" s="1">
        <v>0</v>
      </c>
      <c r="T15" s="1">
        <v>0</v>
      </c>
      <c r="U15" s="1">
        <v>0</v>
      </c>
      <c r="Y15" s="42"/>
    </row>
    <row r="16" spans="2:39" x14ac:dyDescent="0.25">
      <c r="B16" s="1">
        <v>13</v>
      </c>
      <c r="C16" s="1" t="s">
        <v>48</v>
      </c>
      <c r="D16" s="1" t="s">
        <v>51</v>
      </c>
      <c r="E16" s="2" t="s">
        <v>22</v>
      </c>
      <c r="F16" s="1" t="s">
        <v>23</v>
      </c>
      <c r="G16" s="3">
        <v>11</v>
      </c>
      <c r="H16" s="3">
        <f t="shared" si="0"/>
        <v>9</v>
      </c>
      <c r="L16" s="1">
        <v>20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42"/>
      <c r="S16" s="1">
        <v>0</v>
      </c>
      <c r="T16" s="1">
        <v>0</v>
      </c>
      <c r="U16" s="1">
        <v>0</v>
      </c>
      <c r="Y16" s="42"/>
    </row>
    <row r="17" spans="2:25" x14ac:dyDescent="0.25">
      <c r="B17" s="1">
        <v>14</v>
      </c>
      <c r="C17" s="1" t="s">
        <v>48</v>
      </c>
      <c r="D17" s="1" t="s">
        <v>51</v>
      </c>
      <c r="E17" s="2" t="s">
        <v>24</v>
      </c>
      <c r="F17" s="1" t="s">
        <v>23</v>
      </c>
      <c r="G17" s="3">
        <v>150</v>
      </c>
      <c r="H17" s="3">
        <f t="shared" si="0"/>
        <v>50</v>
      </c>
      <c r="L17" s="1">
        <v>75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42"/>
      <c r="S17" s="1">
        <f>75+50</f>
        <v>125</v>
      </c>
      <c r="T17" s="1">
        <v>0</v>
      </c>
      <c r="U17" s="1">
        <v>0</v>
      </c>
      <c r="Y17" s="42"/>
    </row>
    <row r="18" spans="2:25" x14ac:dyDescent="0.25">
      <c r="B18" s="1">
        <v>15</v>
      </c>
      <c r="C18" s="1" t="s">
        <v>48</v>
      </c>
      <c r="D18" s="1" t="s">
        <v>51</v>
      </c>
      <c r="E18" s="2" t="s">
        <v>25</v>
      </c>
      <c r="F18" s="1" t="s">
        <v>9</v>
      </c>
      <c r="G18" s="3">
        <v>480</v>
      </c>
      <c r="H18" s="3">
        <f t="shared" si="0"/>
        <v>576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42"/>
      <c r="S18" s="1">
        <v>480</v>
      </c>
      <c r="T18" s="1">
        <v>576</v>
      </c>
      <c r="U18" s="1">
        <v>0</v>
      </c>
      <c r="Y18" s="42"/>
    </row>
    <row r="19" spans="2:25" x14ac:dyDescent="0.25">
      <c r="B19" s="1">
        <v>16</v>
      </c>
      <c r="C19" s="1" t="s">
        <v>48</v>
      </c>
      <c r="D19" s="1" t="s">
        <v>51</v>
      </c>
      <c r="E19" s="2" t="s">
        <v>26</v>
      </c>
      <c r="F19" s="1" t="s">
        <v>9</v>
      </c>
      <c r="G19" s="3">
        <v>31</v>
      </c>
      <c r="H19" s="3">
        <f t="shared" si="0"/>
        <v>40</v>
      </c>
      <c r="L19" s="1">
        <v>31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42"/>
      <c r="S19" s="1">
        <v>0</v>
      </c>
      <c r="T19" s="1">
        <v>40</v>
      </c>
      <c r="U19" s="1">
        <v>0</v>
      </c>
      <c r="Y19" s="42"/>
    </row>
    <row r="20" spans="2:25" x14ac:dyDescent="0.25">
      <c r="B20" s="1">
        <v>17</v>
      </c>
      <c r="C20" s="1" t="s">
        <v>48</v>
      </c>
      <c r="D20" s="1" t="s">
        <v>51</v>
      </c>
      <c r="E20" s="2" t="s">
        <v>27</v>
      </c>
      <c r="F20" s="1" t="s">
        <v>9</v>
      </c>
      <c r="G20" s="3">
        <v>420</v>
      </c>
      <c r="H20" s="3">
        <f t="shared" si="0"/>
        <v>-420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42"/>
      <c r="S20" s="1">
        <v>0</v>
      </c>
      <c r="T20" s="1">
        <v>0</v>
      </c>
      <c r="U20" s="1">
        <v>0</v>
      </c>
      <c r="Y20" s="42"/>
    </row>
    <row r="21" spans="2:25" x14ac:dyDescent="0.25">
      <c r="B21" s="1">
        <v>18</v>
      </c>
      <c r="C21" s="1" t="s">
        <v>48</v>
      </c>
      <c r="D21" s="1" t="s">
        <v>51</v>
      </c>
      <c r="E21" s="2" t="s">
        <v>28</v>
      </c>
      <c r="F21" s="1" t="s">
        <v>21</v>
      </c>
      <c r="G21" s="3">
        <v>600</v>
      </c>
      <c r="H21" s="3">
        <f t="shared" si="0"/>
        <v>348</v>
      </c>
      <c r="L21" s="1">
        <v>0</v>
      </c>
      <c r="M21" s="1">
        <v>0</v>
      </c>
      <c r="N21" s="1">
        <v>0</v>
      </c>
      <c r="O21" s="1">
        <v>48</v>
      </c>
      <c r="P21" s="1">
        <v>0</v>
      </c>
      <c r="Q21" s="1">
        <v>0</v>
      </c>
      <c r="R21" s="42"/>
      <c r="S21" s="1">
        <v>0</v>
      </c>
      <c r="T21" s="1">
        <v>0</v>
      </c>
      <c r="U21" s="1">
        <f>300+600</f>
        <v>900</v>
      </c>
      <c r="Y21" s="42"/>
    </row>
    <row r="22" spans="2:25" x14ac:dyDescent="0.25">
      <c r="B22" s="1">
        <v>19</v>
      </c>
      <c r="C22" s="1" t="s">
        <v>48</v>
      </c>
      <c r="D22" s="1" t="s">
        <v>51</v>
      </c>
      <c r="E22" s="2" t="s">
        <v>29</v>
      </c>
      <c r="F22" s="1" t="s">
        <v>9</v>
      </c>
      <c r="G22" s="3">
        <v>36</v>
      </c>
      <c r="H22" s="3">
        <f t="shared" si="0"/>
        <v>-36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42"/>
      <c r="S22" s="1">
        <v>0</v>
      </c>
      <c r="T22" s="1">
        <v>0</v>
      </c>
      <c r="U22" s="1">
        <v>0</v>
      </c>
      <c r="Y22" s="42"/>
    </row>
    <row r="23" spans="2:25" x14ac:dyDescent="0.25">
      <c r="B23" s="1">
        <v>20</v>
      </c>
      <c r="C23" s="1" t="s">
        <v>48</v>
      </c>
      <c r="D23" s="1" t="s">
        <v>51</v>
      </c>
      <c r="E23" s="2" t="s">
        <v>30</v>
      </c>
      <c r="F23" s="1" t="s">
        <v>9</v>
      </c>
      <c r="G23" s="3">
        <v>96</v>
      </c>
      <c r="H23" s="3">
        <f t="shared" si="0"/>
        <v>-72</v>
      </c>
      <c r="L23" s="1">
        <v>0</v>
      </c>
      <c r="M23" s="1">
        <v>0</v>
      </c>
      <c r="N23" s="1">
        <v>24</v>
      </c>
      <c r="O23" s="1">
        <v>0</v>
      </c>
      <c r="P23" s="1">
        <v>0</v>
      </c>
      <c r="Q23" s="1">
        <v>0</v>
      </c>
      <c r="R23" s="42"/>
      <c r="S23" s="1">
        <v>0</v>
      </c>
      <c r="T23" s="1">
        <v>0</v>
      </c>
      <c r="U23" s="1">
        <v>0</v>
      </c>
      <c r="Y23" s="42"/>
    </row>
    <row r="24" spans="2:25" x14ac:dyDescent="0.25">
      <c r="B24" s="1">
        <v>21</v>
      </c>
      <c r="C24" s="1" t="s">
        <v>48</v>
      </c>
      <c r="D24" s="1" t="s">
        <v>51</v>
      </c>
      <c r="E24" s="2" t="s">
        <v>31</v>
      </c>
      <c r="F24" s="1" t="s">
        <v>9</v>
      </c>
      <c r="G24" s="3">
        <v>120</v>
      </c>
      <c r="H24" s="3">
        <f t="shared" si="0"/>
        <v>400</v>
      </c>
      <c r="L24" s="1">
        <v>0</v>
      </c>
      <c r="M24" s="1">
        <v>80</v>
      </c>
      <c r="N24" s="1">
        <v>40</v>
      </c>
      <c r="O24" s="1">
        <v>0</v>
      </c>
      <c r="P24" s="1">
        <v>400</v>
      </c>
      <c r="Q24" s="1">
        <v>0</v>
      </c>
      <c r="R24" s="42"/>
      <c r="S24" s="1">
        <v>0</v>
      </c>
      <c r="T24" s="1">
        <v>0</v>
      </c>
      <c r="U24" s="1">
        <v>0</v>
      </c>
      <c r="Y24" s="42"/>
    </row>
    <row r="25" spans="2:25" x14ac:dyDescent="0.25">
      <c r="B25" s="1">
        <v>22</v>
      </c>
      <c r="C25" s="1" t="s">
        <v>48</v>
      </c>
      <c r="D25" s="1" t="s">
        <v>51</v>
      </c>
      <c r="E25" s="2" t="s">
        <v>32</v>
      </c>
      <c r="F25" s="1" t="s">
        <v>5</v>
      </c>
      <c r="G25" s="3">
        <v>100</v>
      </c>
      <c r="H25" s="3">
        <f t="shared" si="0"/>
        <v>0</v>
      </c>
      <c r="L25" s="1">
        <v>100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42"/>
      <c r="S25" s="1">
        <v>0</v>
      </c>
      <c r="T25" s="1">
        <v>0</v>
      </c>
      <c r="U25" s="1">
        <v>0</v>
      </c>
      <c r="Y25" s="42"/>
    </row>
    <row r="26" spans="2:25" x14ac:dyDescent="0.25">
      <c r="B26" s="1">
        <v>23</v>
      </c>
      <c r="C26" s="1" t="s">
        <v>48</v>
      </c>
      <c r="D26" s="1" t="s">
        <v>51</v>
      </c>
      <c r="E26" s="2" t="s">
        <v>33</v>
      </c>
      <c r="F26" s="1" t="s">
        <v>5</v>
      </c>
      <c r="G26" s="3">
        <v>60</v>
      </c>
      <c r="H26" s="3">
        <f t="shared" si="0"/>
        <v>0</v>
      </c>
      <c r="L26" s="1">
        <v>0</v>
      </c>
      <c r="M26" s="1">
        <v>60</v>
      </c>
      <c r="N26" s="1">
        <v>0</v>
      </c>
      <c r="O26" s="1">
        <v>0</v>
      </c>
      <c r="P26" s="1">
        <v>0</v>
      </c>
      <c r="Q26" s="1">
        <v>0</v>
      </c>
      <c r="R26" s="42"/>
      <c r="S26" s="1">
        <v>0</v>
      </c>
      <c r="T26" s="1">
        <v>0</v>
      </c>
      <c r="U26" s="1">
        <v>0</v>
      </c>
      <c r="Y26" s="42"/>
    </row>
    <row r="27" spans="2:25" x14ac:dyDescent="0.25">
      <c r="B27" s="1">
        <v>24</v>
      </c>
      <c r="C27" s="1" t="s">
        <v>48</v>
      </c>
      <c r="D27" s="1" t="s">
        <v>51</v>
      </c>
      <c r="E27" s="2" t="s">
        <v>34</v>
      </c>
      <c r="F27" s="1" t="s">
        <v>5</v>
      </c>
      <c r="G27" s="3">
        <v>700</v>
      </c>
      <c r="H27" s="3">
        <f t="shared" si="0"/>
        <v>-85</v>
      </c>
      <c r="L27" s="1">
        <v>0</v>
      </c>
      <c r="M27" s="1">
        <v>150</v>
      </c>
      <c r="N27" s="1">
        <v>0</v>
      </c>
      <c r="O27" s="1">
        <v>0</v>
      </c>
      <c r="P27" s="1">
        <v>0</v>
      </c>
      <c r="Q27" s="1">
        <v>0</v>
      </c>
      <c r="R27" s="42"/>
      <c r="S27" s="1">
        <f>150+85</f>
        <v>235</v>
      </c>
      <c r="T27" s="1">
        <v>0</v>
      </c>
      <c r="U27" s="1">
        <v>0</v>
      </c>
      <c r="V27" s="1">
        <v>230</v>
      </c>
      <c r="Y27" s="42"/>
    </row>
    <row r="28" spans="2:25" x14ac:dyDescent="0.25">
      <c r="B28" s="1">
        <v>25</v>
      </c>
      <c r="C28" s="1" t="s">
        <v>48</v>
      </c>
      <c r="D28" s="1" t="s">
        <v>51</v>
      </c>
      <c r="E28" s="2" t="s">
        <v>35</v>
      </c>
      <c r="F28" s="1" t="s">
        <v>21</v>
      </c>
      <c r="G28" s="3">
        <v>300</v>
      </c>
      <c r="H28" s="3">
        <f t="shared" si="0"/>
        <v>300</v>
      </c>
      <c r="L28" s="1">
        <v>300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42"/>
      <c r="S28" s="1">
        <v>300</v>
      </c>
      <c r="T28" s="1">
        <v>0</v>
      </c>
      <c r="U28" s="1">
        <v>0</v>
      </c>
      <c r="Y28" s="42"/>
    </row>
    <row r="29" spans="2:25" x14ac:dyDescent="0.25">
      <c r="B29" s="1">
        <v>26</v>
      </c>
      <c r="C29" s="1" t="s">
        <v>48</v>
      </c>
      <c r="D29" s="1" t="s">
        <v>51</v>
      </c>
      <c r="E29" s="2" t="s">
        <v>36</v>
      </c>
      <c r="F29" s="1" t="s">
        <v>9</v>
      </c>
      <c r="G29" s="3">
        <v>1020</v>
      </c>
      <c r="H29" s="3">
        <f t="shared" si="0"/>
        <v>588</v>
      </c>
      <c r="L29" s="1">
        <v>0</v>
      </c>
      <c r="M29" s="1">
        <v>240</v>
      </c>
      <c r="N29" s="1">
        <v>288</v>
      </c>
      <c r="O29" s="1">
        <v>204</v>
      </c>
      <c r="P29" s="1">
        <v>396</v>
      </c>
      <c r="Q29" s="1">
        <v>0</v>
      </c>
      <c r="R29" s="42"/>
      <c r="S29" s="1">
        <f>480</f>
        <v>480</v>
      </c>
      <c r="T29" s="1">
        <v>0</v>
      </c>
      <c r="U29" s="1">
        <v>0</v>
      </c>
      <c r="Y29" s="42"/>
    </row>
    <row r="30" spans="2:25" x14ac:dyDescent="0.25">
      <c r="B30" s="1">
        <v>27</v>
      </c>
      <c r="C30" s="1" t="s">
        <v>48</v>
      </c>
      <c r="D30" s="1" t="s">
        <v>51</v>
      </c>
      <c r="E30" s="2" t="s">
        <v>37</v>
      </c>
      <c r="F30" s="1" t="s">
        <v>13</v>
      </c>
      <c r="G30" s="3">
        <v>360</v>
      </c>
      <c r="H30" s="3">
        <f t="shared" si="0"/>
        <v>270</v>
      </c>
      <c r="L30" s="1">
        <v>0</v>
      </c>
      <c r="M30" s="1">
        <v>0</v>
      </c>
      <c r="N30" s="1">
        <v>360</v>
      </c>
      <c r="O30" s="1">
        <v>0</v>
      </c>
      <c r="P30" s="1">
        <v>0</v>
      </c>
      <c r="Q30" s="1">
        <v>0</v>
      </c>
      <c r="R30" s="42"/>
      <c r="S30" s="1">
        <v>270</v>
      </c>
      <c r="T30" s="1">
        <v>0</v>
      </c>
      <c r="U30" s="1">
        <v>0</v>
      </c>
      <c r="Y30" s="42"/>
    </row>
    <row r="31" spans="2:25" x14ac:dyDescent="0.25">
      <c r="B31" s="1">
        <v>28</v>
      </c>
      <c r="C31" s="1" t="s">
        <v>48</v>
      </c>
      <c r="D31" s="1" t="s">
        <v>51</v>
      </c>
      <c r="E31" s="2" t="s">
        <v>38</v>
      </c>
      <c r="F31" s="1" t="s">
        <v>9</v>
      </c>
      <c r="G31" s="3">
        <v>1000</v>
      </c>
      <c r="H31" s="3">
        <f t="shared" si="0"/>
        <v>-500</v>
      </c>
      <c r="L31" s="1">
        <v>0</v>
      </c>
      <c r="M31" s="1">
        <v>0</v>
      </c>
      <c r="N31" s="1">
        <v>500</v>
      </c>
      <c r="O31" s="1">
        <v>0</v>
      </c>
      <c r="P31" s="1">
        <v>0</v>
      </c>
      <c r="Q31" s="1">
        <v>0</v>
      </c>
      <c r="R31" s="42"/>
      <c r="S31" s="1">
        <v>0</v>
      </c>
      <c r="T31" s="1">
        <v>0</v>
      </c>
      <c r="U31" s="1">
        <v>0</v>
      </c>
      <c r="Y31" s="42"/>
    </row>
    <row r="32" spans="2:25" x14ac:dyDescent="0.25">
      <c r="B32" s="1">
        <v>29</v>
      </c>
      <c r="C32" s="1" t="s">
        <v>48</v>
      </c>
      <c r="D32" s="1" t="s">
        <v>51</v>
      </c>
      <c r="E32" s="2" t="s">
        <v>39</v>
      </c>
      <c r="F32" s="1" t="s">
        <v>9</v>
      </c>
      <c r="G32" s="3">
        <v>60</v>
      </c>
      <c r="H32" s="3">
        <f t="shared" si="0"/>
        <v>-60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42"/>
      <c r="S32" s="1">
        <v>0</v>
      </c>
      <c r="T32" s="1">
        <v>0</v>
      </c>
      <c r="U32" s="1">
        <v>0</v>
      </c>
      <c r="Y32" s="42"/>
    </row>
    <row r="33" spans="2:25" x14ac:dyDescent="0.25">
      <c r="B33" s="1">
        <v>30</v>
      </c>
      <c r="C33" s="1" t="s">
        <v>48</v>
      </c>
      <c r="D33" s="1" t="s">
        <v>51</v>
      </c>
      <c r="E33" s="2" t="s">
        <v>40</v>
      </c>
      <c r="F33" s="1" t="s">
        <v>9</v>
      </c>
      <c r="G33" s="3">
        <v>840</v>
      </c>
      <c r="H33" s="3">
        <f t="shared" si="0"/>
        <v>-840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42"/>
      <c r="S33" s="1">
        <v>0</v>
      </c>
      <c r="T33" s="1">
        <v>0</v>
      </c>
      <c r="U33" s="1">
        <v>0</v>
      </c>
      <c r="Y33" s="42"/>
    </row>
    <row r="34" spans="2:25" x14ac:dyDescent="0.25">
      <c r="B34" s="1">
        <v>31</v>
      </c>
      <c r="C34" s="1" t="s">
        <v>48</v>
      </c>
      <c r="D34" s="1" t="s">
        <v>51</v>
      </c>
      <c r="E34" s="2" t="s">
        <v>41</v>
      </c>
      <c r="F34" s="1" t="s">
        <v>13</v>
      </c>
      <c r="G34" s="3">
        <v>336</v>
      </c>
      <c r="H34" s="3">
        <f t="shared" si="0"/>
        <v>0</v>
      </c>
      <c r="L34" s="1">
        <v>0</v>
      </c>
      <c r="M34" s="1">
        <v>336</v>
      </c>
      <c r="N34" s="1">
        <v>0</v>
      </c>
      <c r="O34" s="1">
        <v>0</v>
      </c>
      <c r="P34" s="1">
        <v>0</v>
      </c>
      <c r="Q34" s="1">
        <v>0</v>
      </c>
      <c r="R34" s="42"/>
      <c r="S34" s="1">
        <v>0</v>
      </c>
      <c r="T34" s="1">
        <v>0</v>
      </c>
      <c r="U34" s="1">
        <v>0</v>
      </c>
      <c r="Y34" s="42"/>
    </row>
    <row r="35" spans="2:25" x14ac:dyDescent="0.25">
      <c r="B35" s="1">
        <v>32</v>
      </c>
      <c r="C35" s="1" t="s">
        <v>48</v>
      </c>
      <c r="D35" s="1" t="s">
        <v>51</v>
      </c>
      <c r="E35" s="2" t="s">
        <v>42</v>
      </c>
      <c r="F35" s="1" t="s">
        <v>13</v>
      </c>
      <c r="G35" s="3">
        <v>240</v>
      </c>
      <c r="H35" s="3">
        <f t="shared" si="0"/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42"/>
      <c r="S35" s="1">
        <v>0</v>
      </c>
      <c r="T35" s="1">
        <v>240</v>
      </c>
      <c r="U35" s="1">
        <v>0</v>
      </c>
      <c r="Y35" s="42"/>
    </row>
    <row r="36" spans="2:25" x14ac:dyDescent="0.25">
      <c r="B36" s="1">
        <v>33</v>
      </c>
      <c r="C36" s="1" t="s">
        <v>48</v>
      </c>
      <c r="D36" s="1" t="s">
        <v>51</v>
      </c>
      <c r="E36" s="2" t="s">
        <v>43</v>
      </c>
      <c r="F36" s="1" t="s">
        <v>9</v>
      </c>
      <c r="G36" s="3">
        <v>350</v>
      </c>
      <c r="H36" s="3">
        <f t="shared" ref="H36:H67" si="1">SUM(I36:AM36)-G36</f>
        <v>0</v>
      </c>
      <c r="L36" s="1">
        <v>350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42"/>
      <c r="S36" s="1">
        <v>0</v>
      </c>
      <c r="T36" s="1">
        <v>0</v>
      </c>
      <c r="U36" s="1">
        <v>0</v>
      </c>
      <c r="Y36" s="42"/>
    </row>
    <row r="37" spans="2:25" x14ac:dyDescent="0.25">
      <c r="B37" s="1">
        <v>34</v>
      </c>
      <c r="C37" s="1" t="s">
        <v>48</v>
      </c>
      <c r="D37" s="1" t="s">
        <v>51</v>
      </c>
      <c r="E37" s="2" t="s">
        <v>44</v>
      </c>
      <c r="F37" s="1" t="s">
        <v>9</v>
      </c>
      <c r="G37" s="3">
        <v>300</v>
      </c>
      <c r="H37" s="3">
        <f t="shared" si="1"/>
        <v>199</v>
      </c>
      <c r="L37" s="1">
        <v>0</v>
      </c>
      <c r="M37" s="1">
        <v>299</v>
      </c>
      <c r="N37" s="1">
        <v>0</v>
      </c>
      <c r="O37" s="1">
        <v>0</v>
      </c>
      <c r="P37" s="1">
        <v>0</v>
      </c>
      <c r="Q37" s="1">
        <v>0</v>
      </c>
      <c r="R37" s="42"/>
      <c r="S37" s="1">
        <v>200</v>
      </c>
      <c r="T37" s="1">
        <v>0</v>
      </c>
      <c r="U37" s="1">
        <v>0</v>
      </c>
      <c r="Y37" s="42"/>
    </row>
    <row r="38" spans="2:25" x14ac:dyDescent="0.25">
      <c r="B38" s="1">
        <v>35</v>
      </c>
      <c r="C38" s="1" t="s">
        <v>48</v>
      </c>
      <c r="D38" s="1" t="s">
        <v>51</v>
      </c>
      <c r="E38" s="2" t="s">
        <v>45</v>
      </c>
      <c r="F38" s="1" t="s">
        <v>9</v>
      </c>
      <c r="G38" s="3">
        <v>6000</v>
      </c>
      <c r="H38" s="3">
        <f t="shared" si="1"/>
        <v>-4000</v>
      </c>
      <c r="L38" s="1">
        <v>0</v>
      </c>
      <c r="M38" s="1">
        <v>2000</v>
      </c>
      <c r="N38" s="1">
        <v>0</v>
      </c>
      <c r="O38" s="1">
        <v>0</v>
      </c>
      <c r="P38" s="1">
        <v>0</v>
      </c>
      <c r="Q38" s="1">
        <v>0</v>
      </c>
      <c r="R38" s="42"/>
      <c r="S38" s="1">
        <v>0</v>
      </c>
      <c r="T38" s="1">
        <v>0</v>
      </c>
      <c r="U38" s="1">
        <v>0</v>
      </c>
      <c r="Y38" s="42"/>
    </row>
    <row r="39" spans="2:25" x14ac:dyDescent="0.25">
      <c r="B39" s="1">
        <v>36</v>
      </c>
      <c r="C39" s="1" t="s">
        <v>48</v>
      </c>
      <c r="D39" s="1" t="s">
        <v>51</v>
      </c>
      <c r="E39" s="2" t="s">
        <v>46</v>
      </c>
      <c r="F39" s="1" t="s">
        <v>9</v>
      </c>
      <c r="G39" s="3">
        <v>600</v>
      </c>
      <c r="H39" s="3">
        <f t="shared" si="1"/>
        <v>0</v>
      </c>
      <c r="L39" s="1">
        <v>0</v>
      </c>
      <c r="M39" s="1">
        <v>600</v>
      </c>
      <c r="N39" s="1">
        <v>0</v>
      </c>
      <c r="O39" s="1">
        <v>0</v>
      </c>
      <c r="P39" s="1">
        <v>0</v>
      </c>
      <c r="Q39" s="1">
        <v>0</v>
      </c>
      <c r="R39" s="42"/>
      <c r="S39" s="1">
        <v>0</v>
      </c>
      <c r="T39" s="1">
        <v>0</v>
      </c>
      <c r="U39" s="1">
        <v>0</v>
      </c>
      <c r="Y39" s="42"/>
    </row>
    <row r="40" spans="2:25" x14ac:dyDescent="0.25">
      <c r="B40" s="1">
        <v>37</v>
      </c>
      <c r="C40" s="1" t="s">
        <v>48</v>
      </c>
      <c r="D40" s="1" t="s">
        <v>51</v>
      </c>
      <c r="E40" s="2" t="s">
        <v>47</v>
      </c>
      <c r="F40" s="1" t="s">
        <v>11</v>
      </c>
      <c r="G40" s="3">
        <v>120</v>
      </c>
      <c r="H40" s="3">
        <f t="shared" si="1"/>
        <v>60</v>
      </c>
      <c r="L40" s="1">
        <v>180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42"/>
      <c r="S40" s="1">
        <v>0</v>
      </c>
      <c r="T40" s="1">
        <v>0</v>
      </c>
      <c r="U40" s="1">
        <v>0</v>
      </c>
      <c r="Y40" s="42"/>
    </row>
    <row r="41" spans="2:25" x14ac:dyDescent="0.25">
      <c r="B41" s="1">
        <v>38</v>
      </c>
      <c r="C41" s="1" t="s">
        <v>48</v>
      </c>
      <c r="D41" s="1" t="s">
        <v>73</v>
      </c>
      <c r="E41" s="2" t="s">
        <v>52</v>
      </c>
      <c r="F41" s="1" t="s">
        <v>9</v>
      </c>
      <c r="G41" s="3">
        <v>60</v>
      </c>
      <c r="H41" s="3">
        <f t="shared" si="1"/>
        <v>-50</v>
      </c>
      <c r="L41" s="1">
        <v>10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42"/>
      <c r="S41" s="1">
        <v>0</v>
      </c>
      <c r="T41" s="1">
        <v>0</v>
      </c>
      <c r="U41" s="1">
        <v>0</v>
      </c>
      <c r="Y41" s="42"/>
    </row>
    <row r="42" spans="2:25" x14ac:dyDescent="0.25">
      <c r="B42" s="1">
        <v>39</v>
      </c>
      <c r="C42" s="1" t="s">
        <v>48</v>
      </c>
      <c r="D42" s="1" t="s">
        <v>73</v>
      </c>
      <c r="E42" s="2" t="s">
        <v>53</v>
      </c>
      <c r="F42" s="1" t="s">
        <v>11</v>
      </c>
      <c r="G42" s="3">
        <v>60</v>
      </c>
      <c r="H42" s="3">
        <f t="shared" si="1"/>
        <v>-60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42"/>
      <c r="S42" s="1">
        <v>0</v>
      </c>
      <c r="T42" s="1">
        <v>0</v>
      </c>
      <c r="U42" s="1">
        <v>0</v>
      </c>
      <c r="Y42" s="42"/>
    </row>
    <row r="43" spans="2:25" x14ac:dyDescent="0.25">
      <c r="B43" s="1">
        <v>40</v>
      </c>
      <c r="C43" s="1" t="s">
        <v>48</v>
      </c>
      <c r="D43" s="1" t="s">
        <v>73</v>
      </c>
      <c r="E43" s="2" t="s">
        <v>54</v>
      </c>
      <c r="F43" s="1" t="s">
        <v>9</v>
      </c>
      <c r="G43" s="3">
        <v>90</v>
      </c>
      <c r="H43" s="3">
        <f t="shared" si="1"/>
        <v>0</v>
      </c>
      <c r="L43" s="1">
        <v>0</v>
      </c>
      <c r="M43" s="1">
        <v>0</v>
      </c>
      <c r="N43" s="1">
        <v>90</v>
      </c>
      <c r="O43" s="1">
        <v>0</v>
      </c>
      <c r="P43" s="1">
        <v>0</v>
      </c>
      <c r="Q43" s="1">
        <v>0</v>
      </c>
      <c r="R43" s="42"/>
      <c r="S43" s="1">
        <v>0</v>
      </c>
      <c r="T43" s="1">
        <v>0</v>
      </c>
      <c r="U43" s="1">
        <v>0</v>
      </c>
      <c r="Y43" s="42"/>
    </row>
    <row r="44" spans="2:25" x14ac:dyDescent="0.25">
      <c r="B44" s="1">
        <v>41</v>
      </c>
      <c r="C44" s="1" t="s">
        <v>48</v>
      </c>
      <c r="D44" s="1" t="s">
        <v>73</v>
      </c>
      <c r="E44" s="2" t="s">
        <v>55</v>
      </c>
      <c r="F44" s="1" t="s">
        <v>5</v>
      </c>
      <c r="G44" s="3">
        <v>1</v>
      </c>
      <c r="H44" s="3">
        <f t="shared" si="1"/>
        <v>-1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42"/>
      <c r="S44" s="1">
        <v>0</v>
      </c>
      <c r="T44" s="1">
        <v>0</v>
      </c>
      <c r="U44" s="1">
        <v>0</v>
      </c>
      <c r="Y44" s="42"/>
    </row>
    <row r="45" spans="2:25" x14ac:dyDescent="0.25">
      <c r="B45" s="1">
        <v>42</v>
      </c>
      <c r="C45" s="1" t="s">
        <v>48</v>
      </c>
      <c r="D45" s="1" t="s">
        <v>73</v>
      </c>
      <c r="E45" s="2" t="s">
        <v>56</v>
      </c>
      <c r="F45" s="1" t="s">
        <v>11</v>
      </c>
      <c r="G45" s="3">
        <v>250</v>
      </c>
      <c r="H45" s="3">
        <f t="shared" si="1"/>
        <v>0</v>
      </c>
      <c r="L45" s="1">
        <v>0</v>
      </c>
      <c r="M45" s="1">
        <v>250</v>
      </c>
      <c r="N45" s="1">
        <v>0</v>
      </c>
      <c r="O45" s="1">
        <v>0</v>
      </c>
      <c r="P45" s="1">
        <v>0</v>
      </c>
      <c r="Q45" s="1">
        <v>0</v>
      </c>
      <c r="R45" s="42"/>
      <c r="S45" s="1">
        <v>0</v>
      </c>
      <c r="T45" s="1">
        <v>0</v>
      </c>
      <c r="U45" s="1">
        <v>0</v>
      </c>
      <c r="Y45" s="42"/>
    </row>
    <row r="46" spans="2:25" x14ac:dyDescent="0.25">
      <c r="B46" s="1">
        <v>43</v>
      </c>
      <c r="C46" s="1" t="s">
        <v>48</v>
      </c>
      <c r="D46" s="1" t="s">
        <v>73</v>
      </c>
      <c r="E46" s="2" t="s">
        <v>57</v>
      </c>
      <c r="F46" s="1" t="s">
        <v>9</v>
      </c>
      <c r="G46" s="3">
        <v>48</v>
      </c>
      <c r="H46" s="3">
        <f t="shared" si="1"/>
        <v>0</v>
      </c>
      <c r="L46" s="1">
        <v>0</v>
      </c>
      <c r="M46" s="1">
        <v>0</v>
      </c>
      <c r="N46" s="1">
        <v>0</v>
      </c>
      <c r="O46" s="1">
        <v>48</v>
      </c>
      <c r="P46" s="1">
        <v>0</v>
      </c>
      <c r="Q46" s="1">
        <v>0</v>
      </c>
      <c r="R46" s="42"/>
      <c r="S46" s="1">
        <v>0</v>
      </c>
      <c r="T46" s="1">
        <v>0</v>
      </c>
      <c r="U46" s="1">
        <v>0</v>
      </c>
      <c r="Y46" s="42"/>
    </row>
    <row r="47" spans="2:25" x14ac:dyDescent="0.25">
      <c r="B47" s="1">
        <v>44</v>
      </c>
      <c r="C47" s="1" t="s">
        <v>48</v>
      </c>
      <c r="D47" s="1" t="s">
        <v>73</v>
      </c>
      <c r="E47" s="2" t="s">
        <v>58</v>
      </c>
      <c r="F47" s="1" t="s">
        <v>5</v>
      </c>
      <c r="G47" s="3">
        <v>400</v>
      </c>
      <c r="H47" s="3">
        <f t="shared" si="1"/>
        <v>-360</v>
      </c>
      <c r="L47" s="1">
        <v>0</v>
      </c>
      <c r="M47" s="1">
        <v>0</v>
      </c>
      <c r="N47" s="1">
        <v>40</v>
      </c>
      <c r="O47" s="1">
        <v>0</v>
      </c>
      <c r="P47" s="1">
        <v>0</v>
      </c>
      <c r="Q47" s="1">
        <v>0</v>
      </c>
      <c r="R47" s="42"/>
      <c r="S47" s="1">
        <v>0</v>
      </c>
      <c r="T47" s="1">
        <v>0</v>
      </c>
      <c r="U47" s="1">
        <v>0</v>
      </c>
      <c r="Y47" s="42"/>
    </row>
    <row r="48" spans="2:25" x14ac:dyDescent="0.25">
      <c r="B48" s="1">
        <v>45</v>
      </c>
      <c r="C48" s="1" t="s">
        <v>48</v>
      </c>
      <c r="D48" s="1" t="s">
        <v>73</v>
      </c>
      <c r="E48" s="2" t="s">
        <v>59</v>
      </c>
      <c r="F48" s="1" t="s">
        <v>21</v>
      </c>
      <c r="G48" s="3">
        <v>300</v>
      </c>
      <c r="H48" s="3">
        <f t="shared" si="1"/>
        <v>0</v>
      </c>
      <c r="L48" s="1">
        <v>0</v>
      </c>
      <c r="M48" s="1">
        <v>0</v>
      </c>
      <c r="N48" s="1">
        <v>300</v>
      </c>
      <c r="O48" s="1">
        <v>0</v>
      </c>
      <c r="P48" s="1">
        <v>0</v>
      </c>
      <c r="Q48" s="1">
        <v>0</v>
      </c>
      <c r="R48" s="42"/>
      <c r="S48" s="1">
        <v>0</v>
      </c>
      <c r="T48" s="1">
        <v>0</v>
      </c>
      <c r="U48" s="1">
        <v>0</v>
      </c>
      <c r="Y48" s="42"/>
    </row>
    <row r="49" spans="2:25" x14ac:dyDescent="0.25">
      <c r="B49" s="1">
        <v>46</v>
      </c>
      <c r="C49" s="1" t="s">
        <v>48</v>
      </c>
      <c r="D49" s="1" t="s">
        <v>73</v>
      </c>
      <c r="E49" s="2" t="s">
        <v>60</v>
      </c>
      <c r="F49" s="1" t="s">
        <v>11</v>
      </c>
      <c r="G49" s="3">
        <v>20</v>
      </c>
      <c r="H49" s="3">
        <f t="shared" si="1"/>
        <v>0</v>
      </c>
      <c r="L49" s="1">
        <v>0</v>
      </c>
      <c r="M49" s="1">
        <v>20</v>
      </c>
      <c r="N49" s="1">
        <v>0</v>
      </c>
      <c r="O49" s="1">
        <v>0</v>
      </c>
      <c r="P49" s="1">
        <v>0</v>
      </c>
      <c r="Q49" s="1">
        <v>0</v>
      </c>
      <c r="R49" s="42"/>
      <c r="S49" s="1">
        <v>0</v>
      </c>
      <c r="T49" s="1">
        <v>0</v>
      </c>
      <c r="U49" s="1">
        <v>0</v>
      </c>
      <c r="Y49" s="42"/>
    </row>
    <row r="50" spans="2:25" x14ac:dyDescent="0.25">
      <c r="B50" s="1">
        <v>47</v>
      </c>
      <c r="C50" s="1" t="s">
        <v>48</v>
      </c>
      <c r="D50" s="1" t="s">
        <v>73</v>
      </c>
      <c r="E50" s="2" t="s">
        <v>61</v>
      </c>
      <c r="F50" s="1" t="s">
        <v>9</v>
      </c>
      <c r="G50" s="3">
        <v>22</v>
      </c>
      <c r="H50" s="3">
        <f t="shared" si="1"/>
        <v>2</v>
      </c>
      <c r="L50" s="1">
        <v>0</v>
      </c>
      <c r="M50" s="1">
        <v>0</v>
      </c>
      <c r="N50" s="1">
        <v>0</v>
      </c>
      <c r="O50" s="1">
        <v>24</v>
      </c>
      <c r="P50" s="1">
        <v>0</v>
      </c>
      <c r="Q50" s="1">
        <v>0</v>
      </c>
      <c r="R50" s="42"/>
      <c r="S50" s="1">
        <v>0</v>
      </c>
      <c r="T50" s="1">
        <v>0</v>
      </c>
      <c r="U50" s="1">
        <v>0</v>
      </c>
      <c r="Y50" s="42"/>
    </row>
    <row r="51" spans="2:25" x14ac:dyDescent="0.25">
      <c r="B51" s="1">
        <v>48</v>
      </c>
      <c r="C51" s="1" t="s">
        <v>48</v>
      </c>
      <c r="D51" s="1" t="s">
        <v>73</v>
      </c>
      <c r="E51" s="2" t="s">
        <v>62</v>
      </c>
      <c r="F51" s="1" t="s">
        <v>63</v>
      </c>
      <c r="G51" s="3">
        <v>150</v>
      </c>
      <c r="H51" s="3">
        <f t="shared" si="1"/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42"/>
      <c r="S51" s="1">
        <v>0</v>
      </c>
      <c r="T51" s="1">
        <v>150</v>
      </c>
      <c r="U51" s="1">
        <v>0</v>
      </c>
      <c r="Y51" s="42"/>
    </row>
    <row r="52" spans="2:25" x14ac:dyDescent="0.25">
      <c r="B52" s="1">
        <v>49</v>
      </c>
      <c r="C52" s="1" t="s">
        <v>48</v>
      </c>
      <c r="D52" s="1" t="s">
        <v>73</v>
      </c>
      <c r="E52" s="2" t="s">
        <v>64</v>
      </c>
      <c r="F52" s="1" t="s">
        <v>9</v>
      </c>
      <c r="G52" s="3">
        <v>200</v>
      </c>
      <c r="H52" s="3">
        <f t="shared" si="1"/>
        <v>4</v>
      </c>
      <c r="L52" s="1">
        <v>0</v>
      </c>
      <c r="M52" s="1">
        <v>0</v>
      </c>
      <c r="N52" s="1">
        <v>144</v>
      </c>
      <c r="O52" s="1">
        <v>0</v>
      </c>
      <c r="P52" s="1">
        <v>0</v>
      </c>
      <c r="Q52" s="1">
        <v>0</v>
      </c>
      <c r="R52" s="42"/>
      <c r="S52" s="1">
        <v>60</v>
      </c>
      <c r="T52" s="1">
        <v>0</v>
      </c>
      <c r="U52" s="1">
        <v>0</v>
      </c>
      <c r="Y52" s="42"/>
    </row>
    <row r="53" spans="2:25" x14ac:dyDescent="0.25">
      <c r="B53" s="1">
        <v>50</v>
      </c>
      <c r="C53" s="1" t="s">
        <v>48</v>
      </c>
      <c r="D53" s="1" t="s">
        <v>73</v>
      </c>
      <c r="E53" s="2" t="s">
        <v>65</v>
      </c>
      <c r="F53" s="1" t="s">
        <v>23</v>
      </c>
      <c r="G53" s="3">
        <v>84</v>
      </c>
      <c r="H53" s="3">
        <f t="shared" si="1"/>
        <v>0</v>
      </c>
      <c r="L53" s="1">
        <v>84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42"/>
      <c r="S53" s="1">
        <v>0</v>
      </c>
      <c r="T53" s="1">
        <v>0</v>
      </c>
      <c r="U53" s="1">
        <v>0</v>
      </c>
      <c r="Y53" s="42"/>
    </row>
    <row r="54" spans="2:25" x14ac:dyDescent="0.25">
      <c r="B54" s="1">
        <v>51</v>
      </c>
      <c r="C54" s="1" t="s">
        <v>48</v>
      </c>
      <c r="D54" s="1" t="s">
        <v>73</v>
      </c>
      <c r="E54" s="2" t="s">
        <v>66</v>
      </c>
      <c r="F54" s="1" t="s">
        <v>23</v>
      </c>
      <c r="G54" s="3">
        <v>42</v>
      </c>
      <c r="H54" s="3">
        <f t="shared" si="1"/>
        <v>0</v>
      </c>
      <c r="L54" s="1">
        <v>42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42"/>
      <c r="S54" s="1">
        <v>0</v>
      </c>
      <c r="T54" s="1">
        <v>0</v>
      </c>
      <c r="U54" s="1">
        <v>0</v>
      </c>
      <c r="Y54" s="42"/>
    </row>
    <row r="55" spans="2:25" x14ac:dyDescent="0.25">
      <c r="B55" s="1">
        <v>52</v>
      </c>
      <c r="C55" s="1" t="s">
        <v>48</v>
      </c>
      <c r="D55" s="1" t="s">
        <v>73</v>
      </c>
      <c r="E55" s="2" t="s">
        <v>67</v>
      </c>
      <c r="F55" s="1" t="s">
        <v>23</v>
      </c>
      <c r="G55" s="3">
        <v>226</v>
      </c>
      <c r="H55" s="3">
        <f t="shared" si="1"/>
        <v>0</v>
      </c>
      <c r="L55" s="1">
        <v>226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42"/>
      <c r="S55" s="1">
        <v>0</v>
      </c>
      <c r="T55" s="1">
        <v>0</v>
      </c>
      <c r="U55" s="1">
        <v>0</v>
      </c>
      <c r="Y55" s="42"/>
    </row>
    <row r="56" spans="2:25" x14ac:dyDescent="0.25">
      <c r="B56" s="1">
        <v>53</v>
      </c>
      <c r="C56" s="1" t="s">
        <v>48</v>
      </c>
      <c r="D56" s="1" t="s">
        <v>73</v>
      </c>
      <c r="E56" s="2" t="s">
        <v>68</v>
      </c>
      <c r="F56" s="1" t="s">
        <v>9</v>
      </c>
      <c r="G56" s="3">
        <v>100</v>
      </c>
      <c r="H56" s="3">
        <f t="shared" si="1"/>
        <v>0</v>
      </c>
      <c r="L56" s="1">
        <v>0</v>
      </c>
      <c r="M56" s="1">
        <v>100</v>
      </c>
      <c r="N56" s="1">
        <v>0</v>
      </c>
      <c r="O56" s="1">
        <v>0</v>
      </c>
      <c r="P56" s="1">
        <v>0</v>
      </c>
      <c r="Q56" s="1">
        <v>0</v>
      </c>
      <c r="R56" s="42"/>
      <c r="S56" s="1">
        <v>0</v>
      </c>
      <c r="T56" s="1">
        <v>0</v>
      </c>
      <c r="U56" s="1">
        <v>0</v>
      </c>
      <c r="Y56" s="42"/>
    </row>
    <row r="57" spans="2:25" x14ac:dyDescent="0.25">
      <c r="B57" s="1">
        <v>54</v>
      </c>
      <c r="C57" s="1" t="s">
        <v>48</v>
      </c>
      <c r="D57" s="1" t="s">
        <v>73</v>
      </c>
      <c r="E57" s="2" t="s">
        <v>69</v>
      </c>
      <c r="F57" s="1" t="s">
        <v>70</v>
      </c>
      <c r="G57" s="3">
        <v>12</v>
      </c>
      <c r="H57" s="3">
        <f t="shared" si="1"/>
        <v>0</v>
      </c>
      <c r="L57" s="1">
        <v>0</v>
      </c>
      <c r="M57" s="1">
        <v>12</v>
      </c>
      <c r="N57" s="1">
        <v>0</v>
      </c>
      <c r="O57" s="1">
        <v>0</v>
      </c>
      <c r="P57" s="1">
        <v>0</v>
      </c>
      <c r="Q57" s="1">
        <v>0</v>
      </c>
      <c r="R57" s="42"/>
      <c r="S57" s="1">
        <v>0</v>
      </c>
      <c r="T57" s="1">
        <v>0</v>
      </c>
      <c r="U57" s="1">
        <v>0</v>
      </c>
      <c r="Y57" s="42"/>
    </row>
    <row r="58" spans="2:25" x14ac:dyDescent="0.25">
      <c r="B58" s="1">
        <v>55</v>
      </c>
      <c r="C58" s="1" t="s">
        <v>48</v>
      </c>
      <c r="D58" s="1" t="s">
        <v>73</v>
      </c>
      <c r="E58" s="2" t="s">
        <v>71</v>
      </c>
      <c r="F58" s="1" t="s">
        <v>70</v>
      </c>
      <c r="G58" s="3">
        <v>18</v>
      </c>
      <c r="H58" s="3">
        <f t="shared" si="1"/>
        <v>0</v>
      </c>
      <c r="L58" s="1">
        <v>0</v>
      </c>
      <c r="M58" s="1">
        <v>0</v>
      </c>
      <c r="N58" s="1">
        <v>18</v>
      </c>
      <c r="O58" s="1">
        <v>0</v>
      </c>
      <c r="P58" s="1">
        <v>0</v>
      </c>
      <c r="Q58" s="1">
        <v>0</v>
      </c>
      <c r="R58" s="42"/>
      <c r="S58" s="1">
        <v>0</v>
      </c>
      <c r="T58" s="1">
        <v>0</v>
      </c>
      <c r="U58" s="1">
        <v>0</v>
      </c>
      <c r="Y58" s="42"/>
    </row>
    <row r="59" spans="2:25" x14ac:dyDescent="0.25">
      <c r="B59" s="1">
        <v>56</v>
      </c>
      <c r="C59" s="1" t="s">
        <v>48</v>
      </c>
      <c r="D59" s="1" t="s">
        <v>73</v>
      </c>
      <c r="E59" s="2" t="s">
        <v>72</v>
      </c>
      <c r="F59" s="1" t="s">
        <v>11</v>
      </c>
      <c r="G59" s="3">
        <v>200</v>
      </c>
      <c r="H59" s="3">
        <f t="shared" si="1"/>
        <v>0</v>
      </c>
      <c r="L59" s="1">
        <v>0</v>
      </c>
      <c r="M59" s="1">
        <v>0</v>
      </c>
      <c r="N59" s="1">
        <v>200</v>
      </c>
      <c r="O59" s="1">
        <v>0</v>
      </c>
      <c r="P59" s="1">
        <v>0</v>
      </c>
      <c r="Q59" s="1">
        <v>0</v>
      </c>
      <c r="R59" s="42"/>
      <c r="S59" s="1">
        <v>0</v>
      </c>
      <c r="T59" s="1">
        <v>0</v>
      </c>
      <c r="U59" s="1">
        <v>0</v>
      </c>
      <c r="Y59" s="42"/>
    </row>
    <row r="60" spans="2:25" x14ac:dyDescent="0.25">
      <c r="B60" s="1">
        <v>57</v>
      </c>
      <c r="C60" s="1" t="s">
        <v>48</v>
      </c>
      <c r="D60" s="1" t="s">
        <v>133</v>
      </c>
      <c r="E60" s="2" t="s">
        <v>74</v>
      </c>
      <c r="F60" s="1" t="s">
        <v>75</v>
      </c>
      <c r="G60" s="3">
        <v>18</v>
      </c>
      <c r="H60" s="3">
        <f t="shared" si="1"/>
        <v>0</v>
      </c>
      <c r="L60" s="1">
        <v>18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42"/>
      <c r="S60" s="1">
        <v>0</v>
      </c>
      <c r="T60" s="1">
        <v>0</v>
      </c>
      <c r="U60" s="1">
        <v>0</v>
      </c>
      <c r="Y60" s="42"/>
    </row>
    <row r="61" spans="2:25" x14ac:dyDescent="0.25">
      <c r="B61" s="1">
        <v>58</v>
      </c>
      <c r="C61" s="1" t="s">
        <v>48</v>
      </c>
      <c r="D61" s="1" t="s">
        <v>133</v>
      </c>
      <c r="E61" s="2" t="s">
        <v>76</v>
      </c>
      <c r="F61" s="1" t="s">
        <v>9</v>
      </c>
      <c r="G61" s="3">
        <v>35</v>
      </c>
      <c r="H61" s="3">
        <f t="shared" si="1"/>
        <v>0</v>
      </c>
      <c r="L61" s="1">
        <v>35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42"/>
      <c r="S61" s="1">
        <v>0</v>
      </c>
      <c r="T61" s="1">
        <v>0</v>
      </c>
      <c r="U61" s="1">
        <v>0</v>
      </c>
      <c r="Y61" s="42"/>
    </row>
    <row r="62" spans="2:25" x14ac:dyDescent="0.25">
      <c r="B62" s="1">
        <v>59</v>
      </c>
      <c r="C62" s="1" t="s">
        <v>48</v>
      </c>
      <c r="D62" s="1" t="s">
        <v>133</v>
      </c>
      <c r="E62" s="2" t="s">
        <v>77</v>
      </c>
      <c r="F62" s="1" t="s">
        <v>9</v>
      </c>
      <c r="G62" s="3">
        <v>60</v>
      </c>
      <c r="H62" s="3">
        <f t="shared" si="1"/>
        <v>0</v>
      </c>
      <c r="L62" s="1">
        <v>60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42"/>
      <c r="S62" s="1">
        <v>0</v>
      </c>
      <c r="T62" s="1">
        <v>0</v>
      </c>
      <c r="U62" s="1">
        <v>0</v>
      </c>
      <c r="Y62" s="42"/>
    </row>
    <row r="63" spans="2:25" x14ac:dyDescent="0.25">
      <c r="B63" s="1">
        <v>60</v>
      </c>
      <c r="C63" s="1" t="s">
        <v>48</v>
      </c>
      <c r="D63" s="1" t="s">
        <v>133</v>
      </c>
      <c r="E63" s="2" t="s">
        <v>78</v>
      </c>
      <c r="F63" s="1" t="s">
        <v>79</v>
      </c>
      <c r="G63" s="3">
        <v>4</v>
      </c>
      <c r="H63" s="3">
        <f t="shared" si="1"/>
        <v>0</v>
      </c>
      <c r="L63" s="1">
        <v>0</v>
      </c>
      <c r="M63" s="1">
        <v>0</v>
      </c>
      <c r="N63" s="1">
        <v>4</v>
      </c>
      <c r="O63" s="1">
        <v>0</v>
      </c>
      <c r="P63" s="1">
        <v>0</v>
      </c>
      <c r="Q63" s="1">
        <v>0</v>
      </c>
      <c r="R63" s="42"/>
      <c r="S63" s="1">
        <v>0</v>
      </c>
      <c r="T63" s="1">
        <v>0</v>
      </c>
      <c r="U63" s="1">
        <v>0</v>
      </c>
      <c r="Y63" s="42"/>
    </row>
    <row r="64" spans="2:25" x14ac:dyDescent="0.25">
      <c r="B64" s="1">
        <v>61</v>
      </c>
      <c r="C64" s="1" t="s">
        <v>48</v>
      </c>
      <c r="D64" s="1" t="s">
        <v>133</v>
      </c>
      <c r="E64" s="2" t="s">
        <v>80</v>
      </c>
      <c r="F64" s="1" t="s">
        <v>5</v>
      </c>
      <c r="G64" s="3">
        <v>72</v>
      </c>
      <c r="H64" s="3">
        <f t="shared" si="1"/>
        <v>4</v>
      </c>
      <c r="L64" s="1">
        <v>72</v>
      </c>
      <c r="M64" s="1">
        <v>0</v>
      </c>
      <c r="N64" s="1">
        <v>4</v>
      </c>
      <c r="O64" s="1">
        <v>0</v>
      </c>
      <c r="P64" s="1">
        <v>0</v>
      </c>
      <c r="Q64" s="1">
        <v>0</v>
      </c>
      <c r="R64" s="42"/>
      <c r="S64" s="1">
        <v>0</v>
      </c>
      <c r="T64" s="1">
        <v>0</v>
      </c>
      <c r="U64" s="1">
        <v>0</v>
      </c>
      <c r="Y64" s="42"/>
    </row>
    <row r="65" spans="2:25" x14ac:dyDescent="0.25">
      <c r="B65" s="1">
        <v>62</v>
      </c>
      <c r="C65" s="1" t="s">
        <v>48</v>
      </c>
      <c r="D65" s="1" t="s">
        <v>133</v>
      </c>
      <c r="E65" s="2" t="s">
        <v>81</v>
      </c>
      <c r="F65" s="1" t="s">
        <v>9</v>
      </c>
      <c r="G65" s="3">
        <v>1000</v>
      </c>
      <c r="H65" s="3">
        <f t="shared" si="1"/>
        <v>-300</v>
      </c>
      <c r="L65" s="1">
        <v>0</v>
      </c>
      <c r="M65" s="1">
        <v>0</v>
      </c>
      <c r="N65" s="1">
        <v>700</v>
      </c>
      <c r="O65" s="1">
        <v>0</v>
      </c>
      <c r="P65" s="1">
        <v>0</v>
      </c>
      <c r="Q65" s="1">
        <v>0</v>
      </c>
      <c r="R65" s="42"/>
      <c r="S65" s="1">
        <v>0</v>
      </c>
      <c r="T65" s="1">
        <v>0</v>
      </c>
      <c r="U65" s="1">
        <v>0</v>
      </c>
      <c r="Y65" s="42"/>
    </row>
    <row r="66" spans="2:25" x14ac:dyDescent="0.25">
      <c r="B66" s="1">
        <v>63</v>
      </c>
      <c r="C66" s="1" t="s">
        <v>48</v>
      </c>
      <c r="D66" s="1" t="s">
        <v>133</v>
      </c>
      <c r="E66" s="2" t="s">
        <v>82</v>
      </c>
      <c r="F66" s="1" t="s">
        <v>79</v>
      </c>
      <c r="G66" s="3">
        <v>40</v>
      </c>
      <c r="H66" s="3">
        <f t="shared" si="1"/>
        <v>0</v>
      </c>
      <c r="L66" s="1">
        <v>0</v>
      </c>
      <c r="M66" s="1">
        <v>0</v>
      </c>
      <c r="N66" s="1">
        <v>40</v>
      </c>
      <c r="O66" s="1">
        <v>0</v>
      </c>
      <c r="P66" s="1">
        <v>0</v>
      </c>
      <c r="Q66" s="1">
        <v>0</v>
      </c>
      <c r="R66" s="42"/>
      <c r="S66" s="1">
        <v>0</v>
      </c>
      <c r="T66" s="1">
        <v>0</v>
      </c>
      <c r="U66" s="1">
        <v>0</v>
      </c>
      <c r="Y66" s="42"/>
    </row>
    <row r="67" spans="2:25" x14ac:dyDescent="0.25">
      <c r="B67" s="1">
        <v>64</v>
      </c>
      <c r="C67" s="1" t="s">
        <v>48</v>
      </c>
      <c r="D67" s="1" t="s">
        <v>133</v>
      </c>
      <c r="E67" s="2" t="s">
        <v>83</v>
      </c>
      <c r="F67" s="1" t="s">
        <v>9</v>
      </c>
      <c r="G67" s="3">
        <v>400</v>
      </c>
      <c r="H67" s="3">
        <f t="shared" si="1"/>
        <v>0</v>
      </c>
      <c r="L67" s="1">
        <v>0</v>
      </c>
      <c r="M67" s="1">
        <v>0</v>
      </c>
      <c r="N67" s="1">
        <v>400</v>
      </c>
      <c r="O67" s="1">
        <v>0</v>
      </c>
      <c r="P67" s="1">
        <v>0</v>
      </c>
      <c r="Q67" s="1">
        <v>0</v>
      </c>
      <c r="R67" s="42"/>
      <c r="S67" s="1">
        <v>0</v>
      </c>
      <c r="T67" s="1">
        <v>0</v>
      </c>
      <c r="U67" s="1">
        <v>0</v>
      </c>
      <c r="Y67" s="42"/>
    </row>
    <row r="68" spans="2:25" x14ac:dyDescent="0.25">
      <c r="B68" s="1">
        <v>65</v>
      </c>
      <c r="C68" s="1" t="s">
        <v>48</v>
      </c>
      <c r="D68" s="1" t="s">
        <v>133</v>
      </c>
      <c r="E68" s="2" t="s">
        <v>84</v>
      </c>
      <c r="F68" s="1" t="s">
        <v>5</v>
      </c>
      <c r="G68" s="3">
        <v>70</v>
      </c>
      <c r="H68" s="3">
        <f t="shared" ref="H68:H99" si="2">SUM(I68:AM68)-G68</f>
        <v>-55</v>
      </c>
      <c r="L68" s="1">
        <v>15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42"/>
      <c r="S68" s="1">
        <v>0</v>
      </c>
      <c r="T68" s="1">
        <v>0</v>
      </c>
      <c r="U68" s="1">
        <v>0</v>
      </c>
      <c r="Y68" s="42"/>
    </row>
    <row r="69" spans="2:25" x14ac:dyDescent="0.25">
      <c r="B69" s="1">
        <v>66</v>
      </c>
      <c r="C69" s="1" t="s">
        <v>48</v>
      </c>
      <c r="D69" s="1" t="s">
        <v>133</v>
      </c>
      <c r="E69" s="2" t="s">
        <v>85</v>
      </c>
      <c r="F69" s="1" t="s">
        <v>79</v>
      </c>
      <c r="G69" s="3">
        <v>10000</v>
      </c>
      <c r="H69" s="3">
        <f t="shared" si="2"/>
        <v>-7000</v>
      </c>
      <c r="L69" s="1">
        <v>0</v>
      </c>
      <c r="M69" s="1">
        <v>0</v>
      </c>
      <c r="N69" s="1">
        <v>2000</v>
      </c>
      <c r="O69" s="1">
        <v>0</v>
      </c>
      <c r="P69" s="1">
        <v>1000</v>
      </c>
      <c r="Q69" s="1">
        <v>0</v>
      </c>
      <c r="R69" s="42"/>
      <c r="S69" s="1">
        <v>0</v>
      </c>
      <c r="T69" s="1">
        <v>0</v>
      </c>
      <c r="U69" s="1">
        <v>0</v>
      </c>
      <c r="Y69" s="42"/>
    </row>
    <row r="70" spans="2:25" x14ac:dyDescent="0.25">
      <c r="B70" s="1">
        <v>67</v>
      </c>
      <c r="C70" s="1" t="s">
        <v>48</v>
      </c>
      <c r="D70" s="1" t="s">
        <v>133</v>
      </c>
      <c r="E70" s="2" t="s">
        <v>86</v>
      </c>
      <c r="F70" s="1" t="s">
        <v>75</v>
      </c>
      <c r="G70" s="3">
        <v>80</v>
      </c>
      <c r="H70" s="3">
        <f t="shared" si="2"/>
        <v>-80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42"/>
      <c r="S70" s="1">
        <v>0</v>
      </c>
      <c r="T70" s="1">
        <v>0</v>
      </c>
      <c r="U70" s="1">
        <v>0</v>
      </c>
      <c r="Y70" s="42"/>
    </row>
    <row r="71" spans="2:25" x14ac:dyDescent="0.25">
      <c r="B71" s="1">
        <v>68</v>
      </c>
      <c r="C71" s="1" t="s">
        <v>48</v>
      </c>
      <c r="D71" s="1" t="s">
        <v>133</v>
      </c>
      <c r="E71" s="2" t="s">
        <v>87</v>
      </c>
      <c r="F71" s="1" t="s">
        <v>75</v>
      </c>
      <c r="G71" s="3">
        <v>40</v>
      </c>
      <c r="H71" s="3">
        <f t="shared" si="2"/>
        <v>-40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42"/>
      <c r="S71" s="1">
        <v>0</v>
      </c>
      <c r="T71" s="1">
        <v>0</v>
      </c>
      <c r="U71" s="1">
        <v>0</v>
      </c>
      <c r="Y71" s="42"/>
    </row>
    <row r="72" spans="2:25" x14ac:dyDescent="0.25">
      <c r="B72" s="1">
        <v>69</v>
      </c>
      <c r="C72" s="1" t="s">
        <v>48</v>
      </c>
      <c r="D72" s="1" t="s">
        <v>133</v>
      </c>
      <c r="E72" s="2" t="s">
        <v>88</v>
      </c>
      <c r="F72" s="1" t="s">
        <v>75</v>
      </c>
      <c r="G72" s="3">
        <v>40</v>
      </c>
      <c r="H72" s="3">
        <f t="shared" si="2"/>
        <v>-40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42"/>
      <c r="S72" s="1">
        <v>0</v>
      </c>
      <c r="T72" s="1">
        <v>0</v>
      </c>
      <c r="U72" s="1">
        <v>0</v>
      </c>
      <c r="Y72" s="42"/>
    </row>
    <row r="73" spans="2:25" x14ac:dyDescent="0.25">
      <c r="B73" s="1">
        <v>70</v>
      </c>
      <c r="C73" s="1" t="s">
        <v>48</v>
      </c>
      <c r="D73" s="1" t="s">
        <v>133</v>
      </c>
      <c r="E73" s="2" t="s">
        <v>89</v>
      </c>
      <c r="F73" s="1" t="s">
        <v>75</v>
      </c>
      <c r="G73" s="3">
        <v>80</v>
      </c>
      <c r="H73" s="3">
        <f t="shared" si="2"/>
        <v>-80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42"/>
      <c r="S73" s="1">
        <v>0</v>
      </c>
      <c r="T73" s="1">
        <v>0</v>
      </c>
      <c r="U73" s="1">
        <v>0</v>
      </c>
      <c r="Y73" s="42"/>
    </row>
    <row r="74" spans="2:25" x14ac:dyDescent="0.25">
      <c r="B74" s="1">
        <v>71</v>
      </c>
      <c r="C74" s="1" t="s">
        <v>48</v>
      </c>
      <c r="D74" s="1" t="s">
        <v>133</v>
      </c>
      <c r="E74" s="2" t="s">
        <v>90</v>
      </c>
      <c r="F74" s="1" t="s">
        <v>9</v>
      </c>
      <c r="G74" s="3">
        <v>10</v>
      </c>
      <c r="H74" s="3">
        <f t="shared" si="2"/>
        <v>10</v>
      </c>
      <c r="L74" s="1">
        <v>0</v>
      </c>
      <c r="M74" s="1">
        <v>0</v>
      </c>
      <c r="N74" s="1">
        <v>20</v>
      </c>
      <c r="O74" s="1">
        <v>0</v>
      </c>
      <c r="P74" s="1">
        <v>0</v>
      </c>
      <c r="Q74" s="1">
        <v>0</v>
      </c>
      <c r="R74" s="42"/>
      <c r="S74" s="1">
        <v>0</v>
      </c>
      <c r="T74" s="1">
        <v>0</v>
      </c>
      <c r="U74" s="1">
        <v>0</v>
      </c>
      <c r="Y74" s="42"/>
    </row>
    <row r="75" spans="2:25" x14ac:dyDescent="0.25">
      <c r="B75" s="1">
        <v>72</v>
      </c>
      <c r="C75" s="1" t="s">
        <v>48</v>
      </c>
      <c r="D75" s="1" t="s">
        <v>133</v>
      </c>
      <c r="E75" s="2" t="s">
        <v>91</v>
      </c>
      <c r="F75" s="1" t="s">
        <v>79</v>
      </c>
      <c r="G75" s="3">
        <v>20</v>
      </c>
      <c r="H75" s="3">
        <f t="shared" si="2"/>
        <v>-20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42"/>
      <c r="S75" s="1">
        <v>0</v>
      </c>
      <c r="T75" s="1">
        <v>0</v>
      </c>
      <c r="U75" s="1">
        <v>0</v>
      </c>
      <c r="Y75" s="42"/>
    </row>
    <row r="76" spans="2:25" x14ac:dyDescent="0.25">
      <c r="B76" s="1">
        <v>73</v>
      </c>
      <c r="C76" s="1" t="s">
        <v>48</v>
      </c>
      <c r="D76" s="1" t="s">
        <v>133</v>
      </c>
      <c r="E76" s="2" t="s">
        <v>92</v>
      </c>
      <c r="F76" s="1" t="s">
        <v>9</v>
      </c>
      <c r="G76" s="3">
        <v>40</v>
      </c>
      <c r="H76" s="3">
        <f t="shared" si="2"/>
        <v>5</v>
      </c>
      <c r="L76" s="1">
        <v>40</v>
      </c>
      <c r="M76" s="1">
        <v>0</v>
      </c>
      <c r="N76" s="1">
        <v>5</v>
      </c>
      <c r="O76" s="1">
        <v>0</v>
      </c>
      <c r="P76" s="1">
        <v>0</v>
      </c>
      <c r="Q76" s="1">
        <v>0</v>
      </c>
      <c r="R76" s="42"/>
      <c r="S76" s="1">
        <v>0</v>
      </c>
      <c r="T76" s="1">
        <v>0</v>
      </c>
      <c r="U76" s="1">
        <v>0</v>
      </c>
      <c r="Y76" s="42"/>
    </row>
    <row r="77" spans="2:25" x14ac:dyDescent="0.25">
      <c r="B77" s="1">
        <v>74</v>
      </c>
      <c r="C77" s="1" t="s">
        <v>48</v>
      </c>
      <c r="D77" s="1" t="s">
        <v>133</v>
      </c>
      <c r="E77" s="2" t="s">
        <v>93</v>
      </c>
      <c r="F77" s="1" t="s">
        <v>5</v>
      </c>
      <c r="G77" s="3">
        <v>30</v>
      </c>
      <c r="H77" s="3">
        <f t="shared" si="2"/>
        <v>1</v>
      </c>
      <c r="L77" s="1">
        <v>30</v>
      </c>
      <c r="M77" s="1">
        <v>0</v>
      </c>
      <c r="N77" s="1">
        <v>1</v>
      </c>
      <c r="O77" s="1">
        <v>0</v>
      </c>
      <c r="P77" s="1">
        <v>0</v>
      </c>
      <c r="Q77" s="1">
        <v>0</v>
      </c>
      <c r="R77" s="42"/>
      <c r="S77" s="1">
        <v>0</v>
      </c>
      <c r="T77" s="1">
        <v>0</v>
      </c>
      <c r="U77" s="1">
        <v>0</v>
      </c>
      <c r="Y77" s="42"/>
    </row>
    <row r="78" spans="2:25" x14ac:dyDescent="0.25">
      <c r="B78" s="1">
        <v>75</v>
      </c>
      <c r="C78" s="1" t="s">
        <v>48</v>
      </c>
      <c r="D78" s="1" t="s">
        <v>133</v>
      </c>
      <c r="E78" s="2" t="s">
        <v>94</v>
      </c>
      <c r="F78" s="1" t="s">
        <v>9</v>
      </c>
      <c r="G78" s="3">
        <v>96</v>
      </c>
      <c r="H78" s="3">
        <f t="shared" si="2"/>
        <v>0</v>
      </c>
      <c r="L78" s="1">
        <v>96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42"/>
      <c r="S78" s="1">
        <v>0</v>
      </c>
      <c r="T78" s="1">
        <v>0</v>
      </c>
      <c r="U78" s="1">
        <v>0</v>
      </c>
      <c r="Y78" s="42"/>
    </row>
    <row r="79" spans="2:25" x14ac:dyDescent="0.25">
      <c r="B79" s="1">
        <v>76</v>
      </c>
      <c r="C79" s="1" t="s">
        <v>48</v>
      </c>
      <c r="D79" s="1" t="s">
        <v>133</v>
      </c>
      <c r="E79" s="2" t="s">
        <v>95</v>
      </c>
      <c r="F79" s="1" t="s">
        <v>9</v>
      </c>
      <c r="G79" s="3">
        <v>20</v>
      </c>
      <c r="H79" s="3">
        <f t="shared" si="2"/>
        <v>-20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42"/>
      <c r="S79" s="1">
        <v>0</v>
      </c>
      <c r="T79" s="1">
        <v>0</v>
      </c>
      <c r="U79" s="1">
        <v>0</v>
      </c>
      <c r="Y79" s="42"/>
    </row>
    <row r="80" spans="2:25" x14ac:dyDescent="0.25">
      <c r="B80" s="1">
        <v>77</v>
      </c>
      <c r="C80" s="1" t="s">
        <v>48</v>
      </c>
      <c r="D80" s="1" t="s">
        <v>133</v>
      </c>
      <c r="E80" s="2" t="s">
        <v>96</v>
      </c>
      <c r="F80" s="1" t="s">
        <v>5</v>
      </c>
      <c r="G80" s="3">
        <v>15</v>
      </c>
      <c r="H80" s="3">
        <f t="shared" si="2"/>
        <v>0</v>
      </c>
      <c r="L80" s="1">
        <v>0</v>
      </c>
      <c r="M80" s="1">
        <v>0</v>
      </c>
      <c r="N80" s="1">
        <v>15</v>
      </c>
      <c r="O80" s="1">
        <v>0</v>
      </c>
      <c r="P80" s="1">
        <v>0</v>
      </c>
      <c r="Q80" s="1">
        <v>0</v>
      </c>
      <c r="R80" s="42"/>
      <c r="S80" s="1">
        <v>0</v>
      </c>
      <c r="T80" s="1">
        <v>0</v>
      </c>
      <c r="U80" s="1">
        <v>0</v>
      </c>
      <c r="Y80" s="42"/>
    </row>
    <row r="81" spans="2:25" x14ac:dyDescent="0.25">
      <c r="B81" s="1">
        <v>78</v>
      </c>
      <c r="C81" s="1" t="s">
        <v>48</v>
      </c>
      <c r="D81" s="1" t="s">
        <v>133</v>
      </c>
      <c r="E81" s="2" t="s">
        <v>97</v>
      </c>
      <c r="F81" s="1" t="s">
        <v>79</v>
      </c>
      <c r="G81" s="3">
        <v>30</v>
      </c>
      <c r="H81" s="3">
        <f t="shared" si="2"/>
        <v>0</v>
      </c>
      <c r="L81" s="1">
        <v>30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42"/>
      <c r="S81" s="1">
        <v>0</v>
      </c>
      <c r="T81" s="1">
        <v>0</v>
      </c>
      <c r="U81" s="1">
        <v>0</v>
      </c>
      <c r="Y81" s="42"/>
    </row>
    <row r="82" spans="2:25" x14ac:dyDescent="0.25">
      <c r="B82" s="1">
        <v>79</v>
      </c>
      <c r="C82" s="1" t="s">
        <v>48</v>
      </c>
      <c r="D82" s="1" t="s">
        <v>133</v>
      </c>
      <c r="E82" s="2" t="s">
        <v>98</v>
      </c>
      <c r="F82" s="1" t="s">
        <v>9</v>
      </c>
      <c r="G82" s="3">
        <v>660</v>
      </c>
      <c r="H82" s="3">
        <f t="shared" si="2"/>
        <v>-150</v>
      </c>
      <c r="L82" s="1">
        <v>0</v>
      </c>
      <c r="M82" s="1">
        <v>0</v>
      </c>
      <c r="N82" s="1">
        <v>510</v>
      </c>
      <c r="O82" s="1">
        <v>0</v>
      </c>
      <c r="P82" s="1">
        <v>0</v>
      </c>
      <c r="Q82" s="1">
        <v>0</v>
      </c>
      <c r="R82" s="42"/>
      <c r="S82" s="1">
        <v>0</v>
      </c>
      <c r="T82" s="1">
        <v>0</v>
      </c>
      <c r="U82" s="1">
        <v>0</v>
      </c>
      <c r="Y82" s="42"/>
    </row>
    <row r="83" spans="2:25" x14ac:dyDescent="0.25">
      <c r="B83" s="1">
        <v>80</v>
      </c>
      <c r="C83" s="1" t="s">
        <v>48</v>
      </c>
      <c r="D83" s="1" t="s">
        <v>133</v>
      </c>
      <c r="E83" s="2" t="s">
        <v>99</v>
      </c>
      <c r="F83" s="1" t="s">
        <v>5</v>
      </c>
      <c r="G83" s="3">
        <v>30</v>
      </c>
      <c r="H83" s="3">
        <f t="shared" si="2"/>
        <v>-30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42"/>
      <c r="S83" s="1">
        <v>0</v>
      </c>
      <c r="T83" s="1">
        <v>0</v>
      </c>
      <c r="U83" s="1">
        <v>0</v>
      </c>
      <c r="Y83" s="42"/>
    </row>
    <row r="84" spans="2:25" x14ac:dyDescent="0.25">
      <c r="B84" s="1">
        <v>81</v>
      </c>
      <c r="C84" s="1" t="s">
        <v>48</v>
      </c>
      <c r="D84" s="1" t="s">
        <v>133</v>
      </c>
      <c r="E84" s="2" t="s">
        <v>100</v>
      </c>
      <c r="F84" s="1" t="s">
        <v>5</v>
      </c>
      <c r="G84" s="3">
        <v>130</v>
      </c>
      <c r="H84" s="3">
        <f t="shared" si="2"/>
        <v>-80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42"/>
      <c r="S84" s="1">
        <v>0</v>
      </c>
      <c r="T84" s="1">
        <v>50</v>
      </c>
      <c r="U84" s="1">
        <v>0</v>
      </c>
      <c r="Y84" s="42"/>
    </row>
    <row r="85" spans="2:25" x14ac:dyDescent="0.25">
      <c r="B85" s="1">
        <v>82</v>
      </c>
      <c r="C85" s="1" t="s">
        <v>48</v>
      </c>
      <c r="D85" s="1" t="s">
        <v>133</v>
      </c>
      <c r="E85" s="2" t="s">
        <v>101</v>
      </c>
      <c r="F85" s="1" t="s">
        <v>5</v>
      </c>
      <c r="G85" s="3">
        <v>20</v>
      </c>
      <c r="H85" s="3">
        <f t="shared" si="2"/>
        <v>0</v>
      </c>
      <c r="L85" s="1">
        <v>0</v>
      </c>
      <c r="M85" s="1">
        <v>0</v>
      </c>
      <c r="N85" s="1">
        <v>0</v>
      </c>
      <c r="O85" s="1">
        <v>0</v>
      </c>
      <c r="P85" s="1">
        <v>20</v>
      </c>
      <c r="Q85" s="1">
        <v>0</v>
      </c>
      <c r="R85" s="42"/>
      <c r="S85" s="1">
        <v>0</v>
      </c>
      <c r="T85" s="1">
        <v>0</v>
      </c>
      <c r="U85" s="1">
        <v>0</v>
      </c>
      <c r="Y85" s="42"/>
    </row>
    <row r="86" spans="2:25" x14ac:dyDescent="0.25">
      <c r="B86" s="1">
        <v>83</v>
      </c>
      <c r="C86" s="1" t="s">
        <v>48</v>
      </c>
      <c r="D86" s="1" t="s">
        <v>133</v>
      </c>
      <c r="E86" s="2" t="s">
        <v>102</v>
      </c>
      <c r="F86" s="1" t="s">
        <v>79</v>
      </c>
      <c r="G86" s="3">
        <v>50</v>
      </c>
      <c r="H86" s="3">
        <f t="shared" si="2"/>
        <v>0</v>
      </c>
      <c r="L86" s="1">
        <v>0</v>
      </c>
      <c r="M86" s="1">
        <v>50</v>
      </c>
      <c r="N86" s="1">
        <v>0</v>
      </c>
      <c r="O86" s="1">
        <v>0</v>
      </c>
      <c r="P86" s="1">
        <v>0</v>
      </c>
      <c r="Q86" s="1">
        <v>0</v>
      </c>
      <c r="R86" s="42"/>
      <c r="S86" s="1">
        <v>0</v>
      </c>
      <c r="T86" s="1">
        <v>0</v>
      </c>
      <c r="U86" s="1">
        <v>0</v>
      </c>
      <c r="Y86" s="42"/>
    </row>
    <row r="87" spans="2:25" x14ac:dyDescent="0.25">
      <c r="B87" s="1">
        <v>84</v>
      </c>
      <c r="C87" s="1" t="s">
        <v>48</v>
      </c>
      <c r="D87" s="1" t="s">
        <v>133</v>
      </c>
      <c r="E87" s="2" t="s">
        <v>103</v>
      </c>
      <c r="F87" s="1" t="s">
        <v>79</v>
      </c>
      <c r="G87" s="3">
        <v>15000</v>
      </c>
      <c r="H87" s="3">
        <f t="shared" si="2"/>
        <v>-15000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42"/>
      <c r="S87" s="1">
        <v>0</v>
      </c>
      <c r="T87" s="1">
        <v>0</v>
      </c>
      <c r="U87" s="1">
        <v>0</v>
      </c>
      <c r="Y87" s="42"/>
    </row>
    <row r="88" spans="2:25" x14ac:dyDescent="0.25">
      <c r="B88" s="1">
        <v>85</v>
      </c>
      <c r="C88" s="1" t="s">
        <v>48</v>
      </c>
      <c r="D88" s="1" t="s">
        <v>133</v>
      </c>
      <c r="E88" s="2" t="s">
        <v>104</v>
      </c>
      <c r="F88" s="1" t="s">
        <v>9</v>
      </c>
      <c r="G88" s="3">
        <v>50</v>
      </c>
      <c r="H88" s="3">
        <f t="shared" si="2"/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42"/>
      <c r="S88" s="1">
        <v>0</v>
      </c>
      <c r="T88" s="1">
        <v>0</v>
      </c>
      <c r="U88" s="1">
        <v>50</v>
      </c>
      <c r="Y88" s="42"/>
    </row>
    <row r="89" spans="2:25" x14ac:dyDescent="0.25">
      <c r="B89" s="1">
        <v>86</v>
      </c>
      <c r="C89" s="1" t="s">
        <v>48</v>
      </c>
      <c r="D89" s="1" t="s">
        <v>133</v>
      </c>
      <c r="E89" s="2" t="s">
        <v>105</v>
      </c>
      <c r="F89" s="1" t="s">
        <v>9</v>
      </c>
      <c r="G89" s="3">
        <v>75</v>
      </c>
      <c r="H89" s="3">
        <f t="shared" si="2"/>
        <v>-5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42"/>
      <c r="S89" s="1">
        <v>0</v>
      </c>
      <c r="T89" s="1">
        <v>0</v>
      </c>
      <c r="U89" s="1">
        <v>70</v>
      </c>
      <c r="Y89" s="42"/>
    </row>
    <row r="90" spans="2:25" x14ac:dyDescent="0.25">
      <c r="B90" s="1">
        <v>87</v>
      </c>
      <c r="C90" s="1" t="s">
        <v>48</v>
      </c>
      <c r="D90" s="1" t="s">
        <v>133</v>
      </c>
      <c r="E90" s="2" t="s">
        <v>106</v>
      </c>
      <c r="F90" s="1" t="s">
        <v>9</v>
      </c>
      <c r="G90" s="3">
        <v>60</v>
      </c>
      <c r="H90" s="3">
        <f t="shared" si="2"/>
        <v>740</v>
      </c>
      <c r="L90" s="1">
        <v>0</v>
      </c>
      <c r="M90" s="1">
        <v>0</v>
      </c>
      <c r="N90" s="1">
        <v>0</v>
      </c>
      <c r="O90" s="1">
        <v>560</v>
      </c>
      <c r="P90" s="1">
        <v>0</v>
      </c>
      <c r="Q90" s="1">
        <v>0</v>
      </c>
      <c r="R90" s="42"/>
      <c r="S90" s="1">
        <v>0</v>
      </c>
      <c r="T90" s="1">
        <v>240</v>
      </c>
      <c r="U90" s="1">
        <v>0</v>
      </c>
      <c r="Y90" s="42"/>
    </row>
    <row r="91" spans="2:25" x14ac:dyDescent="0.25">
      <c r="B91" s="1">
        <v>88</v>
      </c>
      <c r="C91" s="1" t="s">
        <v>48</v>
      </c>
      <c r="D91" s="1" t="s">
        <v>133</v>
      </c>
      <c r="E91" s="2" t="s">
        <v>107</v>
      </c>
      <c r="F91" s="1" t="s">
        <v>9</v>
      </c>
      <c r="G91" s="3">
        <v>30</v>
      </c>
      <c r="H91" s="3">
        <f t="shared" si="2"/>
        <v>-30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42"/>
      <c r="S91" s="1">
        <v>0</v>
      </c>
      <c r="T91" s="1">
        <v>0</v>
      </c>
      <c r="U91" s="1">
        <v>0</v>
      </c>
      <c r="Y91" s="42"/>
    </row>
    <row r="92" spans="2:25" x14ac:dyDescent="0.25">
      <c r="B92" s="1">
        <v>89</v>
      </c>
      <c r="C92" s="1" t="s">
        <v>48</v>
      </c>
      <c r="D92" s="1" t="s">
        <v>133</v>
      </c>
      <c r="E92" s="2" t="s">
        <v>108</v>
      </c>
      <c r="F92" s="1" t="s">
        <v>75</v>
      </c>
      <c r="G92" s="3">
        <v>120</v>
      </c>
      <c r="H92" s="3">
        <f t="shared" si="2"/>
        <v>0</v>
      </c>
      <c r="L92" s="1">
        <v>120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42"/>
      <c r="S92" s="1">
        <v>0</v>
      </c>
      <c r="T92" s="1">
        <v>0</v>
      </c>
      <c r="U92" s="1">
        <v>0</v>
      </c>
      <c r="Y92" s="42"/>
    </row>
    <row r="93" spans="2:25" x14ac:dyDescent="0.25">
      <c r="B93" s="1">
        <v>90</v>
      </c>
      <c r="C93" s="1" t="s">
        <v>48</v>
      </c>
      <c r="D93" s="1" t="s">
        <v>133</v>
      </c>
      <c r="E93" s="2" t="s">
        <v>109</v>
      </c>
      <c r="F93" s="1" t="s">
        <v>79</v>
      </c>
      <c r="G93" s="3">
        <v>30</v>
      </c>
      <c r="H93" s="3">
        <f t="shared" si="2"/>
        <v>2</v>
      </c>
      <c r="L93" s="1">
        <v>30</v>
      </c>
      <c r="M93" s="1">
        <v>0</v>
      </c>
      <c r="N93" s="1">
        <v>2</v>
      </c>
      <c r="O93" s="1">
        <v>0</v>
      </c>
      <c r="P93" s="1">
        <v>0</v>
      </c>
      <c r="Q93" s="1">
        <v>0</v>
      </c>
      <c r="R93" s="42"/>
      <c r="S93" s="1">
        <v>0</v>
      </c>
      <c r="T93" s="1">
        <v>0</v>
      </c>
      <c r="U93" s="1">
        <v>0</v>
      </c>
      <c r="Y93" s="42"/>
    </row>
    <row r="94" spans="2:25" x14ac:dyDescent="0.25">
      <c r="B94" s="1">
        <v>91</v>
      </c>
      <c r="C94" s="1" t="s">
        <v>48</v>
      </c>
      <c r="D94" s="1" t="s">
        <v>133</v>
      </c>
      <c r="E94" s="2" t="s">
        <v>110</v>
      </c>
      <c r="F94" s="1" t="s">
        <v>79</v>
      </c>
      <c r="G94" s="3">
        <v>10</v>
      </c>
      <c r="H94" s="3">
        <f t="shared" si="2"/>
        <v>0</v>
      </c>
      <c r="L94" s="1">
        <v>0</v>
      </c>
      <c r="M94" s="1">
        <v>0</v>
      </c>
      <c r="N94" s="1">
        <v>10</v>
      </c>
      <c r="O94" s="1">
        <v>0</v>
      </c>
      <c r="P94" s="1">
        <v>0</v>
      </c>
      <c r="Q94" s="1">
        <v>0</v>
      </c>
      <c r="R94" s="42"/>
      <c r="S94" s="1">
        <v>0</v>
      </c>
      <c r="T94" s="1">
        <v>0</v>
      </c>
      <c r="U94" s="1">
        <v>0</v>
      </c>
      <c r="Y94" s="42"/>
    </row>
    <row r="95" spans="2:25" x14ac:dyDescent="0.25">
      <c r="B95" s="1">
        <v>92</v>
      </c>
      <c r="C95" s="1" t="s">
        <v>48</v>
      </c>
      <c r="D95" s="1" t="s">
        <v>133</v>
      </c>
      <c r="E95" s="2" t="s">
        <v>111</v>
      </c>
      <c r="F95" s="1" t="s">
        <v>79</v>
      </c>
      <c r="G95" s="3">
        <v>5</v>
      </c>
      <c r="H95" s="3">
        <f t="shared" si="2"/>
        <v>0</v>
      </c>
      <c r="L95" s="1">
        <v>0</v>
      </c>
      <c r="M95" s="1">
        <v>0</v>
      </c>
      <c r="N95" s="1">
        <v>5</v>
      </c>
      <c r="O95" s="1">
        <v>0</v>
      </c>
      <c r="P95" s="1">
        <v>0</v>
      </c>
      <c r="Q95" s="1">
        <v>0</v>
      </c>
      <c r="R95" s="42"/>
      <c r="S95" s="1">
        <v>0</v>
      </c>
      <c r="T95" s="1">
        <v>0</v>
      </c>
      <c r="U95" s="1">
        <v>0</v>
      </c>
      <c r="Y95" s="42"/>
    </row>
    <row r="96" spans="2:25" x14ac:dyDescent="0.25">
      <c r="B96" s="1">
        <v>93</v>
      </c>
      <c r="C96" s="1" t="s">
        <v>48</v>
      </c>
      <c r="D96" s="1" t="s">
        <v>133</v>
      </c>
      <c r="E96" s="2" t="s">
        <v>112</v>
      </c>
      <c r="F96" s="1" t="s">
        <v>5</v>
      </c>
      <c r="G96" s="3">
        <v>20</v>
      </c>
      <c r="H96" s="3">
        <f t="shared" si="2"/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42"/>
      <c r="S96" s="1">
        <v>20</v>
      </c>
      <c r="T96" s="1">
        <v>0</v>
      </c>
      <c r="U96" s="1">
        <v>0</v>
      </c>
      <c r="Y96" s="42"/>
    </row>
    <row r="97" spans="2:25" x14ac:dyDescent="0.25">
      <c r="B97" s="1">
        <v>94</v>
      </c>
      <c r="C97" s="1" t="s">
        <v>48</v>
      </c>
      <c r="D97" s="1" t="s">
        <v>133</v>
      </c>
      <c r="E97" s="2" t="s">
        <v>113</v>
      </c>
      <c r="F97" s="1" t="s">
        <v>79</v>
      </c>
      <c r="G97" s="3">
        <v>500</v>
      </c>
      <c r="H97" s="3">
        <f t="shared" si="2"/>
        <v>0</v>
      </c>
      <c r="L97" s="1">
        <v>0</v>
      </c>
      <c r="M97" s="1">
        <v>500</v>
      </c>
      <c r="N97" s="1">
        <v>0</v>
      </c>
      <c r="O97" s="1">
        <v>0</v>
      </c>
      <c r="P97" s="1">
        <v>0</v>
      </c>
      <c r="Q97" s="1">
        <v>0</v>
      </c>
      <c r="R97" s="42"/>
      <c r="S97" s="1">
        <v>0</v>
      </c>
      <c r="T97" s="1">
        <v>0</v>
      </c>
      <c r="U97" s="1">
        <v>0</v>
      </c>
      <c r="Y97" s="42"/>
    </row>
    <row r="98" spans="2:25" x14ac:dyDescent="0.25">
      <c r="B98" s="1">
        <v>95</v>
      </c>
      <c r="C98" s="1" t="s">
        <v>48</v>
      </c>
      <c r="D98" s="1" t="s">
        <v>133</v>
      </c>
      <c r="E98" s="2" t="s">
        <v>114</v>
      </c>
      <c r="F98" s="1" t="s">
        <v>79</v>
      </c>
      <c r="G98" s="3">
        <v>60</v>
      </c>
      <c r="H98" s="3">
        <f t="shared" si="2"/>
        <v>0</v>
      </c>
      <c r="L98" s="1">
        <v>0</v>
      </c>
      <c r="M98" s="1">
        <v>0</v>
      </c>
      <c r="N98" s="1">
        <v>60</v>
      </c>
      <c r="O98" s="1">
        <v>0</v>
      </c>
      <c r="P98" s="1">
        <v>0</v>
      </c>
      <c r="Q98" s="1">
        <v>0</v>
      </c>
      <c r="R98" s="42"/>
      <c r="S98" s="1">
        <v>0</v>
      </c>
      <c r="T98" s="1">
        <v>0</v>
      </c>
      <c r="U98" s="1">
        <v>0</v>
      </c>
      <c r="Y98" s="42"/>
    </row>
    <row r="99" spans="2:25" x14ac:dyDescent="0.25">
      <c r="B99" s="1">
        <v>96</v>
      </c>
      <c r="C99" s="1" t="s">
        <v>48</v>
      </c>
      <c r="D99" s="1" t="s">
        <v>133</v>
      </c>
      <c r="E99" s="2" t="s">
        <v>115</v>
      </c>
      <c r="F99" s="1" t="s">
        <v>9</v>
      </c>
      <c r="G99" s="3">
        <v>400</v>
      </c>
      <c r="H99" s="3">
        <f t="shared" si="2"/>
        <v>0</v>
      </c>
      <c r="L99" s="1">
        <v>0</v>
      </c>
      <c r="M99" s="1">
        <v>0</v>
      </c>
      <c r="N99" s="1">
        <v>0</v>
      </c>
      <c r="O99" s="1">
        <v>400</v>
      </c>
      <c r="P99" s="1">
        <v>0</v>
      </c>
      <c r="Q99" s="1">
        <v>0</v>
      </c>
      <c r="R99" s="42"/>
      <c r="S99" s="1">
        <v>0</v>
      </c>
      <c r="T99" s="1">
        <v>0</v>
      </c>
      <c r="U99" s="1">
        <v>0</v>
      </c>
      <c r="Y99" s="42"/>
    </row>
    <row r="100" spans="2:25" x14ac:dyDescent="0.25">
      <c r="B100" s="1">
        <v>97</v>
      </c>
      <c r="C100" s="1" t="s">
        <v>48</v>
      </c>
      <c r="D100" s="1" t="s">
        <v>133</v>
      </c>
      <c r="E100" s="2" t="s">
        <v>116</v>
      </c>
      <c r="F100" s="1" t="s">
        <v>79</v>
      </c>
      <c r="G100" s="3">
        <v>20</v>
      </c>
      <c r="H100" s="3">
        <f t="shared" ref="H100:H163" si="3">SUM(I100:AM100)-G100</f>
        <v>0</v>
      </c>
      <c r="L100" s="1">
        <v>20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42"/>
      <c r="S100" s="1">
        <v>0</v>
      </c>
      <c r="T100" s="1">
        <v>0</v>
      </c>
      <c r="U100" s="1">
        <v>0</v>
      </c>
      <c r="Y100" s="42"/>
    </row>
    <row r="101" spans="2:25" x14ac:dyDescent="0.25">
      <c r="B101" s="1">
        <v>98</v>
      </c>
      <c r="C101" s="1" t="s">
        <v>48</v>
      </c>
      <c r="D101" s="1" t="s">
        <v>133</v>
      </c>
      <c r="E101" s="2" t="s">
        <v>117</v>
      </c>
      <c r="F101" s="1" t="s">
        <v>79</v>
      </c>
      <c r="G101" s="3">
        <v>20</v>
      </c>
      <c r="H101" s="3">
        <f t="shared" si="3"/>
        <v>0</v>
      </c>
      <c r="L101" s="1">
        <v>20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42"/>
      <c r="S101" s="1">
        <v>0</v>
      </c>
      <c r="T101" s="1">
        <v>0</v>
      </c>
      <c r="U101" s="1">
        <v>0</v>
      </c>
      <c r="Y101" s="42"/>
    </row>
    <row r="102" spans="2:25" x14ac:dyDescent="0.25">
      <c r="B102" s="1">
        <v>99</v>
      </c>
      <c r="C102" s="1" t="s">
        <v>48</v>
      </c>
      <c r="D102" s="1" t="s">
        <v>133</v>
      </c>
      <c r="E102" s="2" t="s">
        <v>118</v>
      </c>
      <c r="F102" s="1" t="s">
        <v>79</v>
      </c>
      <c r="G102" s="3">
        <v>20</v>
      </c>
      <c r="H102" s="3">
        <f t="shared" si="3"/>
        <v>0</v>
      </c>
      <c r="L102" s="1">
        <v>20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42"/>
      <c r="S102" s="1">
        <v>0</v>
      </c>
      <c r="T102" s="1">
        <v>0</v>
      </c>
      <c r="U102" s="1">
        <v>0</v>
      </c>
      <c r="Y102" s="42"/>
    </row>
    <row r="103" spans="2:25" x14ac:dyDescent="0.25">
      <c r="B103" s="1">
        <v>100</v>
      </c>
      <c r="C103" s="1" t="s">
        <v>48</v>
      </c>
      <c r="D103" s="1" t="s">
        <v>133</v>
      </c>
      <c r="E103" s="2" t="s">
        <v>119</v>
      </c>
      <c r="F103" s="1" t="s">
        <v>79</v>
      </c>
      <c r="G103" s="3">
        <v>180</v>
      </c>
      <c r="H103" s="3">
        <f t="shared" si="3"/>
        <v>0</v>
      </c>
      <c r="L103" s="1">
        <v>0</v>
      </c>
      <c r="M103" s="1">
        <v>0</v>
      </c>
      <c r="N103" s="1">
        <v>0</v>
      </c>
      <c r="O103" s="1">
        <v>0</v>
      </c>
      <c r="P103" s="1">
        <v>180</v>
      </c>
      <c r="Q103" s="1">
        <v>0</v>
      </c>
      <c r="R103" s="42"/>
      <c r="S103" s="1">
        <v>0</v>
      </c>
      <c r="T103" s="1">
        <v>0</v>
      </c>
      <c r="U103" s="1">
        <v>0</v>
      </c>
      <c r="Y103" s="42"/>
    </row>
    <row r="104" spans="2:25" x14ac:dyDescent="0.25">
      <c r="B104" s="1">
        <v>101</v>
      </c>
      <c r="C104" s="1" t="s">
        <v>48</v>
      </c>
      <c r="D104" s="1" t="s">
        <v>133</v>
      </c>
      <c r="E104" s="2" t="s">
        <v>120</v>
      </c>
      <c r="F104" s="1" t="s">
        <v>79</v>
      </c>
      <c r="G104" s="3">
        <v>30</v>
      </c>
      <c r="H104" s="3">
        <f t="shared" si="3"/>
        <v>0</v>
      </c>
      <c r="L104" s="1">
        <v>30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42"/>
      <c r="S104" s="1">
        <v>0</v>
      </c>
      <c r="T104" s="1">
        <v>0</v>
      </c>
      <c r="U104" s="1">
        <v>0</v>
      </c>
      <c r="Y104" s="42"/>
    </row>
    <row r="105" spans="2:25" x14ac:dyDescent="0.25">
      <c r="B105" s="1">
        <v>102</v>
      </c>
      <c r="C105" s="1" t="s">
        <v>48</v>
      </c>
      <c r="D105" s="1" t="s">
        <v>133</v>
      </c>
      <c r="E105" s="2" t="s">
        <v>121</v>
      </c>
      <c r="F105" s="1" t="s">
        <v>9</v>
      </c>
      <c r="G105" s="3">
        <v>40</v>
      </c>
      <c r="H105" s="3">
        <f t="shared" si="3"/>
        <v>-40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42"/>
      <c r="S105" s="1">
        <v>0</v>
      </c>
      <c r="T105" s="1">
        <v>0</v>
      </c>
      <c r="U105" s="1">
        <v>0</v>
      </c>
      <c r="Y105" s="42"/>
    </row>
    <row r="106" spans="2:25" x14ac:dyDescent="0.25">
      <c r="B106" s="1">
        <v>103</v>
      </c>
      <c r="C106" s="1" t="s">
        <v>48</v>
      </c>
      <c r="D106" s="1" t="s">
        <v>133</v>
      </c>
      <c r="E106" s="2" t="s">
        <v>122</v>
      </c>
      <c r="F106" s="1" t="s">
        <v>9</v>
      </c>
      <c r="G106" s="3">
        <v>20</v>
      </c>
      <c r="H106" s="3">
        <f t="shared" si="3"/>
        <v>-20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42"/>
      <c r="S106" s="1">
        <v>0</v>
      </c>
      <c r="T106" s="1">
        <v>0</v>
      </c>
      <c r="U106" s="1">
        <v>0</v>
      </c>
      <c r="Y106" s="42"/>
    </row>
    <row r="107" spans="2:25" x14ac:dyDescent="0.25">
      <c r="B107" s="1">
        <v>104</v>
      </c>
      <c r="C107" s="1" t="s">
        <v>48</v>
      </c>
      <c r="D107" s="1" t="s">
        <v>133</v>
      </c>
      <c r="E107" s="2" t="s">
        <v>47</v>
      </c>
      <c r="F107" s="1" t="s">
        <v>11</v>
      </c>
      <c r="G107" s="3">
        <v>180</v>
      </c>
      <c r="H107" s="3">
        <f t="shared" si="3"/>
        <v>0</v>
      </c>
      <c r="L107" s="1">
        <v>180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42"/>
      <c r="S107" s="1">
        <v>0</v>
      </c>
      <c r="T107" s="1">
        <v>0</v>
      </c>
      <c r="U107" s="1">
        <v>0</v>
      </c>
      <c r="Y107" s="42"/>
    </row>
    <row r="108" spans="2:25" x14ac:dyDescent="0.25">
      <c r="B108" s="1">
        <v>105</v>
      </c>
      <c r="C108" s="1" t="s">
        <v>48</v>
      </c>
      <c r="D108" s="1" t="s">
        <v>133</v>
      </c>
      <c r="E108" s="2" t="s">
        <v>123</v>
      </c>
      <c r="F108" s="1" t="s">
        <v>79</v>
      </c>
      <c r="G108" s="3">
        <v>12</v>
      </c>
      <c r="H108" s="3">
        <f t="shared" si="3"/>
        <v>-10</v>
      </c>
      <c r="L108" s="1">
        <v>0</v>
      </c>
      <c r="M108" s="1">
        <v>0</v>
      </c>
      <c r="N108" s="1">
        <v>0</v>
      </c>
      <c r="O108" s="1">
        <v>0</v>
      </c>
      <c r="P108" s="1">
        <v>2</v>
      </c>
      <c r="Q108" s="1">
        <v>0</v>
      </c>
      <c r="R108" s="42"/>
      <c r="S108" s="1">
        <v>0</v>
      </c>
      <c r="T108" s="1">
        <v>0</v>
      </c>
      <c r="U108" s="1">
        <v>0</v>
      </c>
      <c r="Y108" s="42"/>
    </row>
    <row r="109" spans="2:25" x14ac:dyDescent="0.25">
      <c r="B109" s="1">
        <v>106</v>
      </c>
      <c r="C109" s="1" t="s">
        <v>48</v>
      </c>
      <c r="D109" s="1" t="s">
        <v>133</v>
      </c>
      <c r="E109" s="2" t="s">
        <v>124</v>
      </c>
      <c r="F109" s="1" t="s">
        <v>79</v>
      </c>
      <c r="G109" s="3">
        <v>5</v>
      </c>
      <c r="H109" s="3">
        <f t="shared" si="3"/>
        <v>0</v>
      </c>
      <c r="L109" s="1">
        <v>0</v>
      </c>
      <c r="M109" s="1">
        <v>0</v>
      </c>
      <c r="N109" s="1">
        <v>0</v>
      </c>
      <c r="O109" s="1">
        <v>0</v>
      </c>
      <c r="P109" s="1">
        <v>5</v>
      </c>
      <c r="Q109" s="1">
        <v>0</v>
      </c>
      <c r="R109" s="42"/>
      <c r="S109" s="1">
        <v>0</v>
      </c>
      <c r="T109" s="1">
        <v>0</v>
      </c>
      <c r="U109" s="1">
        <v>0</v>
      </c>
      <c r="Y109" s="42"/>
    </row>
    <row r="110" spans="2:25" x14ac:dyDescent="0.25">
      <c r="B110" s="1">
        <v>107</v>
      </c>
      <c r="C110" s="1" t="s">
        <v>48</v>
      </c>
      <c r="D110" s="1" t="s">
        <v>133</v>
      </c>
      <c r="E110" s="2" t="s">
        <v>125</v>
      </c>
      <c r="F110" s="1" t="s">
        <v>79</v>
      </c>
      <c r="G110" s="3">
        <v>6</v>
      </c>
      <c r="H110" s="3">
        <f t="shared" si="3"/>
        <v>0</v>
      </c>
      <c r="L110" s="1">
        <v>0</v>
      </c>
      <c r="M110" s="1">
        <v>0</v>
      </c>
      <c r="N110" s="1">
        <v>0</v>
      </c>
      <c r="O110" s="1">
        <v>0</v>
      </c>
      <c r="P110" s="1">
        <v>6</v>
      </c>
      <c r="Q110" s="1">
        <v>0</v>
      </c>
      <c r="R110" s="42"/>
      <c r="S110" s="1">
        <v>0</v>
      </c>
      <c r="T110" s="1">
        <v>0</v>
      </c>
      <c r="U110" s="1">
        <v>0</v>
      </c>
      <c r="Y110" s="42"/>
    </row>
    <row r="111" spans="2:25" x14ac:dyDescent="0.25">
      <c r="B111" s="1">
        <v>108</v>
      </c>
      <c r="C111" s="1" t="s">
        <v>48</v>
      </c>
      <c r="D111" s="1" t="s">
        <v>133</v>
      </c>
      <c r="E111" s="2" t="s">
        <v>126</v>
      </c>
      <c r="F111" s="1" t="s">
        <v>79</v>
      </c>
      <c r="G111" s="3">
        <v>50</v>
      </c>
      <c r="H111" s="3">
        <f t="shared" si="3"/>
        <v>2</v>
      </c>
      <c r="L111" s="1">
        <v>50</v>
      </c>
      <c r="M111" s="1">
        <v>0</v>
      </c>
      <c r="N111" s="1">
        <v>2</v>
      </c>
      <c r="O111" s="1">
        <v>0</v>
      </c>
      <c r="P111" s="1">
        <v>0</v>
      </c>
      <c r="Q111" s="1">
        <v>0</v>
      </c>
      <c r="R111" s="42"/>
      <c r="S111" s="1">
        <v>0</v>
      </c>
      <c r="T111" s="1">
        <v>0</v>
      </c>
      <c r="U111" s="1">
        <v>0</v>
      </c>
      <c r="Y111" s="42"/>
    </row>
    <row r="112" spans="2:25" x14ac:dyDescent="0.25">
      <c r="B112" s="1">
        <v>109</v>
      </c>
      <c r="C112" s="1" t="s">
        <v>48</v>
      </c>
      <c r="D112" s="1" t="s">
        <v>133</v>
      </c>
      <c r="E112" s="2" t="s">
        <v>127</v>
      </c>
      <c r="F112" s="1" t="s">
        <v>79</v>
      </c>
      <c r="G112" s="3">
        <v>10</v>
      </c>
      <c r="H112" s="3">
        <f t="shared" si="3"/>
        <v>0</v>
      </c>
      <c r="L112" s="1">
        <v>10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42"/>
      <c r="S112" s="1">
        <v>0</v>
      </c>
      <c r="T112" s="1">
        <v>0</v>
      </c>
      <c r="U112" s="1">
        <v>0</v>
      </c>
      <c r="Y112" s="42"/>
    </row>
    <row r="113" spans="1:25" x14ac:dyDescent="0.25">
      <c r="B113" s="1">
        <v>110</v>
      </c>
      <c r="C113" s="1" t="s">
        <v>48</v>
      </c>
      <c r="D113" s="1" t="s">
        <v>133</v>
      </c>
      <c r="E113" s="2" t="s">
        <v>128</v>
      </c>
      <c r="F113" s="1" t="s">
        <v>5</v>
      </c>
      <c r="G113" s="3">
        <v>3</v>
      </c>
      <c r="H113" s="3">
        <f t="shared" si="3"/>
        <v>0</v>
      </c>
      <c r="L113" s="1">
        <v>0</v>
      </c>
      <c r="M113" s="1">
        <v>0</v>
      </c>
      <c r="N113" s="1">
        <v>3</v>
      </c>
      <c r="O113" s="1">
        <v>0</v>
      </c>
      <c r="P113" s="1">
        <v>0</v>
      </c>
      <c r="Q113" s="1">
        <v>0</v>
      </c>
      <c r="R113" s="42"/>
      <c r="S113" s="1">
        <v>0</v>
      </c>
      <c r="T113" s="1">
        <v>0</v>
      </c>
      <c r="U113" s="1">
        <v>0</v>
      </c>
      <c r="Y113" s="42"/>
    </row>
    <row r="114" spans="1:25" x14ac:dyDescent="0.25">
      <c r="B114" s="1">
        <v>111</v>
      </c>
      <c r="C114" s="1" t="s">
        <v>48</v>
      </c>
      <c r="D114" s="1" t="s">
        <v>133</v>
      </c>
      <c r="E114" s="2" t="s">
        <v>129</v>
      </c>
      <c r="F114" s="1" t="s">
        <v>9</v>
      </c>
      <c r="G114" s="3">
        <v>960</v>
      </c>
      <c r="H114" s="3">
        <f t="shared" si="3"/>
        <v>0</v>
      </c>
      <c r="L114" s="1">
        <v>0</v>
      </c>
      <c r="M114" s="1">
        <v>0</v>
      </c>
      <c r="N114" s="1">
        <v>960</v>
      </c>
      <c r="O114" s="1">
        <v>0</v>
      </c>
      <c r="P114" s="1">
        <v>0</v>
      </c>
      <c r="Q114" s="1">
        <v>0</v>
      </c>
      <c r="R114" s="42"/>
      <c r="S114" s="1">
        <v>0</v>
      </c>
      <c r="T114" s="1">
        <v>0</v>
      </c>
      <c r="U114" s="1">
        <v>0</v>
      </c>
      <c r="Y114" s="42"/>
    </row>
    <row r="115" spans="1:25" x14ac:dyDescent="0.25">
      <c r="B115" s="1">
        <v>112</v>
      </c>
      <c r="C115" s="1" t="s">
        <v>48</v>
      </c>
      <c r="D115" s="1" t="s">
        <v>133</v>
      </c>
      <c r="E115" s="2" t="s">
        <v>130</v>
      </c>
      <c r="F115" s="1" t="s">
        <v>9</v>
      </c>
      <c r="G115" s="3">
        <v>180</v>
      </c>
      <c r="H115" s="3">
        <f t="shared" si="3"/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42"/>
      <c r="S115" s="1">
        <v>180</v>
      </c>
      <c r="T115" s="1">
        <v>0</v>
      </c>
      <c r="U115" s="1">
        <v>0</v>
      </c>
      <c r="Y115" s="42"/>
    </row>
    <row r="116" spans="1:25" x14ac:dyDescent="0.25">
      <c r="B116" s="1">
        <v>113</v>
      </c>
      <c r="C116" s="1" t="s">
        <v>48</v>
      </c>
      <c r="D116" s="1" t="s">
        <v>133</v>
      </c>
      <c r="E116" s="2" t="s">
        <v>131</v>
      </c>
      <c r="F116" s="1" t="s">
        <v>9</v>
      </c>
      <c r="G116" s="3">
        <v>2160</v>
      </c>
      <c r="H116" s="3">
        <f t="shared" si="3"/>
        <v>0</v>
      </c>
      <c r="L116" s="1">
        <v>0</v>
      </c>
      <c r="M116" s="1">
        <v>0</v>
      </c>
      <c r="N116" s="1">
        <v>420</v>
      </c>
      <c r="O116" s="1">
        <v>480</v>
      </c>
      <c r="P116" s="1">
        <v>0</v>
      </c>
      <c r="Q116" s="1">
        <v>0</v>
      </c>
      <c r="R116" s="42"/>
      <c r="S116" s="1">
        <v>0</v>
      </c>
      <c r="T116" s="1">
        <v>1260</v>
      </c>
      <c r="U116" s="1">
        <v>0</v>
      </c>
      <c r="Y116" s="42"/>
    </row>
    <row r="117" spans="1:25" x14ac:dyDescent="0.25">
      <c r="B117" s="1">
        <v>114</v>
      </c>
      <c r="C117" s="1" t="s">
        <v>48</v>
      </c>
      <c r="D117" s="1" t="s">
        <v>133</v>
      </c>
      <c r="E117" s="2" t="s">
        <v>132</v>
      </c>
      <c r="F117" s="1" t="s">
        <v>9</v>
      </c>
      <c r="G117" s="3">
        <v>70</v>
      </c>
      <c r="H117" s="3">
        <f t="shared" si="3"/>
        <v>0</v>
      </c>
      <c r="L117" s="1">
        <v>0</v>
      </c>
      <c r="M117" s="1">
        <v>0</v>
      </c>
      <c r="N117" s="1">
        <v>70</v>
      </c>
      <c r="O117" s="1">
        <v>0</v>
      </c>
      <c r="P117" s="1">
        <v>0</v>
      </c>
      <c r="Q117" s="1">
        <v>0</v>
      </c>
      <c r="R117" s="42"/>
      <c r="S117" s="1">
        <v>0</v>
      </c>
      <c r="T117" s="1">
        <v>0</v>
      </c>
      <c r="U117" s="1">
        <v>0</v>
      </c>
      <c r="Y117" s="42"/>
    </row>
    <row r="118" spans="1:25" x14ac:dyDescent="0.25">
      <c r="A118" s="3"/>
      <c r="B118" s="1">
        <v>115</v>
      </c>
      <c r="C118" s="5" t="s">
        <v>160</v>
      </c>
      <c r="D118" s="1" t="s">
        <v>159</v>
      </c>
      <c r="E118" s="2" t="s">
        <v>135</v>
      </c>
      <c r="F118" s="1" t="s">
        <v>11</v>
      </c>
      <c r="G118" s="3">
        <f>600+1277</f>
        <v>1877</v>
      </c>
      <c r="H118" s="3">
        <f t="shared" si="3"/>
        <v>-100.87999999999965</v>
      </c>
      <c r="L118" s="1">
        <v>48.68</v>
      </c>
      <c r="M118" s="1">
        <v>0</v>
      </c>
      <c r="N118" s="1">
        <f>6+225</f>
        <v>231</v>
      </c>
      <c r="O118" s="1">
        <f>225+64</f>
        <v>289</v>
      </c>
      <c r="P118" s="1">
        <f>108.5+64</f>
        <v>172.5</v>
      </c>
      <c r="Q118" s="1">
        <v>208.5</v>
      </c>
      <c r="R118" s="42"/>
      <c r="S118" s="1">
        <f>108.8+181.5</f>
        <v>290.3</v>
      </c>
      <c r="T118" s="1">
        <v>0</v>
      </c>
      <c r="U118" s="1">
        <f>181+178.34</f>
        <v>359.34000000000003</v>
      </c>
      <c r="V118" s="1">
        <v>62.4</v>
      </c>
      <c r="W118" s="1">
        <v>54.4</v>
      </c>
      <c r="X118" s="1">
        <v>60</v>
      </c>
      <c r="Y118" s="42"/>
    </row>
    <row r="119" spans="1:25" x14ac:dyDescent="0.25">
      <c r="B119" s="1">
        <v>116</v>
      </c>
      <c r="C119" s="5" t="s">
        <v>160</v>
      </c>
      <c r="D119" s="1" t="s">
        <v>159</v>
      </c>
      <c r="E119" s="2" t="s">
        <v>136</v>
      </c>
      <c r="F119" s="1" t="s">
        <v>11</v>
      </c>
      <c r="G119" s="3">
        <f>420+959</f>
        <v>1379</v>
      </c>
      <c r="H119" s="3">
        <f t="shared" si="3"/>
        <v>193.5</v>
      </c>
      <c r="L119" s="1">
        <v>35</v>
      </c>
      <c r="M119" s="1">
        <v>0</v>
      </c>
      <c r="N119" s="1">
        <f>35+150</f>
        <v>185</v>
      </c>
      <c r="O119" s="1">
        <f>150+113</f>
        <v>263</v>
      </c>
      <c r="P119" s="1">
        <f>70+56.5</f>
        <v>126.5</v>
      </c>
      <c r="Q119" s="1">
        <v>170</v>
      </c>
      <c r="R119" s="42"/>
      <c r="S119" s="1">
        <f>70+138</f>
        <v>208</v>
      </c>
      <c r="T119" s="1">
        <v>0</v>
      </c>
      <c r="U119" s="1">
        <f>238+236</f>
        <v>474</v>
      </c>
      <c r="V119" s="1">
        <f>1+35</f>
        <v>36</v>
      </c>
      <c r="W119" s="1">
        <v>35</v>
      </c>
      <c r="X119" s="1">
        <v>40</v>
      </c>
      <c r="Y119" s="42"/>
    </row>
    <row r="120" spans="1:25" x14ac:dyDescent="0.25">
      <c r="B120" s="1">
        <v>117</v>
      </c>
      <c r="C120" s="5" t="s">
        <v>160</v>
      </c>
      <c r="D120" s="1" t="s">
        <v>159</v>
      </c>
      <c r="E120" s="2" t="s">
        <v>137</v>
      </c>
      <c r="F120" s="1" t="s">
        <v>11</v>
      </c>
      <c r="G120" s="3">
        <f>11+18</f>
        <v>29</v>
      </c>
      <c r="H120" s="3">
        <f t="shared" si="3"/>
        <v>-6.2899999999999991</v>
      </c>
      <c r="L120" s="1">
        <v>0</v>
      </c>
      <c r="M120" s="1">
        <v>0</v>
      </c>
      <c r="N120" s="1">
        <v>0</v>
      </c>
      <c r="O120" s="1">
        <v>18</v>
      </c>
      <c r="P120" s="1">
        <v>3.14</v>
      </c>
      <c r="Q120" s="1">
        <v>0</v>
      </c>
      <c r="R120" s="42"/>
      <c r="S120" s="1">
        <v>0</v>
      </c>
      <c r="T120" s="1">
        <v>0</v>
      </c>
      <c r="U120" s="1">
        <v>0</v>
      </c>
      <c r="V120" s="1">
        <f>1.57</f>
        <v>1.57</v>
      </c>
      <c r="Y120" s="42"/>
    </row>
    <row r="121" spans="1:25" x14ac:dyDescent="0.25">
      <c r="B121" s="1">
        <v>118</v>
      </c>
      <c r="C121" s="5" t="s">
        <v>160</v>
      </c>
      <c r="D121" s="1" t="s">
        <v>159</v>
      </c>
      <c r="E121" s="2" t="s">
        <v>138</v>
      </c>
      <c r="F121" s="1" t="s">
        <v>11</v>
      </c>
      <c r="G121" s="3">
        <f>57+60</f>
        <v>117</v>
      </c>
      <c r="H121" s="3">
        <f t="shared" si="3"/>
        <v>-22.22</v>
      </c>
      <c r="L121" s="1">
        <v>11.78</v>
      </c>
      <c r="M121" s="1">
        <v>0</v>
      </c>
      <c r="N121" s="1">
        <f>8+12.5</f>
        <v>20.5</v>
      </c>
      <c r="O121" s="1">
        <f>12+5</f>
        <v>17</v>
      </c>
      <c r="P121" s="1">
        <f>8+0.5</f>
        <v>8.5</v>
      </c>
      <c r="Q121" s="1">
        <v>15</v>
      </c>
      <c r="R121" s="42"/>
      <c r="S121" s="1">
        <f>4+14</f>
        <v>18</v>
      </c>
      <c r="T121" s="1">
        <v>0</v>
      </c>
      <c r="U121" s="1">
        <v>0</v>
      </c>
      <c r="V121" s="1">
        <f>4</f>
        <v>4</v>
      </c>
      <c r="Y121" s="42"/>
    </row>
    <row r="122" spans="1:25" x14ac:dyDescent="0.25">
      <c r="B122" s="1">
        <v>119</v>
      </c>
      <c r="C122" s="5" t="s">
        <v>160</v>
      </c>
      <c r="D122" s="1" t="s">
        <v>159</v>
      </c>
      <c r="E122" s="2" t="s">
        <v>139</v>
      </c>
      <c r="F122" s="1" t="s">
        <v>11</v>
      </c>
      <c r="G122" s="3">
        <f>60+60</f>
        <v>120</v>
      </c>
      <c r="H122" s="3">
        <f t="shared" si="3"/>
        <v>-20</v>
      </c>
      <c r="L122" s="1">
        <v>11.7</v>
      </c>
      <c r="M122" s="1">
        <v>0</v>
      </c>
      <c r="N122" s="1">
        <v>10</v>
      </c>
      <c r="O122" s="1">
        <f>15+4.5</f>
        <v>19.5</v>
      </c>
      <c r="P122" s="1">
        <f>12+4</f>
        <v>16</v>
      </c>
      <c r="Q122" s="1">
        <v>15</v>
      </c>
      <c r="R122" s="42"/>
      <c r="S122" s="1">
        <f>4+14</f>
        <v>18</v>
      </c>
      <c r="T122" s="1">
        <v>0</v>
      </c>
      <c r="U122" s="1">
        <v>0</v>
      </c>
      <c r="V122" s="1">
        <f>4</f>
        <v>4</v>
      </c>
      <c r="X122" s="1">
        <v>5.8</v>
      </c>
      <c r="Y122" s="42"/>
    </row>
    <row r="123" spans="1:25" x14ac:dyDescent="0.25">
      <c r="B123" s="1">
        <v>120</v>
      </c>
      <c r="C123" s="5" t="s">
        <v>160</v>
      </c>
      <c r="D123" s="1" t="s">
        <v>159</v>
      </c>
      <c r="E123" s="2" t="s">
        <v>140</v>
      </c>
      <c r="F123" s="1" t="s">
        <v>11</v>
      </c>
      <c r="G123" s="3">
        <f>128+532</f>
        <v>660</v>
      </c>
      <c r="H123" s="3">
        <f t="shared" si="3"/>
        <v>-168.09999999999997</v>
      </c>
      <c r="L123" s="1">
        <v>0</v>
      </c>
      <c r="M123" s="1">
        <v>0</v>
      </c>
      <c r="N123" s="1">
        <v>25</v>
      </c>
      <c r="O123" s="1">
        <f>25+27.5</f>
        <v>52.5</v>
      </c>
      <c r="P123" s="1">
        <v>27.5</v>
      </c>
      <c r="Q123" s="1">
        <v>80</v>
      </c>
      <c r="R123" s="42"/>
      <c r="S123" s="1">
        <f>28.45</f>
        <v>28.45</v>
      </c>
      <c r="T123" s="1">
        <v>0</v>
      </c>
      <c r="U123" s="1">
        <f>70+70</f>
        <v>140</v>
      </c>
      <c r="V123" s="1">
        <f>14.22</f>
        <v>14.22</v>
      </c>
      <c r="W123" s="1">
        <v>14.23</v>
      </c>
      <c r="X123" s="1">
        <v>110</v>
      </c>
      <c r="Y123" s="42"/>
    </row>
    <row r="124" spans="1:25" x14ac:dyDescent="0.25">
      <c r="B124" s="1">
        <v>121</v>
      </c>
      <c r="C124" s="5" t="s">
        <v>160</v>
      </c>
      <c r="D124" s="1" t="s">
        <v>159</v>
      </c>
      <c r="E124" s="2" t="s">
        <v>141</v>
      </c>
      <c r="F124" s="1" t="s">
        <v>11</v>
      </c>
      <c r="G124" s="3">
        <f>60+177</f>
        <v>237</v>
      </c>
      <c r="H124" s="3">
        <f t="shared" si="3"/>
        <v>-26.47</v>
      </c>
      <c r="L124" s="1">
        <v>0</v>
      </c>
      <c r="M124" s="1">
        <v>0</v>
      </c>
      <c r="N124" s="1">
        <v>15</v>
      </c>
      <c r="O124" s="1">
        <v>4.5</v>
      </c>
      <c r="P124" s="1">
        <f>4.5</f>
        <v>4.5</v>
      </c>
      <c r="Q124" s="1">
        <v>39</v>
      </c>
      <c r="R124" s="42"/>
      <c r="S124" s="1">
        <f>12+17</f>
        <v>29</v>
      </c>
      <c r="T124" s="1">
        <v>0</v>
      </c>
      <c r="U124" s="1">
        <f>35.68+29.45</f>
        <v>65.13</v>
      </c>
      <c r="V124" s="1">
        <f>5.5+6</f>
        <v>11.5</v>
      </c>
      <c r="W124" s="1">
        <v>6</v>
      </c>
      <c r="X124" s="1">
        <v>35.9</v>
      </c>
      <c r="Y124" s="42"/>
    </row>
    <row r="125" spans="1:25" x14ac:dyDescent="0.25">
      <c r="B125" s="1">
        <v>122</v>
      </c>
      <c r="C125" s="5" t="s">
        <v>160</v>
      </c>
      <c r="D125" s="1" t="s">
        <v>159</v>
      </c>
      <c r="E125" s="2" t="s">
        <v>142</v>
      </c>
      <c r="F125" s="1" t="s">
        <v>11</v>
      </c>
      <c r="G125" s="3">
        <f>178+180</f>
        <v>358</v>
      </c>
      <c r="H125" s="3">
        <f t="shared" si="3"/>
        <v>-47.099999999999966</v>
      </c>
      <c r="L125" s="1">
        <v>35</v>
      </c>
      <c r="M125" s="1">
        <v>0</v>
      </c>
      <c r="N125" s="1">
        <f>32+44</f>
        <v>76</v>
      </c>
      <c r="O125" s="1">
        <f>45+3.5</f>
        <v>48.5</v>
      </c>
      <c r="P125" s="1">
        <f>22.2+3.5</f>
        <v>25.7</v>
      </c>
      <c r="Q125" s="1">
        <v>40</v>
      </c>
      <c r="R125" s="42"/>
      <c r="S125" s="1">
        <f>21.5+40</f>
        <v>61.5</v>
      </c>
      <c r="T125" s="1">
        <v>0</v>
      </c>
      <c r="U125" s="1">
        <f>2</f>
        <v>2</v>
      </c>
      <c r="V125" s="1">
        <f>11.1</f>
        <v>11.1</v>
      </c>
      <c r="W125" s="1">
        <v>11.1</v>
      </c>
      <c r="Y125" s="42"/>
    </row>
    <row r="126" spans="1:25" x14ac:dyDescent="0.25">
      <c r="B126" s="1">
        <v>123</v>
      </c>
      <c r="C126" s="5" t="s">
        <v>160</v>
      </c>
      <c r="D126" s="1" t="s">
        <v>159</v>
      </c>
      <c r="E126" s="2" t="s">
        <v>143</v>
      </c>
      <c r="F126" s="1" t="s">
        <v>11</v>
      </c>
      <c r="G126" s="3">
        <f>158+335</f>
        <v>493</v>
      </c>
      <c r="H126" s="3">
        <f t="shared" si="3"/>
        <v>-86.199999999999989</v>
      </c>
      <c r="L126" s="1">
        <v>0</v>
      </c>
      <c r="M126" s="1">
        <v>0</v>
      </c>
      <c r="N126" s="1">
        <v>25</v>
      </c>
      <c r="O126" s="1">
        <f>25+21</f>
        <v>46</v>
      </c>
      <c r="P126" s="1">
        <f>31.6+21</f>
        <v>52.6</v>
      </c>
      <c r="Q126" s="1">
        <v>40</v>
      </c>
      <c r="R126" s="42"/>
      <c r="S126" s="1">
        <f>31.6+21</f>
        <v>52.6</v>
      </c>
      <c r="T126" s="1">
        <v>0</v>
      </c>
      <c r="U126" s="1">
        <f>80+79</f>
        <v>159</v>
      </c>
      <c r="V126" s="1">
        <f>15.8</f>
        <v>15.8</v>
      </c>
      <c r="W126" s="1">
        <v>15.8</v>
      </c>
      <c r="Y126" s="42"/>
    </row>
    <row r="127" spans="1:25" x14ac:dyDescent="0.25">
      <c r="B127" s="1">
        <v>124</v>
      </c>
      <c r="C127" s="5" t="s">
        <v>160</v>
      </c>
      <c r="D127" s="1" t="s">
        <v>159</v>
      </c>
      <c r="E127" s="2" t="s">
        <v>144</v>
      </c>
      <c r="F127" s="1" t="s">
        <v>11</v>
      </c>
      <c r="G127" s="3">
        <f>5+21</f>
        <v>26</v>
      </c>
      <c r="H127" s="3">
        <f t="shared" si="3"/>
        <v>-4</v>
      </c>
      <c r="L127" s="1">
        <v>1</v>
      </c>
      <c r="M127" s="1">
        <v>0</v>
      </c>
      <c r="N127" s="1">
        <v>5</v>
      </c>
      <c r="O127" s="1">
        <v>3</v>
      </c>
      <c r="P127" s="1">
        <v>0</v>
      </c>
      <c r="Q127" s="1">
        <v>2</v>
      </c>
      <c r="R127" s="42"/>
      <c r="S127" s="1">
        <f>7</f>
        <v>7</v>
      </c>
      <c r="T127" s="1">
        <v>0</v>
      </c>
      <c r="U127" s="1">
        <f>2</f>
        <v>2</v>
      </c>
      <c r="V127" s="1">
        <f>1</f>
        <v>1</v>
      </c>
      <c r="W127" s="1">
        <v>1</v>
      </c>
      <c r="Y127" s="42"/>
    </row>
    <row r="128" spans="1:25" x14ac:dyDescent="0.25">
      <c r="B128" s="1">
        <v>125</v>
      </c>
      <c r="C128" s="5" t="s">
        <v>160</v>
      </c>
      <c r="D128" s="1" t="s">
        <v>159</v>
      </c>
      <c r="E128" s="2" t="s">
        <v>145</v>
      </c>
      <c r="F128" s="1" t="s">
        <v>11</v>
      </c>
      <c r="G128" s="3">
        <f>53+64</f>
        <v>117</v>
      </c>
      <c r="H128" s="3">
        <f t="shared" si="3"/>
        <v>-25.59999999999998</v>
      </c>
      <c r="L128" s="1">
        <v>4.38</v>
      </c>
      <c r="M128" s="1">
        <v>0</v>
      </c>
      <c r="N128" s="1">
        <f>3.5+8</f>
        <v>11.5</v>
      </c>
      <c r="O128" s="1">
        <v>17</v>
      </c>
      <c r="P128" s="1">
        <v>8.84</v>
      </c>
      <c r="Q128" s="1">
        <v>22</v>
      </c>
      <c r="R128" s="42"/>
      <c r="S128" s="1">
        <f>4.4</f>
        <v>4.4000000000000004</v>
      </c>
      <c r="T128" s="1">
        <v>0</v>
      </c>
      <c r="U128" s="1">
        <f>14.46</f>
        <v>14.46</v>
      </c>
      <c r="V128" s="1">
        <f>4.42</f>
        <v>4.42</v>
      </c>
      <c r="W128" s="1">
        <v>4.4000000000000004</v>
      </c>
      <c r="Y128" s="42"/>
    </row>
    <row r="129" spans="2:25" x14ac:dyDescent="0.25">
      <c r="B129" s="1">
        <v>126</v>
      </c>
      <c r="C129" s="5" t="s">
        <v>160</v>
      </c>
      <c r="D129" s="1" t="s">
        <v>159</v>
      </c>
      <c r="E129" s="2" t="s">
        <v>146</v>
      </c>
      <c r="F129" s="1" t="s">
        <v>11</v>
      </c>
      <c r="G129" s="3">
        <f>47+59</f>
        <v>106</v>
      </c>
      <c r="H129" s="3">
        <f t="shared" si="3"/>
        <v>-31.900000000000006</v>
      </c>
      <c r="L129" s="1">
        <v>5.5</v>
      </c>
      <c r="M129" s="1">
        <v>0</v>
      </c>
      <c r="N129" s="1">
        <f>5.22+10</f>
        <v>15.219999999999999</v>
      </c>
      <c r="O129" s="1">
        <v>13.88</v>
      </c>
      <c r="P129" s="1">
        <v>9</v>
      </c>
      <c r="Q129" s="1">
        <v>9.2799999999999994</v>
      </c>
      <c r="R129" s="42"/>
      <c r="S129" s="1">
        <v>0</v>
      </c>
      <c r="T129" s="1">
        <v>0</v>
      </c>
      <c r="U129" s="1">
        <f>16</f>
        <v>16</v>
      </c>
      <c r="V129" s="1">
        <v>5.22</v>
      </c>
      <c r="Y129" s="42"/>
    </row>
    <row r="130" spans="2:25" x14ac:dyDescent="0.25">
      <c r="B130" s="1">
        <v>127</v>
      </c>
      <c r="C130" s="5" t="s">
        <v>160</v>
      </c>
      <c r="D130" s="1" t="s">
        <v>159</v>
      </c>
      <c r="E130" s="2" t="s">
        <v>147</v>
      </c>
      <c r="F130" s="1" t="s">
        <v>11</v>
      </c>
      <c r="G130" s="3">
        <f>166+107</f>
        <v>273</v>
      </c>
      <c r="H130" s="3">
        <f t="shared" si="3"/>
        <v>4.2599999999999909</v>
      </c>
      <c r="L130" s="1">
        <v>18.5</v>
      </c>
      <c r="M130" s="1">
        <v>0</v>
      </c>
      <c r="N130" s="1">
        <f>18.44+25</f>
        <v>43.44</v>
      </c>
      <c r="O130" s="1">
        <f>25+7.5</f>
        <v>32.5</v>
      </c>
      <c r="P130" s="1">
        <f>36.88+7.5</f>
        <v>44.38</v>
      </c>
      <c r="Q130" s="1">
        <v>7</v>
      </c>
      <c r="R130" s="42"/>
      <c r="S130" s="1">
        <f>16</f>
        <v>16</v>
      </c>
      <c r="T130" s="1">
        <v>0</v>
      </c>
      <c r="U130" s="1">
        <f>49+48</f>
        <v>97</v>
      </c>
      <c r="V130" s="1">
        <f>18.44</f>
        <v>18.440000000000001</v>
      </c>
      <c r="Y130" s="42"/>
    </row>
    <row r="131" spans="2:25" x14ac:dyDescent="0.25">
      <c r="B131" s="1">
        <v>128</v>
      </c>
      <c r="C131" s="5" t="s">
        <v>160</v>
      </c>
      <c r="D131" s="1" t="s">
        <v>159</v>
      </c>
      <c r="E131" s="2" t="s">
        <v>148</v>
      </c>
      <c r="F131" s="1" t="s">
        <v>11</v>
      </c>
      <c r="G131" s="3">
        <f>83+302</f>
        <v>385</v>
      </c>
      <c r="H131" s="3">
        <f t="shared" si="3"/>
        <v>-44.419999999999959</v>
      </c>
      <c r="L131" s="1">
        <v>0</v>
      </c>
      <c r="M131" s="1">
        <v>0</v>
      </c>
      <c r="N131" s="1">
        <v>25</v>
      </c>
      <c r="O131" s="1">
        <f>25+27</f>
        <v>52</v>
      </c>
      <c r="P131" s="1">
        <f>23.72+27</f>
        <v>50.72</v>
      </c>
      <c r="Q131" s="1">
        <v>52</v>
      </c>
      <c r="R131" s="42"/>
      <c r="S131" s="1">
        <f>35</f>
        <v>35</v>
      </c>
      <c r="T131" s="1">
        <v>0</v>
      </c>
      <c r="U131" s="1">
        <f>37+37</f>
        <v>74</v>
      </c>
      <c r="V131" s="1">
        <f>11.86</f>
        <v>11.86</v>
      </c>
      <c r="X131" s="1">
        <v>40</v>
      </c>
      <c r="Y131" s="42"/>
    </row>
    <row r="132" spans="2:25" x14ac:dyDescent="0.25">
      <c r="B132" s="1">
        <v>129</v>
      </c>
      <c r="C132" s="5" t="s">
        <v>160</v>
      </c>
      <c r="D132" s="1" t="s">
        <v>159</v>
      </c>
      <c r="E132" s="2" t="s">
        <v>149</v>
      </c>
      <c r="F132" s="1" t="s">
        <v>11</v>
      </c>
      <c r="G132" s="3">
        <f>485+588</f>
        <v>1073</v>
      </c>
      <c r="H132" s="3">
        <f t="shared" si="3"/>
        <v>-173</v>
      </c>
      <c r="L132" s="1">
        <v>0</v>
      </c>
      <c r="M132" s="1">
        <v>0</v>
      </c>
      <c r="N132" s="1">
        <v>90</v>
      </c>
      <c r="O132" s="1">
        <f>90+90</f>
        <v>180</v>
      </c>
      <c r="P132" s="1">
        <v>138</v>
      </c>
      <c r="Q132" s="1">
        <f>90+90</f>
        <v>180</v>
      </c>
      <c r="R132" s="42"/>
      <c r="S132" s="1">
        <f>90</f>
        <v>90</v>
      </c>
      <c r="T132" s="1">
        <v>0</v>
      </c>
      <c r="U132" s="1">
        <f>63+90</f>
        <v>153</v>
      </c>
      <c r="V132" s="1">
        <f>69</f>
        <v>69</v>
      </c>
      <c r="Y132" s="42"/>
    </row>
    <row r="133" spans="2:25" x14ac:dyDescent="0.25">
      <c r="B133" s="1">
        <v>130</v>
      </c>
      <c r="C133" s="5" t="s">
        <v>160</v>
      </c>
      <c r="D133" s="1" t="s">
        <v>159</v>
      </c>
      <c r="E133" s="2" t="s">
        <v>150</v>
      </c>
      <c r="F133" s="1" t="s">
        <v>11</v>
      </c>
      <c r="G133" s="3">
        <f>256+197</f>
        <v>453</v>
      </c>
      <c r="H133" s="3">
        <f t="shared" si="3"/>
        <v>-30.120000000000005</v>
      </c>
      <c r="L133" s="1">
        <v>19.72</v>
      </c>
      <c r="M133" s="1">
        <v>0</v>
      </c>
      <c r="N133" s="1">
        <v>45</v>
      </c>
      <c r="O133" s="1">
        <f>45+27.5</f>
        <v>72.5</v>
      </c>
      <c r="P133" s="1">
        <f>67.44+27.5</f>
        <v>94.94</v>
      </c>
      <c r="Q133" s="1">
        <v>5</v>
      </c>
      <c r="R133" s="42"/>
      <c r="S133" s="1">
        <f>32+1</f>
        <v>33</v>
      </c>
      <c r="T133" s="1">
        <v>0</v>
      </c>
      <c r="U133" s="1">
        <f>60+59</f>
        <v>119</v>
      </c>
      <c r="V133" s="1">
        <f>33.72</f>
        <v>33.72</v>
      </c>
      <c r="Y133" s="42"/>
    </row>
    <row r="134" spans="2:25" x14ac:dyDescent="0.25">
      <c r="B134" s="1">
        <v>131</v>
      </c>
      <c r="C134" s="5" t="s">
        <v>160</v>
      </c>
      <c r="D134" s="1" t="s">
        <v>159</v>
      </c>
      <c r="E134" s="2" t="s">
        <v>151</v>
      </c>
      <c r="F134" s="1" t="s">
        <v>11</v>
      </c>
      <c r="G134" s="3">
        <f>200+212</f>
        <v>412</v>
      </c>
      <c r="H134" s="3">
        <f t="shared" si="3"/>
        <v>-152.69999999999999</v>
      </c>
      <c r="L134" s="1">
        <v>10</v>
      </c>
      <c r="M134" s="1">
        <v>0</v>
      </c>
      <c r="N134" s="1">
        <f>7+14</f>
        <v>21</v>
      </c>
      <c r="O134" s="1">
        <f>14+11.75</f>
        <v>25.75</v>
      </c>
      <c r="P134" s="1">
        <f>36.6+11.75</f>
        <v>48.35</v>
      </c>
      <c r="Q134" s="1">
        <v>22</v>
      </c>
      <c r="R134" s="42"/>
      <c r="S134" s="1">
        <f>36.6+33</f>
        <v>69.599999999999994</v>
      </c>
      <c r="T134" s="1">
        <v>0</v>
      </c>
      <c r="U134" s="1">
        <f>13+13</f>
        <v>26</v>
      </c>
      <c r="V134" s="1">
        <f>18.3</f>
        <v>18.3</v>
      </c>
      <c r="W134" s="1">
        <v>18.3</v>
      </c>
      <c r="Y134" s="42"/>
    </row>
    <row r="135" spans="2:25" x14ac:dyDescent="0.25">
      <c r="B135" s="1">
        <v>132</v>
      </c>
      <c r="C135" s="5" t="s">
        <v>160</v>
      </c>
      <c r="D135" s="1" t="s">
        <v>159</v>
      </c>
      <c r="E135" s="2" t="s">
        <v>152</v>
      </c>
      <c r="F135" s="1" t="s">
        <v>11</v>
      </c>
      <c r="G135" s="3">
        <f>83+179</f>
        <v>262</v>
      </c>
      <c r="H135" s="3">
        <f t="shared" si="3"/>
        <v>-66.5</v>
      </c>
      <c r="L135" s="1">
        <v>2</v>
      </c>
      <c r="M135" s="1">
        <v>0</v>
      </c>
      <c r="N135" s="1">
        <v>10</v>
      </c>
      <c r="O135" s="1">
        <v>21</v>
      </c>
      <c r="P135" s="1">
        <f>23.5+21</f>
        <v>44.5</v>
      </c>
      <c r="Q135" s="1">
        <v>23</v>
      </c>
      <c r="R135" s="42"/>
      <c r="S135" s="1">
        <f>11.5+22</f>
        <v>33.5</v>
      </c>
      <c r="T135" s="1">
        <v>0</v>
      </c>
      <c r="U135" s="1">
        <f>25+25</f>
        <v>50</v>
      </c>
      <c r="W135" s="1">
        <v>11.5</v>
      </c>
      <c r="Y135" s="42"/>
    </row>
    <row r="136" spans="2:25" x14ac:dyDescent="0.25">
      <c r="B136" s="1">
        <v>133</v>
      </c>
      <c r="C136" s="5" t="s">
        <v>160</v>
      </c>
      <c r="D136" s="1" t="s">
        <v>159</v>
      </c>
      <c r="E136" s="2" t="s">
        <v>153</v>
      </c>
      <c r="F136" s="1" t="s">
        <v>11</v>
      </c>
      <c r="G136" s="3">
        <f>35+23</f>
        <v>58</v>
      </c>
      <c r="H136" s="3">
        <f t="shared" si="3"/>
        <v>113</v>
      </c>
      <c r="L136" s="1">
        <v>27</v>
      </c>
      <c r="M136" s="1">
        <v>0</v>
      </c>
      <c r="N136" s="1">
        <v>23</v>
      </c>
      <c r="O136" s="1">
        <v>27</v>
      </c>
      <c r="P136" s="1">
        <v>0</v>
      </c>
      <c r="Q136" s="1">
        <v>0</v>
      </c>
      <c r="R136" s="42"/>
      <c r="S136" s="1">
        <v>33</v>
      </c>
      <c r="T136" s="1">
        <v>0</v>
      </c>
      <c r="U136" s="1">
        <f>30+28.5</f>
        <v>58.5</v>
      </c>
      <c r="V136" s="1">
        <f>2.5</f>
        <v>2.5</v>
      </c>
      <c r="Y136" s="42"/>
    </row>
    <row r="137" spans="2:25" x14ac:dyDescent="0.25">
      <c r="B137" s="1">
        <v>134</v>
      </c>
      <c r="C137" s="5" t="s">
        <v>160</v>
      </c>
      <c r="D137" s="1" t="s">
        <v>159</v>
      </c>
      <c r="E137" s="2" t="s">
        <v>154</v>
      </c>
      <c r="F137" s="1" t="s">
        <v>11</v>
      </c>
      <c r="G137" s="3">
        <f>262+30</f>
        <v>292</v>
      </c>
      <c r="H137" s="3">
        <f t="shared" si="3"/>
        <v>-101.68</v>
      </c>
      <c r="L137" s="1">
        <v>0</v>
      </c>
      <c r="M137" s="1">
        <v>0</v>
      </c>
      <c r="N137" s="1">
        <v>10</v>
      </c>
      <c r="O137" s="1">
        <f>10+10</f>
        <v>20</v>
      </c>
      <c r="P137" s="1">
        <f>74.84+10</f>
        <v>84.84</v>
      </c>
      <c r="Q137" s="1">
        <v>25</v>
      </c>
      <c r="R137" s="42"/>
      <c r="S137" s="1">
        <f>10</f>
        <v>10</v>
      </c>
      <c r="T137" s="1">
        <v>0</v>
      </c>
      <c r="U137" s="1">
        <v>4.88</v>
      </c>
      <c r="V137" s="1">
        <f>35.6</f>
        <v>35.6</v>
      </c>
      <c r="Y137" s="42"/>
    </row>
    <row r="138" spans="2:25" x14ac:dyDescent="0.25">
      <c r="B138" s="1">
        <v>135</v>
      </c>
      <c r="C138" s="5" t="s">
        <v>160</v>
      </c>
      <c r="D138" s="1" t="s">
        <v>159</v>
      </c>
      <c r="E138" s="2" t="s">
        <v>155</v>
      </c>
      <c r="F138" s="1" t="s">
        <v>156</v>
      </c>
      <c r="G138" s="3">
        <f>40+146</f>
        <v>186</v>
      </c>
      <c r="H138" s="3">
        <f t="shared" si="3"/>
        <v>50</v>
      </c>
      <c r="L138" s="1">
        <v>19</v>
      </c>
      <c r="M138" s="1">
        <v>0</v>
      </c>
      <c r="N138" s="1">
        <f>20+38</f>
        <v>58</v>
      </c>
      <c r="O138" s="1">
        <f>30+37</f>
        <v>67</v>
      </c>
      <c r="P138" s="1">
        <f>36+6</f>
        <v>42</v>
      </c>
      <c r="Q138" s="1">
        <v>50</v>
      </c>
      <c r="R138" s="42"/>
      <c r="S138" s="1">
        <v>0</v>
      </c>
      <c r="T138" s="1">
        <v>0</v>
      </c>
      <c r="U138" s="1">
        <v>0</v>
      </c>
      <c r="Y138" s="42"/>
    </row>
    <row r="139" spans="2:25" x14ac:dyDescent="0.25">
      <c r="B139" s="1">
        <v>136</v>
      </c>
      <c r="C139" s="5" t="s">
        <v>160</v>
      </c>
      <c r="D139" s="1" t="s">
        <v>159</v>
      </c>
      <c r="E139" s="2" t="s">
        <v>157</v>
      </c>
      <c r="F139" s="1" t="s">
        <v>11</v>
      </c>
      <c r="G139" s="3">
        <f>116+123</f>
        <v>239</v>
      </c>
      <c r="H139" s="3">
        <f t="shared" si="3"/>
        <v>-31</v>
      </c>
      <c r="L139" s="1">
        <v>22</v>
      </c>
      <c r="M139" s="1">
        <v>0</v>
      </c>
      <c r="N139" s="1">
        <f>19+22.5</f>
        <v>41.5</v>
      </c>
      <c r="O139" s="1">
        <f>22.5+9.5</f>
        <v>32</v>
      </c>
      <c r="P139" s="1">
        <f>15+9.5</f>
        <v>24.5</v>
      </c>
      <c r="Q139" s="1">
        <v>31</v>
      </c>
      <c r="R139" s="42"/>
      <c r="S139" s="1">
        <f>15+27</f>
        <v>42</v>
      </c>
      <c r="T139" s="1">
        <v>0</v>
      </c>
      <c r="U139" s="1">
        <v>0</v>
      </c>
      <c r="V139" s="1">
        <v>7.5</v>
      </c>
      <c r="W139" s="1">
        <v>7.5</v>
      </c>
      <c r="Y139" s="42"/>
    </row>
    <row r="140" spans="2:25" x14ac:dyDescent="0.25">
      <c r="B140" s="1">
        <v>137</v>
      </c>
      <c r="C140" s="5" t="s">
        <v>160</v>
      </c>
      <c r="D140" s="1" t="s">
        <v>159</v>
      </c>
      <c r="E140" s="2" t="s">
        <v>158</v>
      </c>
      <c r="F140" s="1" t="s">
        <v>11</v>
      </c>
      <c r="G140" s="3">
        <f>32+29</f>
        <v>61</v>
      </c>
      <c r="H140" s="3">
        <f t="shared" si="3"/>
        <v>2.7999999999999972</v>
      </c>
      <c r="L140" s="1">
        <v>4</v>
      </c>
      <c r="M140" s="1">
        <v>0</v>
      </c>
      <c r="N140" s="1">
        <v>6</v>
      </c>
      <c r="O140" s="1">
        <f>6+5</f>
        <v>11</v>
      </c>
      <c r="P140" s="1">
        <f>5.6+5</f>
        <v>10.6</v>
      </c>
      <c r="Q140" s="1">
        <v>7</v>
      </c>
      <c r="R140" s="42"/>
      <c r="S140" s="1">
        <f>5.6+7</f>
        <v>12.6</v>
      </c>
      <c r="T140" s="1">
        <v>0</v>
      </c>
      <c r="U140" s="1">
        <f>7</f>
        <v>7</v>
      </c>
      <c r="V140" s="1">
        <f>2.8</f>
        <v>2.8</v>
      </c>
      <c r="W140" s="1">
        <v>2.8</v>
      </c>
      <c r="Y140" s="42"/>
    </row>
    <row r="141" spans="2:25" x14ac:dyDescent="0.25">
      <c r="B141" s="1">
        <v>138</v>
      </c>
      <c r="C141" s="5" t="s">
        <v>160</v>
      </c>
      <c r="D141" s="1" t="s">
        <v>161</v>
      </c>
      <c r="E141" s="8" t="s">
        <v>162</v>
      </c>
      <c r="F141" s="1" t="s">
        <v>11</v>
      </c>
      <c r="G141" s="3">
        <v>1054</v>
      </c>
      <c r="H141" s="3">
        <f t="shared" si="3"/>
        <v>-790</v>
      </c>
      <c r="L141" s="1">
        <v>0</v>
      </c>
      <c r="M141" s="1">
        <v>0</v>
      </c>
      <c r="N141" s="1">
        <v>264</v>
      </c>
      <c r="O141" s="1">
        <v>0</v>
      </c>
      <c r="P141" s="1">
        <v>0</v>
      </c>
      <c r="Q141" s="1">
        <v>0</v>
      </c>
      <c r="R141" s="42"/>
      <c r="S141" s="1">
        <v>0</v>
      </c>
      <c r="T141" s="1">
        <v>0</v>
      </c>
      <c r="U141" s="1">
        <v>0</v>
      </c>
      <c r="Y141" s="42"/>
    </row>
    <row r="142" spans="2:25" x14ac:dyDescent="0.25">
      <c r="B142" s="1">
        <v>139</v>
      </c>
      <c r="C142" s="5" t="s">
        <v>160</v>
      </c>
      <c r="D142" s="1" t="s">
        <v>161</v>
      </c>
      <c r="E142" s="8" t="s">
        <v>163</v>
      </c>
      <c r="F142" s="1" t="s">
        <v>11</v>
      </c>
      <c r="G142" s="3">
        <v>1633</v>
      </c>
      <c r="H142" s="3">
        <f t="shared" si="3"/>
        <v>-1633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42"/>
      <c r="S142" s="1">
        <v>0</v>
      </c>
      <c r="T142" s="1">
        <v>0</v>
      </c>
      <c r="U142" s="1">
        <v>0</v>
      </c>
      <c r="Y142" s="42"/>
    </row>
    <row r="143" spans="2:25" x14ac:dyDescent="0.25">
      <c r="B143" s="1">
        <v>140</v>
      </c>
      <c r="C143" s="5" t="s">
        <v>160</v>
      </c>
      <c r="D143" s="1" t="s">
        <v>161</v>
      </c>
      <c r="E143" s="8" t="s">
        <v>164</v>
      </c>
      <c r="F143" s="1" t="s">
        <v>11</v>
      </c>
      <c r="G143" s="3">
        <v>8433</v>
      </c>
      <c r="H143" s="3">
        <f t="shared" si="3"/>
        <v>-6341</v>
      </c>
      <c r="L143" s="1">
        <v>0</v>
      </c>
      <c r="M143" s="1">
        <v>0</v>
      </c>
      <c r="N143" s="1">
        <v>0</v>
      </c>
      <c r="O143" s="1">
        <v>0</v>
      </c>
      <c r="P143" s="1">
        <f>1200+122</f>
        <v>1322</v>
      </c>
      <c r="Q143" s="1">
        <v>0</v>
      </c>
      <c r="R143" s="42"/>
      <c r="S143" s="1">
        <v>0</v>
      </c>
      <c r="T143" s="1">
        <v>0</v>
      </c>
      <c r="U143" s="1">
        <v>0</v>
      </c>
      <c r="X143" s="1">
        <v>770</v>
      </c>
      <c r="Y143" s="42"/>
    </row>
    <row r="144" spans="2:25" x14ac:dyDescent="0.25">
      <c r="B144" s="1">
        <v>141</v>
      </c>
      <c r="C144" s="5" t="s">
        <v>160</v>
      </c>
      <c r="D144" s="1" t="s">
        <v>161</v>
      </c>
      <c r="E144" s="8" t="s">
        <v>165</v>
      </c>
      <c r="F144" s="1" t="s">
        <v>11</v>
      </c>
      <c r="G144" s="3">
        <v>2148</v>
      </c>
      <c r="H144" s="3">
        <f t="shared" si="3"/>
        <v>-14.440000000000055</v>
      </c>
      <c r="L144" s="1">
        <v>0</v>
      </c>
      <c r="M144" s="1">
        <v>0</v>
      </c>
      <c r="N144" s="1">
        <v>0</v>
      </c>
      <c r="O144" s="1">
        <v>0</v>
      </c>
      <c r="P144" s="1">
        <v>596.70000000000005</v>
      </c>
      <c r="Q144" s="1">
        <v>0</v>
      </c>
      <c r="R144" s="42"/>
      <c r="S144" s="1">
        <v>0</v>
      </c>
      <c r="T144" s="1">
        <v>493.86</v>
      </c>
      <c r="U144" s="1">
        <v>0</v>
      </c>
      <c r="V144" s="1">
        <f>495</f>
        <v>495</v>
      </c>
      <c r="W144" s="1">
        <v>548</v>
      </c>
      <c r="Y144" s="42"/>
    </row>
    <row r="145" spans="2:25" x14ac:dyDescent="0.25">
      <c r="B145" s="1">
        <v>142</v>
      </c>
      <c r="C145" s="5" t="s">
        <v>160</v>
      </c>
      <c r="D145" s="1" t="s">
        <v>161</v>
      </c>
      <c r="E145" s="8" t="s">
        <v>166</v>
      </c>
      <c r="F145" s="1" t="s">
        <v>11</v>
      </c>
      <c r="G145" s="3">
        <v>510</v>
      </c>
      <c r="H145" s="3">
        <f t="shared" si="3"/>
        <v>-42.5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467.5</v>
      </c>
      <c r="R145" s="42"/>
      <c r="S145" s="1">
        <v>0</v>
      </c>
      <c r="T145" s="1">
        <v>0</v>
      </c>
      <c r="U145" s="1">
        <v>0</v>
      </c>
      <c r="Y145" s="42"/>
    </row>
    <row r="146" spans="2:25" x14ac:dyDescent="0.25">
      <c r="B146" s="1">
        <v>143</v>
      </c>
      <c r="C146" s="5" t="s">
        <v>160</v>
      </c>
      <c r="D146" s="1" t="s">
        <v>161</v>
      </c>
      <c r="E146" s="8" t="s">
        <v>167</v>
      </c>
      <c r="F146" s="1" t="s">
        <v>11</v>
      </c>
      <c r="G146" s="3">
        <v>4521</v>
      </c>
      <c r="H146" s="3">
        <f t="shared" si="3"/>
        <v>-2260</v>
      </c>
      <c r="L146" s="1">
        <v>0</v>
      </c>
      <c r="M146" s="1">
        <v>0</v>
      </c>
      <c r="N146" s="6">
        <v>1131</v>
      </c>
      <c r="O146" s="1">
        <v>0</v>
      </c>
      <c r="P146" s="1">
        <v>0</v>
      </c>
      <c r="Q146" s="1">
        <v>0</v>
      </c>
      <c r="R146" s="42"/>
      <c r="S146" s="1">
        <f>1130</f>
        <v>1130</v>
      </c>
      <c r="T146" s="1">
        <v>0</v>
      </c>
      <c r="U146" s="1">
        <v>0</v>
      </c>
      <c r="Y146" s="42"/>
    </row>
    <row r="147" spans="2:25" x14ac:dyDescent="0.25">
      <c r="B147" s="1">
        <v>144</v>
      </c>
      <c r="C147" s="5" t="s">
        <v>160</v>
      </c>
      <c r="D147" s="1" t="s">
        <v>161</v>
      </c>
      <c r="E147" s="8" t="s">
        <v>168</v>
      </c>
      <c r="F147" s="1" t="s">
        <v>11</v>
      </c>
      <c r="G147" s="3">
        <v>3392</v>
      </c>
      <c r="H147" s="3">
        <f t="shared" si="3"/>
        <v>610.11999999999989</v>
      </c>
      <c r="L147" s="1">
        <v>219.78</v>
      </c>
      <c r="M147" s="1">
        <v>555.23</v>
      </c>
      <c r="N147" s="1">
        <v>800</v>
      </c>
      <c r="O147" s="1">
        <v>800</v>
      </c>
      <c r="P147" s="1">
        <f>246.64</f>
        <v>246.64</v>
      </c>
      <c r="Q147" s="1">
        <v>381.47</v>
      </c>
      <c r="R147" s="42"/>
      <c r="S147" s="1">
        <f>200+200+100</f>
        <v>500</v>
      </c>
      <c r="T147" s="1">
        <v>0</v>
      </c>
      <c r="U147" s="1">
        <v>499</v>
      </c>
      <c r="Y147" s="42"/>
    </row>
    <row r="148" spans="2:25" x14ac:dyDescent="0.25">
      <c r="B148" s="1">
        <v>145</v>
      </c>
      <c r="C148" s="5" t="s">
        <v>160</v>
      </c>
      <c r="D148" s="1" t="s">
        <v>161</v>
      </c>
      <c r="E148" s="8" t="s">
        <v>169</v>
      </c>
      <c r="F148" s="1" t="s">
        <v>11</v>
      </c>
      <c r="G148" s="3">
        <v>11630</v>
      </c>
      <c r="H148" s="3">
        <f t="shared" si="3"/>
        <v>-7920.16</v>
      </c>
      <c r="L148" s="1">
        <v>0</v>
      </c>
      <c r="M148" s="1">
        <v>0</v>
      </c>
      <c r="N148" s="1">
        <v>0</v>
      </c>
      <c r="O148" s="1">
        <v>1000</v>
      </c>
      <c r="P148" s="1">
        <v>662</v>
      </c>
      <c r="Q148" s="1">
        <v>0</v>
      </c>
      <c r="R148" s="42"/>
      <c r="S148" s="1">
        <f>910</f>
        <v>910</v>
      </c>
      <c r="T148" s="1">
        <v>0</v>
      </c>
      <c r="U148" s="1">
        <v>137.84</v>
      </c>
      <c r="W148" s="1">
        <v>1000</v>
      </c>
      <c r="Y148" s="42"/>
    </row>
    <row r="149" spans="2:25" x14ac:dyDescent="0.25">
      <c r="B149" s="1">
        <v>146</v>
      </c>
      <c r="C149" s="5" t="s">
        <v>160</v>
      </c>
      <c r="D149" s="1" t="s">
        <v>161</v>
      </c>
      <c r="E149" s="8" t="s">
        <v>170</v>
      </c>
      <c r="F149" s="1" t="s">
        <v>11</v>
      </c>
      <c r="G149" s="3">
        <v>5879</v>
      </c>
      <c r="H149" s="3">
        <f t="shared" si="3"/>
        <v>-5661.26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42"/>
      <c r="S149" s="1">
        <v>0</v>
      </c>
      <c r="T149" s="1">
        <v>0</v>
      </c>
      <c r="U149" s="1">
        <v>0</v>
      </c>
      <c r="X149" s="1">
        <v>217.74</v>
      </c>
      <c r="Y149" s="42"/>
    </row>
    <row r="150" spans="2:25" x14ac:dyDescent="0.25">
      <c r="B150" s="1">
        <v>147</v>
      </c>
      <c r="C150" s="5" t="s">
        <v>160</v>
      </c>
      <c r="D150" s="1" t="s">
        <v>161</v>
      </c>
      <c r="E150" s="8" t="s">
        <v>171</v>
      </c>
      <c r="F150" s="1" t="s">
        <v>11</v>
      </c>
      <c r="G150" s="3">
        <v>288</v>
      </c>
      <c r="H150" s="3">
        <f t="shared" si="3"/>
        <v>0</v>
      </c>
      <c r="L150" s="1">
        <v>0</v>
      </c>
      <c r="M150" s="1">
        <v>0</v>
      </c>
      <c r="N150" s="1">
        <v>288</v>
      </c>
      <c r="O150" s="1">
        <v>0</v>
      </c>
      <c r="P150" s="1">
        <v>0</v>
      </c>
      <c r="Q150" s="1">
        <v>0</v>
      </c>
      <c r="R150" s="42"/>
      <c r="S150" s="1">
        <v>0</v>
      </c>
      <c r="T150" s="1">
        <v>0</v>
      </c>
      <c r="U150" s="1">
        <v>0</v>
      </c>
      <c r="Y150" s="42"/>
    </row>
    <row r="151" spans="2:25" x14ac:dyDescent="0.25">
      <c r="B151" s="1">
        <v>148</v>
      </c>
      <c r="C151" s="5" t="s">
        <v>160</v>
      </c>
      <c r="D151" s="1" t="s">
        <v>161</v>
      </c>
      <c r="E151" s="8" t="s">
        <v>172</v>
      </c>
      <c r="F151" s="1" t="s">
        <v>11</v>
      </c>
      <c r="G151" s="3">
        <v>837</v>
      </c>
      <c r="H151" s="3">
        <f t="shared" si="3"/>
        <v>-40</v>
      </c>
      <c r="L151" s="1">
        <v>0</v>
      </c>
      <c r="M151" s="1">
        <v>0</v>
      </c>
      <c r="N151" s="1">
        <v>0</v>
      </c>
      <c r="O151" s="1">
        <f>500+297</f>
        <v>797</v>
      </c>
      <c r="P151" s="1">
        <v>0</v>
      </c>
      <c r="Q151" s="1">
        <v>0</v>
      </c>
      <c r="R151" s="42"/>
      <c r="S151" s="1">
        <v>0</v>
      </c>
      <c r="T151" s="1">
        <v>0</v>
      </c>
      <c r="U151" s="1">
        <v>0</v>
      </c>
      <c r="Y151" s="42"/>
    </row>
    <row r="152" spans="2:25" x14ac:dyDescent="0.25">
      <c r="B152" s="1">
        <v>149</v>
      </c>
      <c r="C152" s="5" t="s">
        <v>160</v>
      </c>
      <c r="D152" s="1" t="s">
        <v>161</v>
      </c>
      <c r="E152" s="8" t="s">
        <v>173</v>
      </c>
      <c r="F152" s="1" t="s">
        <v>11</v>
      </c>
      <c r="G152" s="3">
        <v>1565</v>
      </c>
      <c r="H152" s="3">
        <f t="shared" si="3"/>
        <v>-1354.48</v>
      </c>
      <c r="L152" s="1">
        <v>0</v>
      </c>
      <c r="M152" s="1">
        <v>0</v>
      </c>
      <c r="N152" s="1">
        <v>0</v>
      </c>
      <c r="O152" s="1">
        <v>0</v>
      </c>
      <c r="P152" s="1">
        <v>55.52</v>
      </c>
      <c r="Q152" s="1">
        <v>0</v>
      </c>
      <c r="R152" s="42"/>
      <c r="S152" s="1">
        <v>0</v>
      </c>
      <c r="T152" s="1">
        <v>0</v>
      </c>
      <c r="U152" s="1">
        <v>155</v>
      </c>
      <c r="Y152" s="42"/>
    </row>
    <row r="153" spans="2:25" x14ac:dyDescent="0.25">
      <c r="B153" s="1">
        <v>150</v>
      </c>
      <c r="C153" s="5" t="s">
        <v>160</v>
      </c>
      <c r="D153" s="1" t="s">
        <v>161</v>
      </c>
      <c r="E153" s="8" t="s">
        <v>174</v>
      </c>
      <c r="F153" s="1" t="s">
        <v>11</v>
      </c>
      <c r="G153" s="3">
        <v>2421</v>
      </c>
      <c r="H153" s="3">
        <f t="shared" si="3"/>
        <v>-5</v>
      </c>
      <c r="L153" s="1">
        <v>0</v>
      </c>
      <c r="M153" s="1">
        <v>0</v>
      </c>
      <c r="N153" s="6">
        <f>1200+216</f>
        <v>1416</v>
      </c>
      <c r="O153" s="1">
        <v>0</v>
      </c>
      <c r="P153" s="1">
        <v>0</v>
      </c>
      <c r="Q153" s="1">
        <v>750</v>
      </c>
      <c r="R153" s="42"/>
      <c r="S153" s="1">
        <v>0</v>
      </c>
      <c r="T153" s="1">
        <v>250</v>
      </c>
      <c r="U153" s="1">
        <v>0</v>
      </c>
      <c r="Y153" s="42"/>
    </row>
    <row r="154" spans="2:25" x14ac:dyDescent="0.25">
      <c r="B154" s="1">
        <v>151</v>
      </c>
      <c r="C154" s="5" t="s">
        <v>160</v>
      </c>
      <c r="D154" s="1" t="s">
        <v>161</v>
      </c>
      <c r="E154" s="8" t="s">
        <v>175</v>
      </c>
      <c r="F154" s="1" t="s">
        <v>11</v>
      </c>
      <c r="G154" s="3">
        <v>792</v>
      </c>
      <c r="H154" s="3">
        <f t="shared" si="3"/>
        <v>-466.02</v>
      </c>
      <c r="L154" s="1">
        <v>0</v>
      </c>
      <c r="M154" s="1">
        <v>111.1</v>
      </c>
      <c r="N154" s="1">
        <v>0</v>
      </c>
      <c r="O154" s="1">
        <v>0</v>
      </c>
      <c r="P154" s="1">
        <v>105.26</v>
      </c>
      <c r="Q154" s="1">
        <v>0</v>
      </c>
      <c r="R154" s="42"/>
      <c r="S154" s="1">
        <f>109.62</f>
        <v>109.62</v>
      </c>
      <c r="T154" s="1">
        <v>0</v>
      </c>
      <c r="U154" s="1">
        <v>0</v>
      </c>
      <c r="Y154" s="42"/>
    </row>
    <row r="155" spans="2:25" x14ac:dyDescent="0.25">
      <c r="B155" s="1">
        <v>152</v>
      </c>
      <c r="C155" s="5" t="s">
        <v>160</v>
      </c>
      <c r="D155" s="1" t="s">
        <v>193</v>
      </c>
      <c r="E155" s="8" t="s">
        <v>176</v>
      </c>
      <c r="F155" s="1" t="s">
        <v>9</v>
      </c>
      <c r="G155" s="3">
        <v>606</v>
      </c>
      <c r="H155" s="3">
        <f t="shared" si="3"/>
        <v>-606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42"/>
      <c r="S155" s="1">
        <v>0</v>
      </c>
      <c r="T155" s="1">
        <v>0</v>
      </c>
      <c r="U155" s="1">
        <v>0</v>
      </c>
      <c r="Y155" s="42"/>
    </row>
    <row r="156" spans="2:25" x14ac:dyDescent="0.25">
      <c r="B156" s="1">
        <v>153</v>
      </c>
      <c r="C156" s="5" t="s">
        <v>160</v>
      </c>
      <c r="D156" s="1" t="s">
        <v>193</v>
      </c>
      <c r="E156" s="8" t="s">
        <v>177</v>
      </c>
      <c r="F156" s="1" t="s">
        <v>178</v>
      </c>
      <c r="G156" s="3">
        <v>14108</v>
      </c>
      <c r="H156" s="3">
        <f t="shared" si="3"/>
        <v>-11412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42"/>
      <c r="S156" s="1">
        <f>2696</f>
        <v>2696</v>
      </c>
      <c r="T156" s="1">
        <v>0</v>
      </c>
      <c r="U156" s="1">
        <v>0</v>
      </c>
      <c r="Y156" s="42"/>
    </row>
    <row r="157" spans="2:25" x14ac:dyDescent="0.25">
      <c r="B157" s="1">
        <v>154</v>
      </c>
      <c r="C157" s="5" t="s">
        <v>160</v>
      </c>
      <c r="D157" s="1" t="s">
        <v>193</v>
      </c>
      <c r="E157" s="8" t="s">
        <v>179</v>
      </c>
      <c r="F157" s="1" t="s">
        <v>178</v>
      </c>
      <c r="G157" s="3">
        <v>4241</v>
      </c>
      <c r="H157" s="3">
        <f t="shared" si="3"/>
        <v>-4241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42"/>
      <c r="S157" s="1">
        <v>0</v>
      </c>
      <c r="T157" s="1">
        <v>0</v>
      </c>
      <c r="U157" s="1">
        <v>0</v>
      </c>
      <c r="Y157" s="42"/>
    </row>
    <row r="158" spans="2:25" x14ac:dyDescent="0.25">
      <c r="B158" s="1">
        <v>155</v>
      </c>
      <c r="C158" s="5" t="s">
        <v>160</v>
      </c>
      <c r="D158" s="1" t="s">
        <v>193</v>
      </c>
      <c r="E158" s="2" t="s">
        <v>180</v>
      </c>
      <c r="F158" s="1" t="s">
        <v>9</v>
      </c>
      <c r="G158" s="3">
        <v>784</v>
      </c>
      <c r="H158" s="3">
        <f t="shared" si="3"/>
        <v>-388</v>
      </c>
      <c r="L158" s="1">
        <v>0</v>
      </c>
      <c r="M158" s="1">
        <v>198</v>
      </c>
      <c r="N158" s="1">
        <v>0</v>
      </c>
      <c r="O158" s="1">
        <v>0</v>
      </c>
      <c r="P158" s="1">
        <v>0</v>
      </c>
      <c r="Q158" s="1">
        <v>0</v>
      </c>
      <c r="R158" s="42"/>
      <c r="S158" s="1">
        <v>0</v>
      </c>
      <c r="T158" s="1">
        <v>198</v>
      </c>
      <c r="U158" s="1">
        <v>0</v>
      </c>
      <c r="Y158" s="42"/>
    </row>
    <row r="159" spans="2:25" x14ac:dyDescent="0.25">
      <c r="B159" s="1">
        <v>156</v>
      </c>
      <c r="C159" s="5" t="s">
        <v>160</v>
      </c>
      <c r="D159" s="1" t="s">
        <v>193</v>
      </c>
      <c r="E159" s="2" t="s">
        <v>181</v>
      </c>
      <c r="F159" s="1" t="s">
        <v>11</v>
      </c>
      <c r="G159" s="3">
        <v>385</v>
      </c>
      <c r="H159" s="3">
        <f t="shared" si="3"/>
        <v>-193</v>
      </c>
      <c r="L159" s="1">
        <v>0</v>
      </c>
      <c r="M159" s="1">
        <v>0</v>
      </c>
      <c r="N159" s="1">
        <f>32+64</f>
        <v>96</v>
      </c>
      <c r="O159" s="1">
        <v>0</v>
      </c>
      <c r="P159" s="1">
        <v>0</v>
      </c>
      <c r="Q159" s="1">
        <v>0</v>
      </c>
      <c r="R159" s="42"/>
      <c r="S159" s="1">
        <v>0</v>
      </c>
      <c r="T159" s="1">
        <v>96</v>
      </c>
      <c r="U159" s="1">
        <v>0</v>
      </c>
      <c r="Y159" s="42"/>
    </row>
    <row r="160" spans="2:25" x14ac:dyDescent="0.25">
      <c r="B160" s="1">
        <v>157</v>
      </c>
      <c r="C160" s="5" t="s">
        <v>160</v>
      </c>
      <c r="D160" s="1" t="s">
        <v>193</v>
      </c>
      <c r="E160" s="2" t="s">
        <v>182</v>
      </c>
      <c r="F160" s="1" t="s">
        <v>70</v>
      </c>
      <c r="G160" s="3">
        <v>435</v>
      </c>
      <c r="H160" s="3">
        <f t="shared" si="3"/>
        <v>-174</v>
      </c>
      <c r="L160" s="1">
        <v>0</v>
      </c>
      <c r="M160" s="1">
        <v>87</v>
      </c>
      <c r="N160" s="1">
        <v>0</v>
      </c>
      <c r="O160" s="1">
        <v>0</v>
      </c>
      <c r="P160" s="1">
        <v>0</v>
      </c>
      <c r="Q160" s="1">
        <f>87+87</f>
        <v>174</v>
      </c>
      <c r="R160" s="42"/>
      <c r="S160" s="1">
        <v>0</v>
      </c>
      <c r="T160" s="1">
        <v>0</v>
      </c>
      <c r="U160" s="1">
        <v>0</v>
      </c>
      <c r="Y160" s="42"/>
    </row>
    <row r="161" spans="2:25" x14ac:dyDescent="0.25">
      <c r="B161" s="1">
        <v>158</v>
      </c>
      <c r="C161" s="5" t="s">
        <v>160</v>
      </c>
      <c r="D161" s="1" t="s">
        <v>193</v>
      </c>
      <c r="E161" s="2" t="s">
        <v>183</v>
      </c>
      <c r="F161" s="1" t="s">
        <v>11</v>
      </c>
      <c r="G161" s="3">
        <v>150</v>
      </c>
      <c r="H161" s="3">
        <f t="shared" si="3"/>
        <v>0</v>
      </c>
      <c r="L161" s="1">
        <v>0</v>
      </c>
      <c r="M161" s="1">
        <v>0</v>
      </c>
      <c r="N161" s="1">
        <v>0</v>
      </c>
      <c r="O161" s="1">
        <v>0</v>
      </c>
      <c r="P161" s="1">
        <v>150</v>
      </c>
      <c r="Q161" s="1">
        <v>0</v>
      </c>
      <c r="R161" s="42"/>
      <c r="S161" s="1">
        <v>0</v>
      </c>
      <c r="T161" s="1">
        <v>0</v>
      </c>
      <c r="U161" s="1">
        <v>0</v>
      </c>
      <c r="Y161" s="42"/>
    </row>
    <row r="162" spans="2:25" x14ac:dyDescent="0.25">
      <c r="B162" s="1">
        <v>159</v>
      </c>
      <c r="C162" s="5" t="s">
        <v>160</v>
      </c>
      <c r="D162" s="1" t="s">
        <v>193</v>
      </c>
      <c r="E162" s="2" t="s">
        <v>184</v>
      </c>
      <c r="F162" s="1" t="s">
        <v>11</v>
      </c>
      <c r="G162" s="3">
        <v>2664</v>
      </c>
      <c r="H162" s="3">
        <f t="shared" si="3"/>
        <v>-1332</v>
      </c>
      <c r="L162" s="1">
        <v>0</v>
      </c>
      <c r="M162" s="1">
        <v>0</v>
      </c>
      <c r="N162" s="1">
        <v>0</v>
      </c>
      <c r="O162" s="1">
        <v>1332</v>
      </c>
      <c r="P162" s="1">
        <v>0</v>
      </c>
      <c r="Q162" s="1">
        <v>0</v>
      </c>
      <c r="R162" s="42"/>
      <c r="S162" s="1">
        <v>0</v>
      </c>
      <c r="T162" s="1">
        <v>0</v>
      </c>
      <c r="U162" s="1">
        <v>0</v>
      </c>
      <c r="Y162" s="42"/>
    </row>
    <row r="163" spans="2:25" x14ac:dyDescent="0.25">
      <c r="B163" s="1">
        <v>160</v>
      </c>
      <c r="C163" s="5" t="s">
        <v>160</v>
      </c>
      <c r="D163" s="1" t="s">
        <v>193</v>
      </c>
      <c r="E163" s="2" t="s">
        <v>185</v>
      </c>
      <c r="F163" s="1" t="s">
        <v>11</v>
      </c>
      <c r="G163" s="3">
        <v>803</v>
      </c>
      <c r="H163" s="3">
        <f t="shared" si="3"/>
        <v>-402.25</v>
      </c>
      <c r="L163" s="1">
        <v>0</v>
      </c>
      <c r="M163" s="1">
        <v>80.75</v>
      </c>
      <c r="N163" s="1">
        <v>0</v>
      </c>
      <c r="O163" s="1">
        <v>100</v>
      </c>
      <c r="P163" s="1">
        <v>20</v>
      </c>
      <c r="Q163" s="1">
        <v>0</v>
      </c>
      <c r="R163" s="42"/>
      <c r="S163" s="1">
        <v>0</v>
      </c>
      <c r="T163" s="1">
        <v>100</v>
      </c>
      <c r="U163" s="1">
        <v>0</v>
      </c>
      <c r="V163" s="1">
        <v>100</v>
      </c>
      <c r="Y163" s="42"/>
    </row>
    <row r="164" spans="2:25" x14ac:dyDescent="0.25">
      <c r="B164" s="1">
        <v>161</v>
      </c>
      <c r="C164" s="5" t="s">
        <v>160</v>
      </c>
      <c r="D164" s="1" t="s">
        <v>193</v>
      </c>
      <c r="E164" s="2" t="s">
        <v>186</v>
      </c>
      <c r="F164" s="1" t="s">
        <v>9</v>
      </c>
      <c r="G164" s="3">
        <v>347</v>
      </c>
      <c r="H164" s="3">
        <f t="shared" ref="H164:H209" si="4">SUM(I164:AM164)-G164</f>
        <v>-174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86</v>
      </c>
      <c r="R164" s="42"/>
      <c r="S164" s="1">
        <v>0</v>
      </c>
      <c r="T164" s="1">
        <v>87</v>
      </c>
      <c r="U164" s="1">
        <v>0</v>
      </c>
      <c r="Y164" s="42"/>
    </row>
    <row r="165" spans="2:25" x14ac:dyDescent="0.25">
      <c r="B165" s="1">
        <v>162</v>
      </c>
      <c r="C165" s="5" t="s">
        <v>160</v>
      </c>
      <c r="D165" s="1" t="s">
        <v>193</v>
      </c>
      <c r="E165" s="2" t="s">
        <v>187</v>
      </c>
      <c r="F165" s="1" t="s">
        <v>9</v>
      </c>
      <c r="G165" s="3">
        <v>302</v>
      </c>
      <c r="H165" s="3">
        <f t="shared" si="4"/>
        <v>0</v>
      </c>
      <c r="L165" s="1">
        <v>0</v>
      </c>
      <c r="M165" s="1">
        <v>0</v>
      </c>
      <c r="N165" s="1">
        <v>0</v>
      </c>
      <c r="O165" s="1">
        <v>0</v>
      </c>
      <c r="P165" s="1">
        <v>302</v>
      </c>
      <c r="Q165" s="1">
        <v>0</v>
      </c>
      <c r="R165" s="42"/>
      <c r="S165" s="1">
        <v>0</v>
      </c>
      <c r="T165" s="1">
        <v>0</v>
      </c>
      <c r="U165" s="1">
        <v>0</v>
      </c>
      <c r="Y165" s="42"/>
    </row>
    <row r="166" spans="2:25" x14ac:dyDescent="0.25">
      <c r="B166" s="1">
        <v>163</v>
      </c>
      <c r="C166" s="5" t="s">
        <v>160</v>
      </c>
      <c r="D166" s="1" t="s">
        <v>193</v>
      </c>
      <c r="E166" s="2" t="s">
        <v>188</v>
      </c>
      <c r="F166" s="1" t="s">
        <v>21</v>
      </c>
      <c r="G166" s="3">
        <v>12</v>
      </c>
      <c r="H166" s="3">
        <f t="shared" si="4"/>
        <v>24</v>
      </c>
      <c r="L166" s="1">
        <v>0</v>
      </c>
      <c r="M166" s="1">
        <v>0</v>
      </c>
      <c r="N166" s="1">
        <v>0</v>
      </c>
      <c r="O166" s="1">
        <v>36</v>
      </c>
      <c r="P166" s="1">
        <v>0</v>
      </c>
      <c r="Q166" s="1">
        <v>0</v>
      </c>
      <c r="R166" s="42"/>
      <c r="S166" s="1">
        <v>0</v>
      </c>
      <c r="T166" s="1">
        <v>0</v>
      </c>
      <c r="U166" s="1">
        <v>0</v>
      </c>
      <c r="Y166" s="42"/>
    </row>
    <row r="167" spans="2:25" x14ac:dyDescent="0.25">
      <c r="B167" s="1">
        <v>164</v>
      </c>
      <c r="C167" s="5" t="s">
        <v>160</v>
      </c>
      <c r="D167" s="1" t="s">
        <v>193</v>
      </c>
      <c r="E167" s="2" t="s">
        <v>189</v>
      </c>
      <c r="F167" s="1" t="s">
        <v>21</v>
      </c>
      <c r="G167" s="3">
        <v>12</v>
      </c>
      <c r="H167" s="3">
        <f t="shared" si="4"/>
        <v>24</v>
      </c>
      <c r="L167" s="1">
        <v>0</v>
      </c>
      <c r="M167" s="1">
        <v>0</v>
      </c>
      <c r="N167" s="1">
        <v>0</v>
      </c>
      <c r="O167" s="1">
        <v>36</v>
      </c>
      <c r="P167" s="1">
        <v>0</v>
      </c>
      <c r="Q167" s="1">
        <v>0</v>
      </c>
      <c r="R167" s="42"/>
      <c r="S167" s="1">
        <v>0</v>
      </c>
      <c r="T167" s="1">
        <v>0</v>
      </c>
      <c r="U167" s="1">
        <v>0</v>
      </c>
      <c r="Y167" s="42"/>
    </row>
    <row r="168" spans="2:25" x14ac:dyDescent="0.25">
      <c r="B168" s="1">
        <v>165</v>
      </c>
      <c r="C168" s="5" t="s">
        <v>160</v>
      </c>
      <c r="D168" s="1" t="s">
        <v>193</v>
      </c>
      <c r="E168" s="2" t="s">
        <v>190</v>
      </c>
      <c r="F168" s="1" t="s">
        <v>21</v>
      </c>
      <c r="G168" s="3">
        <v>36</v>
      </c>
      <c r="H168" s="3">
        <f t="shared" si="4"/>
        <v>0</v>
      </c>
      <c r="L168" s="1">
        <v>0</v>
      </c>
      <c r="M168" s="1">
        <v>0</v>
      </c>
      <c r="N168" s="1">
        <v>0</v>
      </c>
      <c r="O168" s="1">
        <v>36</v>
      </c>
      <c r="P168" s="1">
        <v>0</v>
      </c>
      <c r="Q168" s="1">
        <v>0</v>
      </c>
      <c r="R168" s="42"/>
      <c r="S168" s="1">
        <v>0</v>
      </c>
      <c r="T168" s="1">
        <v>0</v>
      </c>
      <c r="U168" s="1">
        <v>0</v>
      </c>
      <c r="Y168" s="42"/>
    </row>
    <row r="169" spans="2:25" x14ac:dyDescent="0.25">
      <c r="B169" s="1">
        <v>166</v>
      </c>
      <c r="C169" s="5" t="s">
        <v>160</v>
      </c>
      <c r="D169" s="1" t="s">
        <v>193</v>
      </c>
      <c r="E169" s="2" t="s">
        <v>191</v>
      </c>
      <c r="F169" s="1" t="s">
        <v>9</v>
      </c>
      <c r="G169" s="3">
        <v>5098</v>
      </c>
      <c r="H169" s="3">
        <f t="shared" si="4"/>
        <v>-2168</v>
      </c>
      <c r="L169" s="1">
        <f>678+978</f>
        <v>1656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42"/>
      <c r="S169" s="1">
        <v>600</v>
      </c>
      <c r="T169" s="1">
        <v>0</v>
      </c>
      <c r="U169" s="1">
        <v>674</v>
      </c>
      <c r="Y169" s="42"/>
    </row>
    <row r="170" spans="2:25" x14ac:dyDescent="0.25">
      <c r="B170" s="1">
        <v>167</v>
      </c>
      <c r="C170" s="5" t="s">
        <v>160</v>
      </c>
      <c r="D170" s="1" t="s">
        <v>193</v>
      </c>
      <c r="E170" s="2" t="s">
        <v>192</v>
      </c>
      <c r="F170" s="1" t="s">
        <v>9</v>
      </c>
      <c r="G170" s="3">
        <v>1024</v>
      </c>
      <c r="H170" s="3">
        <f t="shared" si="4"/>
        <v>-504</v>
      </c>
      <c r="L170" s="1">
        <v>0</v>
      </c>
      <c r="M170" s="1">
        <v>260</v>
      </c>
      <c r="N170" s="1">
        <v>0</v>
      </c>
      <c r="O170" s="1">
        <v>0</v>
      </c>
      <c r="P170" s="1">
        <v>0</v>
      </c>
      <c r="Q170" s="1">
        <v>0</v>
      </c>
      <c r="R170" s="42"/>
      <c r="S170" s="1">
        <v>260</v>
      </c>
      <c r="T170" s="1">
        <v>0</v>
      </c>
      <c r="U170" s="1">
        <v>0</v>
      </c>
      <c r="Y170" s="42"/>
    </row>
    <row r="171" spans="2:25" x14ac:dyDescent="0.25">
      <c r="B171" s="1">
        <v>168</v>
      </c>
      <c r="C171" s="5" t="s">
        <v>160</v>
      </c>
      <c r="D171" s="1" t="s">
        <v>200</v>
      </c>
      <c r="E171" s="2" t="s">
        <v>194</v>
      </c>
      <c r="F171" s="1" t="s">
        <v>11</v>
      </c>
      <c r="G171" s="3">
        <v>103</v>
      </c>
      <c r="H171" s="3">
        <f t="shared" si="4"/>
        <v>0</v>
      </c>
      <c r="L171" s="1">
        <v>0</v>
      </c>
      <c r="M171" s="1">
        <v>0</v>
      </c>
      <c r="N171" s="1">
        <v>0</v>
      </c>
      <c r="O171" s="1">
        <v>92.6</v>
      </c>
      <c r="P171" s="1">
        <v>10.4</v>
      </c>
      <c r="Q171" s="1">
        <v>0</v>
      </c>
      <c r="R171" s="42"/>
      <c r="S171" s="1">
        <v>0</v>
      </c>
      <c r="T171" s="1">
        <v>0</v>
      </c>
      <c r="U171" s="1">
        <v>0</v>
      </c>
      <c r="Y171" s="42"/>
    </row>
    <row r="172" spans="2:25" x14ac:dyDescent="0.25">
      <c r="B172" s="1">
        <v>169</v>
      </c>
      <c r="C172" s="5" t="s">
        <v>160</v>
      </c>
      <c r="D172" s="1" t="s">
        <v>200</v>
      </c>
      <c r="E172" s="2" t="s">
        <v>177</v>
      </c>
      <c r="F172" s="1" t="s">
        <v>178</v>
      </c>
      <c r="G172" s="3">
        <v>100</v>
      </c>
      <c r="H172" s="3">
        <f t="shared" si="4"/>
        <v>-100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42"/>
      <c r="S172" s="1">
        <v>0</v>
      </c>
      <c r="T172" s="1">
        <v>0</v>
      </c>
      <c r="U172" s="1">
        <v>0</v>
      </c>
      <c r="Y172" s="42"/>
    </row>
    <row r="173" spans="2:25" x14ac:dyDescent="0.25">
      <c r="B173" s="1">
        <v>170</v>
      </c>
      <c r="C173" s="5" t="s">
        <v>160</v>
      </c>
      <c r="D173" s="1" t="s">
        <v>200</v>
      </c>
      <c r="E173" s="2" t="s">
        <v>179</v>
      </c>
      <c r="F173" s="1" t="s">
        <v>178</v>
      </c>
      <c r="G173" s="3">
        <v>160</v>
      </c>
      <c r="H173" s="3">
        <f t="shared" si="4"/>
        <v>-160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42"/>
      <c r="S173" s="1">
        <v>0</v>
      </c>
      <c r="T173" s="1">
        <v>0</v>
      </c>
      <c r="U173" s="1">
        <v>0</v>
      </c>
      <c r="Y173" s="42"/>
    </row>
    <row r="174" spans="2:25" x14ac:dyDescent="0.25">
      <c r="B174" s="1">
        <v>171</v>
      </c>
      <c r="C174" s="5" t="s">
        <v>160</v>
      </c>
      <c r="D174" s="1" t="s">
        <v>200</v>
      </c>
      <c r="E174" s="2" t="s">
        <v>195</v>
      </c>
      <c r="F174" s="1" t="s">
        <v>11</v>
      </c>
      <c r="G174" s="3">
        <v>200</v>
      </c>
      <c r="H174" s="3">
        <f t="shared" si="4"/>
        <v>-200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42"/>
      <c r="S174" s="1">
        <v>0</v>
      </c>
      <c r="T174" s="1">
        <v>0</v>
      </c>
      <c r="U174" s="1">
        <v>0</v>
      </c>
      <c r="Y174" s="42"/>
    </row>
    <row r="175" spans="2:25" x14ac:dyDescent="0.25">
      <c r="B175" s="1">
        <v>172</v>
      </c>
      <c r="C175" s="5" t="s">
        <v>160</v>
      </c>
      <c r="D175" s="1" t="s">
        <v>200</v>
      </c>
      <c r="E175" s="2" t="s">
        <v>196</v>
      </c>
      <c r="F175" s="1" t="s">
        <v>79</v>
      </c>
      <c r="G175" s="3">
        <v>100000</v>
      </c>
      <c r="H175" s="3">
        <f t="shared" si="4"/>
        <v>-100000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42"/>
      <c r="S175" s="1">
        <v>0</v>
      </c>
      <c r="T175" s="1">
        <v>0</v>
      </c>
      <c r="U175" s="1">
        <v>0</v>
      </c>
      <c r="Y175" s="42"/>
    </row>
    <row r="176" spans="2:25" x14ac:dyDescent="0.25">
      <c r="B176" s="1">
        <v>173</v>
      </c>
      <c r="C176" s="5" t="s">
        <v>160</v>
      </c>
      <c r="D176" s="1" t="s">
        <v>200</v>
      </c>
      <c r="E176" s="2" t="s">
        <v>197</v>
      </c>
      <c r="F176" s="1" t="s">
        <v>9</v>
      </c>
      <c r="G176" s="3">
        <v>150</v>
      </c>
      <c r="H176" s="3">
        <f t="shared" si="4"/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42"/>
      <c r="S176" s="1">
        <v>150</v>
      </c>
      <c r="T176" s="1">
        <v>0</v>
      </c>
      <c r="U176" s="1">
        <v>0</v>
      </c>
      <c r="Y176" s="42"/>
    </row>
    <row r="177" spans="2:25" x14ac:dyDescent="0.25">
      <c r="B177" s="1">
        <v>174</v>
      </c>
      <c r="C177" s="5" t="s">
        <v>160</v>
      </c>
      <c r="D177" s="1" t="s">
        <v>200</v>
      </c>
      <c r="E177" s="2" t="s">
        <v>198</v>
      </c>
      <c r="F177" s="1" t="s">
        <v>11</v>
      </c>
      <c r="G177" s="3">
        <v>30</v>
      </c>
      <c r="H177" s="3">
        <f t="shared" si="4"/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42"/>
      <c r="S177" s="1">
        <f>30</f>
        <v>30</v>
      </c>
      <c r="T177" s="1">
        <v>0</v>
      </c>
      <c r="U177" s="1">
        <v>0</v>
      </c>
      <c r="Y177" s="42"/>
    </row>
    <row r="178" spans="2:25" x14ac:dyDescent="0.25">
      <c r="B178" s="1">
        <v>175</v>
      </c>
      <c r="C178" s="5" t="s">
        <v>160</v>
      </c>
      <c r="D178" s="1" t="s">
        <v>200</v>
      </c>
      <c r="E178" s="2" t="s">
        <v>199</v>
      </c>
      <c r="F178" s="1" t="s">
        <v>79</v>
      </c>
      <c r="G178" s="3">
        <v>32000</v>
      </c>
      <c r="H178" s="3">
        <f t="shared" si="4"/>
        <v>-32000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42"/>
      <c r="S178" s="1">
        <v>0</v>
      </c>
      <c r="T178" s="1">
        <v>0</v>
      </c>
      <c r="U178" s="1">
        <v>0</v>
      </c>
      <c r="Y178" s="42"/>
    </row>
    <row r="179" spans="2:25" x14ac:dyDescent="0.25">
      <c r="B179" s="1">
        <v>176</v>
      </c>
      <c r="C179" s="1" t="s">
        <v>48</v>
      </c>
      <c r="D179" s="1" t="s">
        <v>203</v>
      </c>
      <c r="E179" s="2" t="s">
        <v>201</v>
      </c>
      <c r="F179" s="1" t="s">
        <v>9</v>
      </c>
      <c r="G179" s="3">
        <v>90</v>
      </c>
      <c r="H179" s="3">
        <f t="shared" si="4"/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42"/>
      <c r="S179" s="1">
        <v>90</v>
      </c>
      <c r="T179" s="1">
        <v>0</v>
      </c>
      <c r="U179" s="1">
        <v>0</v>
      </c>
      <c r="Y179" s="42"/>
    </row>
    <row r="180" spans="2:25" x14ac:dyDescent="0.25">
      <c r="B180" s="1">
        <v>177</v>
      </c>
      <c r="C180" s="1" t="s">
        <v>48</v>
      </c>
      <c r="D180" s="1" t="s">
        <v>203</v>
      </c>
      <c r="E180" s="2" t="s">
        <v>55</v>
      </c>
      <c r="F180" s="1" t="s">
        <v>5</v>
      </c>
      <c r="G180" s="3">
        <v>1</v>
      </c>
      <c r="H180" s="3">
        <f t="shared" si="4"/>
        <v>0</v>
      </c>
      <c r="L180" s="1">
        <v>0</v>
      </c>
      <c r="M180" s="1">
        <v>0</v>
      </c>
      <c r="N180" s="1">
        <v>0</v>
      </c>
      <c r="O180" s="1">
        <v>0</v>
      </c>
      <c r="P180" s="1">
        <v>1</v>
      </c>
      <c r="Q180" s="1">
        <v>0</v>
      </c>
      <c r="R180" s="42"/>
      <c r="S180" s="1">
        <v>0</v>
      </c>
      <c r="T180" s="1">
        <v>0</v>
      </c>
      <c r="U180" s="1">
        <v>0</v>
      </c>
      <c r="Y180" s="42"/>
    </row>
    <row r="181" spans="2:25" x14ac:dyDescent="0.25">
      <c r="B181" s="1">
        <v>178</v>
      </c>
      <c r="C181" s="1" t="s">
        <v>48</v>
      </c>
      <c r="D181" s="1" t="s">
        <v>203</v>
      </c>
      <c r="E181" s="2" t="s">
        <v>14</v>
      </c>
      <c r="F181" s="1" t="s">
        <v>9</v>
      </c>
      <c r="G181" s="3">
        <v>90</v>
      </c>
      <c r="H181" s="3">
        <f t="shared" si="4"/>
        <v>-70</v>
      </c>
      <c r="L181" s="1">
        <v>20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42"/>
      <c r="S181" s="1">
        <v>0</v>
      </c>
      <c r="T181" s="1">
        <v>0</v>
      </c>
      <c r="U181" s="1">
        <v>0</v>
      </c>
      <c r="Y181" s="42"/>
    </row>
    <row r="182" spans="2:25" x14ac:dyDescent="0.25">
      <c r="B182" s="1">
        <v>179</v>
      </c>
      <c r="C182" s="1" t="s">
        <v>48</v>
      </c>
      <c r="D182" s="1" t="s">
        <v>203</v>
      </c>
      <c r="E182" s="2" t="s">
        <v>15</v>
      </c>
      <c r="F182" s="1" t="s">
        <v>9</v>
      </c>
      <c r="G182" s="3">
        <v>360</v>
      </c>
      <c r="H182" s="3">
        <f t="shared" si="4"/>
        <v>120</v>
      </c>
      <c r="L182" s="1">
        <v>0</v>
      </c>
      <c r="M182" s="1">
        <v>480</v>
      </c>
      <c r="N182" s="1">
        <v>0</v>
      </c>
      <c r="O182" s="1">
        <v>0</v>
      </c>
      <c r="P182" s="1">
        <v>0</v>
      </c>
      <c r="Q182" s="1">
        <v>0</v>
      </c>
      <c r="R182" s="42"/>
      <c r="S182" s="1">
        <v>0</v>
      </c>
      <c r="T182" s="1">
        <v>0</v>
      </c>
      <c r="U182" s="1">
        <v>0</v>
      </c>
      <c r="Y182" s="42"/>
    </row>
    <row r="183" spans="2:25" x14ac:dyDescent="0.25">
      <c r="B183" s="1">
        <v>180</v>
      </c>
      <c r="C183" s="1" t="s">
        <v>48</v>
      </c>
      <c r="D183" s="1" t="s">
        <v>203</v>
      </c>
      <c r="E183" s="2" t="s">
        <v>202</v>
      </c>
      <c r="F183" s="1" t="s">
        <v>21</v>
      </c>
      <c r="G183" s="3">
        <v>12</v>
      </c>
      <c r="H183" s="3">
        <f t="shared" si="4"/>
        <v>0</v>
      </c>
      <c r="L183" s="1">
        <v>0</v>
      </c>
      <c r="M183" s="1">
        <v>0</v>
      </c>
      <c r="N183" s="1">
        <v>0</v>
      </c>
      <c r="O183" s="1">
        <v>0</v>
      </c>
      <c r="P183" s="1">
        <v>12</v>
      </c>
      <c r="Q183" s="1">
        <v>0</v>
      </c>
      <c r="R183" s="42"/>
      <c r="S183" s="1">
        <v>0</v>
      </c>
      <c r="T183" s="1">
        <v>0</v>
      </c>
      <c r="U183" s="1">
        <v>0</v>
      </c>
      <c r="Y183" s="42"/>
    </row>
    <row r="184" spans="2:25" x14ac:dyDescent="0.25">
      <c r="B184" s="1">
        <v>181</v>
      </c>
      <c r="C184" s="1" t="s">
        <v>48</v>
      </c>
      <c r="D184" s="1" t="s">
        <v>203</v>
      </c>
      <c r="E184" s="2" t="s">
        <v>17</v>
      </c>
      <c r="F184" s="1" t="s">
        <v>70</v>
      </c>
      <c r="G184" s="3">
        <v>100</v>
      </c>
      <c r="H184" s="3">
        <f t="shared" si="4"/>
        <v>10</v>
      </c>
      <c r="L184" s="1">
        <v>0</v>
      </c>
      <c r="M184" s="1">
        <v>110</v>
      </c>
      <c r="N184" s="1">
        <v>0</v>
      </c>
      <c r="O184" s="1">
        <v>0</v>
      </c>
      <c r="P184" s="1">
        <v>0</v>
      </c>
      <c r="Q184" s="1">
        <v>0</v>
      </c>
      <c r="R184" s="42"/>
      <c r="S184" s="1">
        <v>0</v>
      </c>
      <c r="T184" s="1">
        <v>0</v>
      </c>
      <c r="U184" s="1">
        <v>0</v>
      </c>
      <c r="Y184" s="42"/>
    </row>
    <row r="185" spans="2:25" x14ac:dyDescent="0.25">
      <c r="B185" s="1">
        <v>182</v>
      </c>
      <c r="C185" s="1" t="s">
        <v>48</v>
      </c>
      <c r="D185" s="1" t="s">
        <v>203</v>
      </c>
      <c r="E185" s="2" t="s">
        <v>24</v>
      </c>
      <c r="F185" s="1" t="s">
        <v>23</v>
      </c>
      <c r="G185" s="3">
        <v>50</v>
      </c>
      <c r="H185" s="3">
        <f t="shared" si="4"/>
        <v>25</v>
      </c>
      <c r="L185" s="1">
        <v>75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42"/>
      <c r="S185" s="1">
        <v>0</v>
      </c>
      <c r="T185" s="1">
        <v>0</v>
      </c>
      <c r="U185" s="1">
        <v>0</v>
      </c>
      <c r="Y185" s="42"/>
    </row>
    <row r="186" spans="2:25" x14ac:dyDescent="0.25">
      <c r="B186" s="1">
        <v>183</v>
      </c>
      <c r="C186" s="1" t="s">
        <v>48</v>
      </c>
      <c r="D186" s="1" t="s">
        <v>203</v>
      </c>
      <c r="E186" s="2" t="s">
        <v>25</v>
      </c>
      <c r="F186" s="1" t="s">
        <v>9</v>
      </c>
      <c r="G186" s="3">
        <v>576</v>
      </c>
      <c r="H186" s="3">
        <f t="shared" si="4"/>
        <v>-576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42"/>
      <c r="S186" s="1">
        <v>0</v>
      </c>
      <c r="T186" s="1">
        <v>0</v>
      </c>
      <c r="U186" s="1">
        <v>0</v>
      </c>
      <c r="Y186" s="42"/>
    </row>
    <row r="187" spans="2:25" x14ac:dyDescent="0.25">
      <c r="B187" s="1">
        <v>184</v>
      </c>
      <c r="C187" s="1" t="s">
        <v>48</v>
      </c>
      <c r="D187" s="1" t="s">
        <v>203</v>
      </c>
      <c r="E187" s="2" t="s">
        <v>26</v>
      </c>
      <c r="F187" s="1" t="s">
        <v>9</v>
      </c>
      <c r="G187" s="3">
        <v>40</v>
      </c>
      <c r="H187" s="3">
        <f t="shared" si="4"/>
        <v>-9</v>
      </c>
      <c r="L187" s="1">
        <v>31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42"/>
      <c r="S187" s="1">
        <v>0</v>
      </c>
      <c r="T187" s="1">
        <v>0</v>
      </c>
      <c r="U187" s="1">
        <v>0</v>
      </c>
      <c r="Y187" s="42"/>
    </row>
    <row r="188" spans="2:25" x14ac:dyDescent="0.25">
      <c r="B188" s="1">
        <v>185</v>
      </c>
      <c r="C188" s="1" t="s">
        <v>48</v>
      </c>
      <c r="D188" s="1" t="s">
        <v>203</v>
      </c>
      <c r="E188" s="2" t="s">
        <v>31</v>
      </c>
      <c r="F188" s="1" t="s">
        <v>9</v>
      </c>
      <c r="G188" s="3">
        <v>400</v>
      </c>
      <c r="H188" s="3">
        <f t="shared" si="4"/>
        <v>-280</v>
      </c>
      <c r="L188" s="1">
        <v>0</v>
      </c>
      <c r="M188" s="1">
        <v>80</v>
      </c>
      <c r="N188" s="1">
        <v>40</v>
      </c>
      <c r="O188" s="1">
        <v>0</v>
      </c>
      <c r="P188" s="1">
        <v>0</v>
      </c>
      <c r="Q188" s="1">
        <v>0</v>
      </c>
      <c r="R188" s="42"/>
      <c r="S188" s="1">
        <v>0</v>
      </c>
      <c r="T188" s="1">
        <v>0</v>
      </c>
      <c r="U188" s="1">
        <v>0</v>
      </c>
      <c r="Y188" s="42"/>
    </row>
    <row r="189" spans="2:25" x14ac:dyDescent="0.25">
      <c r="B189" s="1">
        <v>186</v>
      </c>
      <c r="C189" s="1" t="s">
        <v>48</v>
      </c>
      <c r="D189" s="1" t="s">
        <v>203</v>
      </c>
      <c r="E189" s="2" t="s">
        <v>34</v>
      </c>
      <c r="F189" s="1" t="s">
        <v>5</v>
      </c>
      <c r="G189" s="3">
        <v>1380</v>
      </c>
      <c r="H189" s="3">
        <f t="shared" si="4"/>
        <v>-1230</v>
      </c>
      <c r="L189" s="1">
        <v>0</v>
      </c>
      <c r="M189" s="1">
        <v>150</v>
      </c>
      <c r="N189" s="1">
        <v>0</v>
      </c>
      <c r="O189" s="1">
        <v>0</v>
      </c>
      <c r="P189" s="1">
        <v>0</v>
      </c>
      <c r="Q189" s="1">
        <v>0</v>
      </c>
      <c r="R189" s="42"/>
      <c r="S189" s="1">
        <v>0</v>
      </c>
      <c r="T189" s="1">
        <v>0</v>
      </c>
      <c r="U189" s="1">
        <v>0</v>
      </c>
      <c r="Y189" s="42"/>
    </row>
    <row r="190" spans="2:25" x14ac:dyDescent="0.25">
      <c r="B190" s="1">
        <v>187</v>
      </c>
      <c r="C190" s="1" t="s">
        <v>48</v>
      </c>
      <c r="D190" s="1" t="s">
        <v>203</v>
      </c>
      <c r="E190" s="2" t="s">
        <v>35</v>
      </c>
      <c r="F190" s="1" t="s">
        <v>21</v>
      </c>
      <c r="G190" s="3">
        <v>300</v>
      </c>
      <c r="H190" s="3">
        <f t="shared" si="4"/>
        <v>0</v>
      </c>
      <c r="L190" s="1">
        <v>300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42"/>
      <c r="S190" s="1">
        <v>0</v>
      </c>
      <c r="T190" s="1">
        <v>0</v>
      </c>
      <c r="U190" s="1">
        <v>0</v>
      </c>
      <c r="Y190" s="42"/>
    </row>
    <row r="191" spans="2:25" x14ac:dyDescent="0.25">
      <c r="B191" s="1">
        <v>188</v>
      </c>
      <c r="C191" s="1" t="s">
        <v>48</v>
      </c>
      <c r="D191" s="1" t="s">
        <v>203</v>
      </c>
      <c r="E191" s="2" t="s">
        <v>36</v>
      </c>
      <c r="F191" s="1" t="s">
        <v>9</v>
      </c>
      <c r="G191" s="3">
        <v>1080</v>
      </c>
      <c r="H191" s="3">
        <f t="shared" si="4"/>
        <v>-552</v>
      </c>
      <c r="L191" s="1">
        <v>0</v>
      </c>
      <c r="M191" s="1">
        <v>240</v>
      </c>
      <c r="N191" s="1">
        <v>288</v>
      </c>
      <c r="O191" s="1">
        <v>0</v>
      </c>
      <c r="P191" s="1">
        <v>0</v>
      </c>
      <c r="Q191" s="1">
        <v>0</v>
      </c>
      <c r="R191" s="42"/>
      <c r="S191" s="1">
        <v>0</v>
      </c>
      <c r="T191" s="1">
        <v>0</v>
      </c>
      <c r="U191" s="1">
        <v>0</v>
      </c>
      <c r="Y191" s="42"/>
    </row>
    <row r="192" spans="2:25" x14ac:dyDescent="0.25">
      <c r="B192" s="1">
        <v>189</v>
      </c>
      <c r="C192" s="1" t="s">
        <v>48</v>
      </c>
      <c r="D192" s="1" t="s">
        <v>203</v>
      </c>
      <c r="E192" s="2" t="s">
        <v>37</v>
      </c>
      <c r="F192" s="1" t="s">
        <v>13</v>
      </c>
      <c r="G192" s="3">
        <v>270</v>
      </c>
      <c r="H192" s="3">
        <f t="shared" si="4"/>
        <v>90</v>
      </c>
      <c r="L192" s="1">
        <v>0</v>
      </c>
      <c r="M192" s="1">
        <v>0</v>
      </c>
      <c r="N192" s="1">
        <v>360</v>
      </c>
      <c r="O192" s="1">
        <v>0</v>
      </c>
      <c r="P192" s="1">
        <v>0</v>
      </c>
      <c r="Q192" s="1">
        <v>0</v>
      </c>
      <c r="R192" s="42"/>
      <c r="S192" s="1">
        <v>0</v>
      </c>
      <c r="T192" s="1">
        <v>0</v>
      </c>
      <c r="U192" s="1">
        <v>0</v>
      </c>
      <c r="Y192" s="42"/>
    </row>
    <row r="193" spans="2:25" x14ac:dyDescent="0.25">
      <c r="B193" s="1">
        <v>190</v>
      </c>
      <c r="C193" s="1" t="s">
        <v>48</v>
      </c>
      <c r="D193" s="1" t="s">
        <v>203</v>
      </c>
      <c r="E193" s="2" t="s">
        <v>64</v>
      </c>
      <c r="F193" s="1" t="s">
        <v>9</v>
      </c>
      <c r="G193" s="3">
        <v>60</v>
      </c>
      <c r="H193" s="3">
        <f t="shared" si="4"/>
        <v>84</v>
      </c>
      <c r="L193" s="1">
        <v>0</v>
      </c>
      <c r="M193" s="1">
        <v>0</v>
      </c>
      <c r="N193" s="1">
        <v>144</v>
      </c>
      <c r="O193" s="1">
        <v>0</v>
      </c>
      <c r="P193" s="1">
        <v>0</v>
      </c>
      <c r="Q193" s="1">
        <v>0</v>
      </c>
      <c r="R193" s="42"/>
      <c r="S193" s="1">
        <v>0</v>
      </c>
      <c r="T193" s="1">
        <v>0</v>
      </c>
      <c r="U193" s="1">
        <v>0</v>
      </c>
      <c r="Y193" s="42"/>
    </row>
    <row r="194" spans="2:25" x14ac:dyDescent="0.25">
      <c r="B194" s="1">
        <v>191</v>
      </c>
      <c r="C194" s="1" t="s">
        <v>48</v>
      </c>
      <c r="D194" s="1" t="s">
        <v>203</v>
      </c>
      <c r="E194" s="2" t="s">
        <v>65</v>
      </c>
      <c r="F194" s="1" t="s">
        <v>23</v>
      </c>
      <c r="G194" s="3">
        <v>30</v>
      </c>
      <c r="H194" s="3">
        <f t="shared" si="4"/>
        <v>54</v>
      </c>
      <c r="L194" s="1">
        <v>84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42"/>
      <c r="S194" s="1">
        <v>0</v>
      </c>
      <c r="T194" s="1">
        <v>0</v>
      </c>
      <c r="U194" s="1">
        <v>0</v>
      </c>
      <c r="Y194" s="42"/>
    </row>
    <row r="195" spans="2:25" x14ac:dyDescent="0.25">
      <c r="B195" s="1">
        <v>192</v>
      </c>
      <c r="C195" s="1" t="s">
        <v>48</v>
      </c>
      <c r="D195" s="1" t="s">
        <v>203</v>
      </c>
      <c r="E195" s="2" t="s">
        <v>39</v>
      </c>
      <c r="F195" s="1" t="s">
        <v>9</v>
      </c>
      <c r="G195" s="3">
        <v>420</v>
      </c>
      <c r="H195" s="3">
        <f t="shared" si="4"/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42"/>
      <c r="S195" s="1">
        <v>420</v>
      </c>
      <c r="T195" s="1">
        <v>0</v>
      </c>
      <c r="U195" s="1">
        <v>0</v>
      </c>
      <c r="Y195" s="42"/>
    </row>
    <row r="196" spans="2:25" x14ac:dyDescent="0.25">
      <c r="B196" s="1">
        <v>193</v>
      </c>
      <c r="C196" s="1" t="s">
        <v>48</v>
      </c>
      <c r="D196" s="1" t="s">
        <v>203</v>
      </c>
      <c r="E196" s="2" t="s">
        <v>40</v>
      </c>
      <c r="F196" s="1" t="s">
        <v>9</v>
      </c>
      <c r="G196" s="3">
        <v>840</v>
      </c>
      <c r="H196" s="3">
        <f t="shared" si="4"/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42"/>
      <c r="S196" s="1">
        <v>840</v>
      </c>
      <c r="T196" s="1">
        <v>0</v>
      </c>
      <c r="U196" s="1">
        <v>0</v>
      </c>
      <c r="Y196" s="42"/>
    </row>
    <row r="197" spans="2:25" x14ac:dyDescent="0.25">
      <c r="B197" s="1">
        <v>194</v>
      </c>
      <c r="C197" s="1" t="s">
        <v>48</v>
      </c>
      <c r="D197" s="1" t="s">
        <v>203</v>
      </c>
      <c r="E197" s="2" t="s">
        <v>44</v>
      </c>
      <c r="F197" s="1" t="s">
        <v>9</v>
      </c>
      <c r="G197" s="3">
        <v>200</v>
      </c>
      <c r="H197" s="3">
        <f t="shared" si="4"/>
        <v>99</v>
      </c>
      <c r="L197" s="1">
        <v>0</v>
      </c>
      <c r="M197" s="1">
        <v>299</v>
      </c>
      <c r="N197" s="1">
        <v>0</v>
      </c>
      <c r="O197" s="1">
        <v>0</v>
      </c>
      <c r="P197" s="1">
        <v>0</v>
      </c>
      <c r="Q197" s="1">
        <v>0</v>
      </c>
      <c r="R197" s="42"/>
      <c r="S197" s="1">
        <v>0</v>
      </c>
      <c r="T197" s="1">
        <v>0</v>
      </c>
      <c r="U197" s="1">
        <v>0</v>
      </c>
      <c r="Y197" s="42"/>
    </row>
    <row r="198" spans="2:25" x14ac:dyDescent="0.25">
      <c r="B198" s="1">
        <v>195</v>
      </c>
      <c r="C198" s="1" t="s">
        <v>48</v>
      </c>
      <c r="D198" s="1" t="s">
        <v>203</v>
      </c>
      <c r="E198" s="2" t="s">
        <v>45</v>
      </c>
      <c r="F198" s="1" t="s">
        <v>9</v>
      </c>
      <c r="G198" s="3">
        <v>10000</v>
      </c>
      <c r="H198" s="3">
        <f t="shared" si="4"/>
        <v>-8000</v>
      </c>
      <c r="L198" s="1">
        <v>0</v>
      </c>
      <c r="M198" s="1">
        <v>2000</v>
      </c>
      <c r="N198" s="1">
        <v>0</v>
      </c>
      <c r="O198" s="1">
        <v>0</v>
      </c>
      <c r="P198" s="1">
        <v>0</v>
      </c>
      <c r="Q198" s="1">
        <v>0</v>
      </c>
      <c r="R198" s="42"/>
      <c r="S198" s="1">
        <v>0</v>
      </c>
      <c r="T198" s="1">
        <v>0</v>
      </c>
      <c r="U198" s="1">
        <v>0</v>
      </c>
      <c r="Y198" s="42"/>
    </row>
    <row r="199" spans="2:25" x14ac:dyDescent="0.25">
      <c r="B199" s="1">
        <v>196</v>
      </c>
      <c r="C199" s="1" t="s">
        <v>48</v>
      </c>
      <c r="D199" s="1" t="s">
        <v>203</v>
      </c>
      <c r="E199" s="2" t="s">
        <v>123</v>
      </c>
      <c r="F199" s="1" t="s">
        <v>79</v>
      </c>
      <c r="G199" s="3">
        <v>2</v>
      </c>
      <c r="H199" s="3">
        <f t="shared" si="4"/>
        <v>-2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42"/>
      <c r="S199" s="1">
        <v>0</v>
      </c>
      <c r="T199" s="1">
        <v>0</v>
      </c>
      <c r="U199" s="1">
        <v>0</v>
      </c>
      <c r="Y199" s="42"/>
    </row>
    <row r="200" spans="2:25" x14ac:dyDescent="0.25">
      <c r="B200" s="1">
        <v>197</v>
      </c>
      <c r="C200" s="5" t="s">
        <v>160</v>
      </c>
      <c r="D200" s="1" t="s">
        <v>210</v>
      </c>
      <c r="E200" s="2" t="s">
        <v>204</v>
      </c>
      <c r="F200" s="1" t="s">
        <v>11</v>
      </c>
      <c r="G200" s="3">
        <v>30</v>
      </c>
      <c r="H200" s="3">
        <f t="shared" si="4"/>
        <v>2.5</v>
      </c>
      <c r="L200" s="1">
        <v>0</v>
      </c>
      <c r="M200" s="1">
        <v>0</v>
      </c>
      <c r="N200" s="1">
        <v>15.5</v>
      </c>
      <c r="O200" s="1">
        <v>0</v>
      </c>
      <c r="P200" s="1">
        <v>0</v>
      </c>
      <c r="Q200" s="1">
        <v>0</v>
      </c>
      <c r="R200" s="42"/>
      <c r="S200" s="1">
        <v>0</v>
      </c>
      <c r="T200" s="1">
        <v>0</v>
      </c>
      <c r="U200" s="1">
        <v>17</v>
      </c>
      <c r="Y200" s="42"/>
    </row>
    <row r="201" spans="2:25" x14ac:dyDescent="0.25">
      <c r="C201" s="5" t="s">
        <v>160</v>
      </c>
      <c r="D201" s="1" t="s">
        <v>210</v>
      </c>
      <c r="E201" s="2" t="s">
        <v>205</v>
      </c>
      <c r="F201" s="1" t="s">
        <v>11</v>
      </c>
      <c r="G201" s="3">
        <v>20</v>
      </c>
      <c r="H201" s="3">
        <f t="shared" si="4"/>
        <v>0</v>
      </c>
      <c r="L201" s="1">
        <v>0</v>
      </c>
      <c r="M201" s="1">
        <v>0</v>
      </c>
      <c r="N201" s="1">
        <v>20</v>
      </c>
      <c r="O201" s="1">
        <v>0</v>
      </c>
      <c r="P201" s="1">
        <v>0</v>
      </c>
      <c r="Q201" s="1">
        <v>0</v>
      </c>
      <c r="R201" s="42"/>
      <c r="S201" s="1">
        <v>0</v>
      </c>
      <c r="T201" s="1">
        <v>0</v>
      </c>
      <c r="U201" s="1">
        <v>0</v>
      </c>
      <c r="Y201" s="42"/>
    </row>
    <row r="202" spans="2:25" x14ac:dyDescent="0.25">
      <c r="C202" s="5" t="s">
        <v>160</v>
      </c>
      <c r="D202" s="1" t="s">
        <v>210</v>
      </c>
      <c r="E202" s="2" t="s">
        <v>206</v>
      </c>
      <c r="F202" s="1" t="s">
        <v>9</v>
      </c>
      <c r="G202" s="3">
        <v>80</v>
      </c>
      <c r="H202" s="3">
        <f t="shared" si="4"/>
        <v>0</v>
      </c>
      <c r="L202" s="1">
        <v>0</v>
      </c>
      <c r="M202" s="1">
        <v>0</v>
      </c>
      <c r="N202" s="1">
        <v>0</v>
      </c>
      <c r="O202" s="1">
        <v>80</v>
      </c>
      <c r="P202" s="1">
        <v>0</v>
      </c>
      <c r="Q202" s="1">
        <v>0</v>
      </c>
      <c r="R202" s="42"/>
      <c r="S202" s="1">
        <v>0</v>
      </c>
      <c r="T202" s="1">
        <v>0</v>
      </c>
      <c r="U202" s="1">
        <v>0</v>
      </c>
      <c r="Y202" s="42"/>
    </row>
    <row r="203" spans="2:25" x14ac:dyDescent="0.25">
      <c r="C203" s="5" t="s">
        <v>160</v>
      </c>
      <c r="D203" s="1" t="s">
        <v>200</v>
      </c>
      <c r="E203" s="2" t="s">
        <v>199</v>
      </c>
      <c r="F203" s="1" t="s">
        <v>79</v>
      </c>
      <c r="G203" s="3">
        <v>32000</v>
      </c>
      <c r="H203" s="3">
        <f t="shared" si="4"/>
        <v>0</v>
      </c>
      <c r="L203" s="1">
        <v>0</v>
      </c>
      <c r="M203" s="1">
        <v>0</v>
      </c>
      <c r="N203" s="1">
        <v>0</v>
      </c>
      <c r="O203" s="1">
        <v>32000</v>
      </c>
      <c r="P203" s="1">
        <v>0</v>
      </c>
      <c r="Q203" s="1">
        <v>0</v>
      </c>
      <c r="R203" s="42"/>
      <c r="S203" s="1">
        <v>0</v>
      </c>
      <c r="T203" s="1">
        <v>0</v>
      </c>
      <c r="U203" s="1">
        <v>0</v>
      </c>
      <c r="Y203" s="42"/>
    </row>
    <row r="204" spans="2:25" x14ac:dyDescent="0.25">
      <c r="C204" s="5" t="s">
        <v>160</v>
      </c>
      <c r="D204" s="1" t="s">
        <v>200</v>
      </c>
      <c r="E204" s="2" t="s">
        <v>194</v>
      </c>
      <c r="F204" s="1" t="s">
        <v>11</v>
      </c>
      <c r="G204" s="3">
        <v>103</v>
      </c>
      <c r="H204" s="3">
        <f t="shared" si="4"/>
        <v>0</v>
      </c>
      <c r="L204" s="1">
        <v>0</v>
      </c>
      <c r="M204" s="1">
        <v>0</v>
      </c>
      <c r="N204" s="1">
        <v>0</v>
      </c>
      <c r="O204" s="1">
        <v>92.6</v>
      </c>
      <c r="P204" s="1">
        <v>10.4</v>
      </c>
      <c r="Q204" s="1">
        <v>0</v>
      </c>
      <c r="R204" s="42"/>
      <c r="S204" s="1">
        <v>0</v>
      </c>
      <c r="T204" s="1">
        <v>0</v>
      </c>
      <c r="U204" s="1">
        <v>0</v>
      </c>
      <c r="Y204" s="42"/>
    </row>
    <row r="205" spans="2:25" ht="15" x14ac:dyDescent="0.25">
      <c r="C205" s="5" t="s">
        <v>160</v>
      </c>
      <c r="E205" s="7" t="s">
        <v>207</v>
      </c>
      <c r="G205" s="3">
        <v>5</v>
      </c>
      <c r="H205" s="3">
        <f t="shared" si="4"/>
        <v>0</v>
      </c>
      <c r="L205" s="1">
        <v>0</v>
      </c>
      <c r="M205" s="1">
        <v>0</v>
      </c>
      <c r="N205" s="1">
        <v>0</v>
      </c>
      <c r="O205" s="1">
        <v>0</v>
      </c>
      <c r="P205" s="1">
        <v>5</v>
      </c>
      <c r="Q205" s="1">
        <v>0</v>
      </c>
      <c r="R205" s="42"/>
      <c r="S205" s="1">
        <v>0</v>
      </c>
      <c r="T205" s="1">
        <v>0</v>
      </c>
      <c r="U205" s="1">
        <v>0</v>
      </c>
      <c r="Y205" s="42"/>
    </row>
    <row r="206" spans="2:25" x14ac:dyDescent="0.25">
      <c r="C206" s="1" t="s">
        <v>48</v>
      </c>
      <c r="E206" s="2" t="s">
        <v>208</v>
      </c>
      <c r="F206" s="1" t="s">
        <v>79</v>
      </c>
      <c r="G206" s="3">
        <v>30</v>
      </c>
      <c r="H206" s="3">
        <f t="shared" si="4"/>
        <v>0</v>
      </c>
      <c r="L206" s="1">
        <v>0</v>
      </c>
      <c r="M206" s="1">
        <v>0</v>
      </c>
      <c r="N206" s="1">
        <v>0</v>
      </c>
      <c r="O206" s="1">
        <v>30</v>
      </c>
      <c r="P206" s="1">
        <v>0</v>
      </c>
      <c r="Q206" s="1">
        <v>0</v>
      </c>
      <c r="R206" s="42"/>
      <c r="S206" s="1">
        <v>0</v>
      </c>
      <c r="T206" s="1">
        <v>0</v>
      </c>
      <c r="U206" s="1">
        <v>0</v>
      </c>
      <c r="Y206" s="42"/>
    </row>
    <row r="207" spans="2:25" x14ac:dyDescent="0.25">
      <c r="C207" s="5" t="s">
        <v>160</v>
      </c>
      <c r="D207" s="1" t="s">
        <v>211</v>
      </c>
      <c r="E207" s="2" t="s">
        <v>209</v>
      </c>
      <c r="F207" s="1" t="s">
        <v>11</v>
      </c>
      <c r="H207" s="3">
        <f t="shared" si="4"/>
        <v>1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1</v>
      </c>
      <c r="R207" s="42"/>
      <c r="S207" s="1">
        <v>0</v>
      </c>
      <c r="T207" s="1">
        <v>0</v>
      </c>
      <c r="U207" s="1">
        <v>0</v>
      </c>
      <c r="Y207" s="42"/>
    </row>
    <row r="208" spans="2:25" x14ac:dyDescent="0.25">
      <c r="E208" s="2" t="s">
        <v>196</v>
      </c>
      <c r="F208" s="1" t="s">
        <v>79</v>
      </c>
      <c r="G208" s="3">
        <v>100000</v>
      </c>
      <c r="H208" s="3">
        <f t="shared" si="4"/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42"/>
      <c r="S208" s="1">
        <v>100000</v>
      </c>
      <c r="T208" s="1">
        <v>0</v>
      </c>
      <c r="U208" s="1">
        <v>0</v>
      </c>
      <c r="Y208" s="42"/>
    </row>
    <row r="209" spans="5:25" ht="15" x14ac:dyDescent="0.25">
      <c r="E209" s="7" t="s">
        <v>195</v>
      </c>
      <c r="F209" s="1" t="s">
        <v>11</v>
      </c>
      <c r="G209" s="3">
        <v>200</v>
      </c>
      <c r="H209" s="3">
        <f t="shared" si="4"/>
        <v>-157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42"/>
      <c r="T209" s="1">
        <v>43</v>
      </c>
      <c r="U209" s="1">
        <v>0</v>
      </c>
      <c r="Y209" s="42"/>
    </row>
  </sheetData>
  <conditionalFormatting sqref="H4:H1048576">
    <cfRule type="cellIs" dxfId="0" priority="1" operator="greaterThanOr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16" sqref="Q16"/>
    </sheetView>
  </sheetViews>
  <sheetFormatPr defaultRowHeight="15" x14ac:dyDescent="0.25"/>
  <cols>
    <col min="2" max="2" width="36.5703125" customWidth="1"/>
    <col min="4" max="5" width="15.28515625" customWidth="1"/>
    <col min="7" max="7" width="4.42578125" customWidth="1"/>
    <col min="8" max="13" width="9.140625" customWidth="1"/>
    <col min="14" max="19" width="10" style="7" customWidth="1"/>
    <col min="20" max="20" width="4.7109375" style="7" customWidth="1"/>
    <col min="21" max="21" width="23.28515625" customWidth="1"/>
  </cols>
  <sheetData>
    <row r="2" spans="2:21" x14ac:dyDescent="0.25">
      <c r="B2" s="18"/>
      <c r="C2" s="19"/>
      <c r="D2" s="19"/>
      <c r="E2" s="19"/>
      <c r="F2" s="20"/>
      <c r="H2" s="49" t="s">
        <v>212</v>
      </c>
      <c r="I2" s="50"/>
      <c r="J2" s="50"/>
      <c r="K2" s="50"/>
      <c r="L2" s="50"/>
      <c r="M2" s="51"/>
      <c r="N2" s="49" t="s">
        <v>212</v>
      </c>
      <c r="O2" s="50"/>
      <c r="P2" s="50"/>
      <c r="Q2" s="50"/>
      <c r="R2" s="50"/>
      <c r="S2" s="51"/>
      <c r="T2" s="27"/>
      <c r="U2" s="31" t="s">
        <v>215</v>
      </c>
    </row>
    <row r="3" spans="2:21" ht="15.75" thickBot="1" x14ac:dyDescent="0.3">
      <c r="B3" s="21" t="s">
        <v>217</v>
      </c>
      <c r="C3" s="22" t="s">
        <v>216</v>
      </c>
      <c r="D3" s="22" t="s">
        <v>213</v>
      </c>
      <c r="E3" s="22" t="s">
        <v>214</v>
      </c>
      <c r="F3" s="23"/>
      <c r="H3" s="24">
        <v>44287</v>
      </c>
      <c r="I3" s="25">
        <v>44317</v>
      </c>
      <c r="J3" s="25">
        <v>44348</v>
      </c>
      <c r="K3" s="25">
        <v>44378</v>
      </c>
      <c r="L3" s="25">
        <v>44409</v>
      </c>
      <c r="M3" s="26">
        <v>44440</v>
      </c>
      <c r="N3" s="24">
        <v>44501</v>
      </c>
      <c r="O3" s="25">
        <v>44531</v>
      </c>
      <c r="P3" s="25" t="s">
        <v>255</v>
      </c>
      <c r="Q3" s="25" t="s">
        <v>256</v>
      </c>
      <c r="R3" s="25" t="s">
        <v>254</v>
      </c>
      <c r="S3" s="26" t="s">
        <v>257</v>
      </c>
      <c r="T3" s="28"/>
      <c r="U3" s="48" t="s">
        <v>252</v>
      </c>
    </row>
    <row r="4" spans="2:21" ht="19.5" thickTop="1" x14ac:dyDescent="0.3">
      <c r="B4" s="15" t="s">
        <v>162</v>
      </c>
      <c r="C4" s="16" t="s">
        <v>11</v>
      </c>
      <c r="D4" s="16">
        <v>1054</v>
      </c>
      <c r="E4" s="16">
        <f>VLOOKUP(B4,'PR JAN 2021'!E141:H157,4,0)</f>
        <v>-790</v>
      </c>
      <c r="F4" s="17"/>
      <c r="H4" s="15">
        <f>VLOOKUP(B4,'PR JAN 2021'!E141:L157,8,0)</f>
        <v>0</v>
      </c>
      <c r="I4" s="16">
        <v>0</v>
      </c>
      <c r="J4" s="16">
        <v>264</v>
      </c>
      <c r="K4" s="16">
        <v>0</v>
      </c>
      <c r="L4" s="16">
        <v>0</v>
      </c>
      <c r="M4" s="17">
        <v>0</v>
      </c>
      <c r="N4" s="15">
        <f>VLOOKUP(B4,'PR JAN 2021'!E141:S157,15,0)</f>
        <v>0</v>
      </c>
      <c r="O4" s="16">
        <f>VLOOKUP(B4,'PR JAN 2021'!E141:T157,16,0)</f>
        <v>0</v>
      </c>
      <c r="P4" s="16">
        <f>VLOOKUP(B4,'PR JAN 2021'!E141:U158,17,0)</f>
        <v>0</v>
      </c>
      <c r="Q4" s="16">
        <f>VLOOKUP(B4,'PR JAN 2021'!E141:V157,18,0)</f>
        <v>0</v>
      </c>
      <c r="R4" s="16">
        <f>VLOOKUP(B4,'PR JAN 2021'!E141:W157,19,0)</f>
        <v>0</v>
      </c>
      <c r="S4" s="17">
        <f>VLOOKUP(B4,'PR JAN 2021'!E141:X157,20,0)</f>
        <v>0</v>
      </c>
      <c r="T4" s="29"/>
      <c r="U4" s="47" t="s">
        <v>253</v>
      </c>
    </row>
    <row r="5" spans="2:21" x14ac:dyDescent="0.25">
      <c r="B5" s="9" t="s">
        <v>163</v>
      </c>
      <c r="C5" s="10" t="s">
        <v>11</v>
      </c>
      <c r="D5" s="10">
        <v>1633</v>
      </c>
      <c r="E5" s="16">
        <f>VLOOKUP(B5,'PR JAN 2021'!E142:H158,4,0)</f>
        <v>-1633</v>
      </c>
      <c r="F5" s="11"/>
      <c r="H5" s="15">
        <f>VLOOKUP(B5,'PR JAN 2021'!E142:L158,8,0)</f>
        <v>0</v>
      </c>
      <c r="I5" s="10">
        <v>0</v>
      </c>
      <c r="J5" s="10">
        <v>0</v>
      </c>
      <c r="K5" s="10">
        <v>0</v>
      </c>
      <c r="L5" s="10">
        <v>0</v>
      </c>
      <c r="M5" s="11">
        <v>0</v>
      </c>
      <c r="N5" s="15">
        <f>VLOOKUP(B5,'PR JAN 2021'!E142:S158,15,0)</f>
        <v>0</v>
      </c>
      <c r="O5" s="16">
        <f>VLOOKUP(B5,'PR JAN 2021'!E142:T158,16,0)</f>
        <v>0</v>
      </c>
      <c r="P5" s="16">
        <f>VLOOKUP(B5,'PR JAN 2021'!E142:U159,17,0)</f>
        <v>0</v>
      </c>
      <c r="Q5" s="16">
        <f>VLOOKUP(B5,'PR JAN 2021'!E142:V158,18,0)</f>
        <v>0</v>
      </c>
      <c r="R5" s="16">
        <f>VLOOKUP(B5,'PR JAN 2021'!E142:W158,19,0)</f>
        <v>0</v>
      </c>
      <c r="S5" s="17">
        <f>VLOOKUP(B5,'PR JAN 2021'!E142:X158,20,0)</f>
        <v>0</v>
      </c>
      <c r="T5" s="29"/>
      <c r="U5" s="46"/>
    </row>
    <row r="6" spans="2:21" x14ac:dyDescent="0.25">
      <c r="B6" s="9" t="s">
        <v>164</v>
      </c>
      <c r="C6" s="10" t="s">
        <v>11</v>
      </c>
      <c r="D6" s="10">
        <v>8433</v>
      </c>
      <c r="E6" s="16">
        <f>VLOOKUP(B6,'PR JAN 2021'!E143:H159,4,0)</f>
        <v>-6341</v>
      </c>
      <c r="F6" s="11"/>
      <c r="H6" s="15">
        <f>VLOOKUP(B6,'PR JAN 2021'!E143:L159,8,0)</f>
        <v>0</v>
      </c>
      <c r="I6" s="10">
        <v>0</v>
      </c>
      <c r="J6" s="10">
        <v>0</v>
      </c>
      <c r="K6" s="10">
        <v>0</v>
      </c>
      <c r="L6" s="10">
        <v>1322</v>
      </c>
      <c r="M6" s="11">
        <v>0</v>
      </c>
      <c r="N6" s="15">
        <f>VLOOKUP(B6,'PR JAN 2021'!E143:S159,15,0)</f>
        <v>0</v>
      </c>
      <c r="O6" s="16">
        <f>VLOOKUP(B6,'PR JAN 2021'!E143:T159,16,0)</f>
        <v>0</v>
      </c>
      <c r="P6" s="16">
        <f>VLOOKUP(B6,'PR JAN 2021'!E143:U160,17,0)</f>
        <v>0</v>
      </c>
      <c r="Q6" s="16">
        <f>VLOOKUP(B6,'PR JAN 2021'!E143:V159,18,0)</f>
        <v>0</v>
      </c>
      <c r="R6" s="16">
        <f>VLOOKUP(B6,'PR JAN 2021'!E143:W159,19,0)</f>
        <v>0</v>
      </c>
      <c r="S6" s="17">
        <f>VLOOKUP(B6,'PR JAN 2021'!E143:X159,20,0)</f>
        <v>770</v>
      </c>
      <c r="T6" s="29"/>
      <c r="U6" s="46"/>
    </row>
    <row r="7" spans="2:21" ht="18.75" x14ac:dyDescent="0.3">
      <c r="B7" s="9" t="s">
        <v>165</v>
      </c>
      <c r="C7" s="10" t="s">
        <v>11</v>
      </c>
      <c r="D7" s="10">
        <v>2148</v>
      </c>
      <c r="E7" s="16">
        <f>VLOOKUP(B7,'PR JAN 2021'!E144:H160,4,0)</f>
        <v>-14.440000000000055</v>
      </c>
      <c r="F7" s="11"/>
      <c r="H7" s="15">
        <f>VLOOKUP(B7,'PR JAN 2021'!E144:L160,8,0)</f>
        <v>0</v>
      </c>
      <c r="I7" s="10">
        <v>0</v>
      </c>
      <c r="J7" s="10">
        <v>0</v>
      </c>
      <c r="K7" s="10">
        <v>0</v>
      </c>
      <c r="L7" s="10">
        <v>596.70000000000005</v>
      </c>
      <c r="M7" s="11">
        <v>467.6</v>
      </c>
      <c r="N7" s="15">
        <f>VLOOKUP(B7,'PR JAN 2021'!E144:S160,15,0)</f>
        <v>0</v>
      </c>
      <c r="O7" s="16">
        <f>VLOOKUP(B7,'PR JAN 2021'!E144:T160,16,0)</f>
        <v>493.86</v>
      </c>
      <c r="P7" s="16">
        <f>VLOOKUP(B7,'PR JAN 2021'!E144:U161,17,0)</f>
        <v>0</v>
      </c>
      <c r="Q7" s="16">
        <f>VLOOKUP(B7,'PR JAN 2021'!E144:V160,18,0)</f>
        <v>495</v>
      </c>
      <c r="R7" s="16">
        <v>548</v>
      </c>
      <c r="S7" s="17">
        <f>VLOOKUP(B7,'PR JAN 2021'!E144:X160,20,0)</f>
        <v>0</v>
      </c>
      <c r="T7" s="29"/>
      <c r="U7" s="47" t="s">
        <v>253</v>
      </c>
    </row>
    <row r="8" spans="2:21" ht="18.75" x14ac:dyDescent="0.3">
      <c r="B8" s="9" t="s">
        <v>166</v>
      </c>
      <c r="C8" s="10" t="s">
        <v>11</v>
      </c>
      <c r="D8" s="10">
        <v>510</v>
      </c>
      <c r="E8" s="16">
        <f>VLOOKUP(B8,'PR JAN 2021'!E145:H161,4,0)</f>
        <v>-42.5</v>
      </c>
      <c r="F8" s="11"/>
      <c r="H8" s="15">
        <f>VLOOKUP(B8,'PR JAN 2021'!E145:L161,8,0)</f>
        <v>0</v>
      </c>
      <c r="I8" s="10">
        <v>0</v>
      </c>
      <c r="J8" s="10">
        <v>0</v>
      </c>
      <c r="K8" s="10">
        <v>0</v>
      </c>
      <c r="L8" s="10">
        <v>0</v>
      </c>
      <c r="M8" s="11">
        <v>0</v>
      </c>
      <c r="N8" s="15">
        <f>VLOOKUP(B8,'PR JAN 2021'!E145:S161,15,0)</f>
        <v>0</v>
      </c>
      <c r="O8" s="16">
        <f>VLOOKUP(B8,'PR JAN 2021'!E145:T161,16,0)</f>
        <v>0</v>
      </c>
      <c r="P8" s="16">
        <f>VLOOKUP(B8,'PR JAN 2021'!E145:U162,17,0)</f>
        <v>0</v>
      </c>
      <c r="Q8" s="16">
        <f>VLOOKUP(B8,'PR JAN 2021'!E145:V161,18,0)</f>
        <v>0</v>
      </c>
      <c r="R8" s="16">
        <f>VLOOKUP(B8,'PR JAN 2021'!E145:W161,19,0)</f>
        <v>0</v>
      </c>
      <c r="S8" s="17">
        <f>VLOOKUP(B8,'PR JAN 2021'!E145:X161,20,0)</f>
        <v>0</v>
      </c>
      <c r="T8" s="29"/>
      <c r="U8" s="47" t="s">
        <v>253</v>
      </c>
    </row>
    <row r="9" spans="2:21" ht="18.75" x14ac:dyDescent="0.3">
      <c r="B9" s="9" t="s">
        <v>167</v>
      </c>
      <c r="C9" s="10" t="s">
        <v>11</v>
      </c>
      <c r="D9" s="10">
        <v>4521</v>
      </c>
      <c r="E9" s="16">
        <f>VLOOKUP(B9,'PR JAN 2021'!E146:H162,4,0)</f>
        <v>-2260</v>
      </c>
      <c r="F9" s="11"/>
      <c r="H9" s="15">
        <f>VLOOKUP(B9,'PR JAN 2021'!E146:L162,8,0)</f>
        <v>0</v>
      </c>
      <c r="I9" s="10">
        <v>0</v>
      </c>
      <c r="J9" s="10">
        <v>1131</v>
      </c>
      <c r="K9" s="10">
        <v>0</v>
      </c>
      <c r="L9" s="10">
        <v>0</v>
      </c>
      <c r="M9" s="11">
        <v>0</v>
      </c>
      <c r="N9" s="15">
        <f>VLOOKUP(B9,'PR JAN 2021'!E146:S162,15,0)</f>
        <v>1130</v>
      </c>
      <c r="O9" s="16">
        <f>VLOOKUP(B9,'PR JAN 2021'!E146:T162,16,0)</f>
        <v>0</v>
      </c>
      <c r="P9" s="16">
        <f>VLOOKUP(B9,'PR JAN 2021'!E146:U163,17,0)</f>
        <v>0</v>
      </c>
      <c r="Q9" s="16">
        <f>VLOOKUP(B9,'PR JAN 2021'!E146:V162,18,0)</f>
        <v>0</v>
      </c>
      <c r="R9" s="16">
        <f>VLOOKUP(B9,'PR JAN 2021'!E146:W162,19,0)</f>
        <v>0</v>
      </c>
      <c r="S9" s="17">
        <f>VLOOKUP(B9,'PR JAN 2021'!E146:X162,20,0)</f>
        <v>0</v>
      </c>
      <c r="T9" s="29"/>
      <c r="U9" s="47" t="s">
        <v>253</v>
      </c>
    </row>
    <row r="10" spans="2:21" x14ac:dyDescent="0.25">
      <c r="B10" s="9" t="s">
        <v>168</v>
      </c>
      <c r="C10" s="10" t="s">
        <v>11</v>
      </c>
      <c r="D10" s="10">
        <v>3392</v>
      </c>
      <c r="E10" s="16">
        <f>VLOOKUP(B10,'PR JAN 2021'!E147:H163,4,0)</f>
        <v>610.11999999999989</v>
      </c>
      <c r="F10" s="11"/>
      <c r="H10" s="15">
        <f>VLOOKUP(B10,'PR JAN 2021'!E147:L163,8,0)</f>
        <v>219.78</v>
      </c>
      <c r="I10" s="10">
        <v>555.23</v>
      </c>
      <c r="J10" s="10">
        <v>800</v>
      </c>
      <c r="K10" s="10">
        <v>800</v>
      </c>
      <c r="L10" s="10">
        <v>246.64</v>
      </c>
      <c r="M10" s="11">
        <v>381.47</v>
      </c>
      <c r="N10" s="15">
        <f>VLOOKUP(B10,'PR JAN 2021'!E147:S163,15,0)</f>
        <v>500</v>
      </c>
      <c r="O10" s="16">
        <f>VLOOKUP(B10,'PR JAN 2021'!E147:T163,16,0)</f>
        <v>0</v>
      </c>
      <c r="P10" s="16">
        <f>VLOOKUP(B10,'PR JAN 2021'!E147:U164,17,0)</f>
        <v>499</v>
      </c>
      <c r="Q10" s="16">
        <f>VLOOKUP(B10,'PR JAN 2021'!E147:V163,18,0)</f>
        <v>0</v>
      </c>
      <c r="R10" s="16">
        <f>VLOOKUP(B10,'PR JAN 2021'!E147:W163,19,0)</f>
        <v>0</v>
      </c>
      <c r="S10" s="17">
        <f>VLOOKUP(B10,'PR JAN 2021'!E147:X163,20,0)</f>
        <v>0</v>
      </c>
      <c r="T10" s="29"/>
      <c r="U10" s="46"/>
    </row>
    <row r="11" spans="2:21" ht="18.75" x14ac:dyDescent="0.3">
      <c r="B11" s="9" t="s">
        <v>169</v>
      </c>
      <c r="C11" s="10" t="s">
        <v>11</v>
      </c>
      <c r="D11" s="10">
        <v>11630</v>
      </c>
      <c r="E11" s="16">
        <f>VLOOKUP(B11,'PR JAN 2021'!E148:H164,4,0)</f>
        <v>-7920.16</v>
      </c>
      <c r="F11" s="11"/>
      <c r="H11" s="15">
        <f>VLOOKUP(B11,'PR JAN 2021'!E148:L164,8,0)</f>
        <v>0</v>
      </c>
      <c r="I11" s="10">
        <v>0</v>
      </c>
      <c r="J11" s="10">
        <v>0</v>
      </c>
      <c r="K11" s="10">
        <v>0</v>
      </c>
      <c r="L11" s="10">
        <v>662</v>
      </c>
      <c r="M11" s="11">
        <v>0</v>
      </c>
      <c r="N11" s="15">
        <f>VLOOKUP(B11,'PR JAN 2021'!E148:S164,15,0)</f>
        <v>910</v>
      </c>
      <c r="O11" s="16">
        <f>VLOOKUP(B11,'PR JAN 2021'!E148:T164,16,0)</f>
        <v>0</v>
      </c>
      <c r="P11" s="16">
        <f>VLOOKUP(B11,'PR JAN 2021'!E148:U165,17,0)</f>
        <v>137.84</v>
      </c>
      <c r="Q11" s="16">
        <f>VLOOKUP(B11,'PR JAN 2021'!E148:V164,18,0)</f>
        <v>0</v>
      </c>
      <c r="R11" s="16">
        <f>VLOOKUP(B11,'PR JAN 2021'!E148:W164,19,0)</f>
        <v>1000</v>
      </c>
      <c r="S11" s="17">
        <f>VLOOKUP(B11,'PR JAN 2021'!E148:X164,20,0)</f>
        <v>0</v>
      </c>
      <c r="T11" s="29"/>
      <c r="U11" s="47" t="s">
        <v>253</v>
      </c>
    </row>
    <row r="12" spans="2:21" ht="18.75" x14ac:dyDescent="0.3">
      <c r="B12" s="9" t="s">
        <v>170</v>
      </c>
      <c r="C12" s="10" t="s">
        <v>11</v>
      </c>
      <c r="D12" s="10">
        <v>5879</v>
      </c>
      <c r="E12" s="16">
        <f>VLOOKUP(B12,'PR JAN 2021'!E149:H165,4,0)</f>
        <v>-5661.26</v>
      </c>
      <c r="F12" s="11"/>
      <c r="H12" s="15">
        <f>VLOOKUP(B12,'PR JAN 2021'!E149:L165,8,0)</f>
        <v>0</v>
      </c>
      <c r="I12" s="10">
        <v>0</v>
      </c>
      <c r="J12" s="10">
        <v>0</v>
      </c>
      <c r="K12" s="10">
        <v>0</v>
      </c>
      <c r="L12" s="10">
        <v>0</v>
      </c>
      <c r="M12" s="11">
        <v>0</v>
      </c>
      <c r="N12" s="15">
        <f>VLOOKUP(B12,'PR JAN 2021'!E149:S165,15,0)</f>
        <v>0</v>
      </c>
      <c r="O12" s="16">
        <f>VLOOKUP(B12,'PR JAN 2021'!E149:T165,16,0)</f>
        <v>0</v>
      </c>
      <c r="P12" s="16">
        <f>VLOOKUP(B12,'PR JAN 2021'!E149:U166,17,0)</f>
        <v>0</v>
      </c>
      <c r="Q12" s="16">
        <f>VLOOKUP(B12,'PR JAN 2021'!E149:V165,18,0)</f>
        <v>0</v>
      </c>
      <c r="R12" s="16">
        <f>VLOOKUP(B12,'PR JAN 2021'!E149:W165,19,0)</f>
        <v>0</v>
      </c>
      <c r="S12" s="17">
        <f>VLOOKUP(B12,'PR JAN 2021'!E149:X165,20,0)</f>
        <v>217.74</v>
      </c>
      <c r="T12" s="29"/>
      <c r="U12" s="47" t="s">
        <v>253</v>
      </c>
    </row>
    <row r="13" spans="2:21" x14ac:dyDescent="0.25">
      <c r="B13" s="9" t="s">
        <v>171</v>
      </c>
      <c r="C13" s="10" t="s">
        <v>11</v>
      </c>
      <c r="D13" s="10">
        <v>288</v>
      </c>
      <c r="E13" s="16">
        <f>VLOOKUP(B13,'PR JAN 2021'!E150:H166,4,0)</f>
        <v>0</v>
      </c>
      <c r="F13" s="11"/>
      <c r="H13" s="15">
        <f>VLOOKUP(B13,'PR JAN 2021'!E150:L166,8,0)</f>
        <v>0</v>
      </c>
      <c r="I13" s="10">
        <v>0</v>
      </c>
      <c r="J13" s="10">
        <v>288</v>
      </c>
      <c r="K13" s="10">
        <v>0</v>
      </c>
      <c r="L13" s="10">
        <v>0</v>
      </c>
      <c r="M13" s="11">
        <v>0</v>
      </c>
      <c r="N13" s="15">
        <f>VLOOKUP(B13,'PR JAN 2021'!E150:S166,15,0)</f>
        <v>0</v>
      </c>
      <c r="O13" s="16">
        <f>VLOOKUP(B13,'PR JAN 2021'!E150:T166,16,0)</f>
        <v>0</v>
      </c>
      <c r="P13" s="16">
        <f>VLOOKUP(B13,'PR JAN 2021'!E150:U167,17,0)</f>
        <v>0</v>
      </c>
      <c r="Q13" s="16">
        <f>VLOOKUP(B13,'PR JAN 2021'!E150:V166,18,0)</f>
        <v>0</v>
      </c>
      <c r="R13" s="16">
        <f>VLOOKUP(B13,'PR JAN 2021'!E150:W166,19,0)</f>
        <v>0</v>
      </c>
      <c r="S13" s="17">
        <f>VLOOKUP(B13,'PR JAN 2021'!E150:X166,20,0)</f>
        <v>0</v>
      </c>
      <c r="T13" s="29"/>
      <c r="U13" s="46"/>
    </row>
    <row r="14" spans="2:21" x14ac:dyDescent="0.25">
      <c r="B14" s="9" t="s">
        <v>172</v>
      </c>
      <c r="C14" s="10" t="s">
        <v>11</v>
      </c>
      <c r="D14" s="10">
        <v>837</v>
      </c>
      <c r="E14" s="16">
        <f>VLOOKUP(B14,'PR JAN 2021'!E151:H167,4,0)</f>
        <v>-40</v>
      </c>
      <c r="F14" s="11"/>
      <c r="H14" s="15">
        <f>VLOOKUP(B14,'PR JAN 2021'!E151:L167,8,0)</f>
        <v>0</v>
      </c>
      <c r="I14" s="10">
        <v>0</v>
      </c>
      <c r="J14" s="10">
        <v>0</v>
      </c>
      <c r="K14" s="10">
        <v>797</v>
      </c>
      <c r="L14" s="10">
        <v>0</v>
      </c>
      <c r="M14" s="11">
        <v>0</v>
      </c>
      <c r="N14" s="15">
        <f>VLOOKUP(B14,'PR JAN 2021'!E151:S167,15,0)</f>
        <v>0</v>
      </c>
      <c r="O14" s="16">
        <f>VLOOKUP(B14,'PR JAN 2021'!E151:T167,16,0)</f>
        <v>0</v>
      </c>
      <c r="P14" s="16">
        <f>VLOOKUP(B14,'PR JAN 2021'!E151:U168,17,0)</f>
        <v>0</v>
      </c>
      <c r="Q14" s="16">
        <f>VLOOKUP(B14,'PR JAN 2021'!E151:V167,18,0)</f>
        <v>0</v>
      </c>
      <c r="R14" s="16">
        <f>VLOOKUP(B14,'PR JAN 2021'!E151:W167,19,0)</f>
        <v>0</v>
      </c>
      <c r="S14" s="17">
        <f>VLOOKUP(B14,'PR JAN 2021'!E151:X167,20,0)</f>
        <v>0</v>
      </c>
      <c r="T14" s="29"/>
      <c r="U14" s="46"/>
    </row>
    <row r="15" spans="2:21" ht="18.75" x14ac:dyDescent="0.3">
      <c r="B15" s="9" t="s">
        <v>173</v>
      </c>
      <c r="C15" s="10" t="s">
        <v>11</v>
      </c>
      <c r="D15" s="10">
        <v>1565</v>
      </c>
      <c r="E15" s="16">
        <f>VLOOKUP(B15,'PR JAN 2021'!E152:H168,4,0)</f>
        <v>-1354.48</v>
      </c>
      <c r="F15" s="11"/>
      <c r="H15" s="15">
        <f>VLOOKUP(B15,'PR JAN 2021'!E152:L168,8,0)</f>
        <v>0</v>
      </c>
      <c r="I15" s="10">
        <v>0</v>
      </c>
      <c r="J15" s="10">
        <v>0</v>
      </c>
      <c r="K15" s="10">
        <v>0</v>
      </c>
      <c r="L15" s="10">
        <v>55.52</v>
      </c>
      <c r="M15" s="11">
        <v>0</v>
      </c>
      <c r="N15" s="15">
        <f>VLOOKUP(B15,'PR JAN 2021'!E152:S168,15,0)</f>
        <v>0</v>
      </c>
      <c r="O15" s="16">
        <f>VLOOKUP(B15,'PR JAN 2021'!E152:T168,16,0)</f>
        <v>0</v>
      </c>
      <c r="P15" s="16">
        <f>VLOOKUP(B15,'PR JAN 2021'!E152:U169,17,0)</f>
        <v>155</v>
      </c>
      <c r="Q15" s="16">
        <f>VLOOKUP(B15,'PR JAN 2021'!E152:V168,18,0)</f>
        <v>0</v>
      </c>
      <c r="R15" s="16">
        <f>VLOOKUP(B15,'PR JAN 2021'!E152:W168,19,0)</f>
        <v>0</v>
      </c>
      <c r="S15" s="17">
        <f>VLOOKUP(B15,'PR JAN 2021'!E152:X168,20,0)</f>
        <v>0</v>
      </c>
      <c r="T15" s="29"/>
      <c r="U15" s="47" t="s">
        <v>253</v>
      </c>
    </row>
    <row r="16" spans="2:21" x14ac:dyDescent="0.25">
      <c r="B16" s="9" t="s">
        <v>174</v>
      </c>
      <c r="C16" s="10" t="s">
        <v>11</v>
      </c>
      <c r="D16" s="10">
        <v>2421</v>
      </c>
      <c r="E16" s="16">
        <f>VLOOKUP(B16,'PR JAN 2021'!E153:H169,4,0)</f>
        <v>-5</v>
      </c>
      <c r="F16" s="11"/>
      <c r="H16" s="15">
        <f>VLOOKUP(B16,'PR JAN 2021'!E153:L169,8,0)</f>
        <v>0</v>
      </c>
      <c r="I16" s="10">
        <v>0</v>
      </c>
      <c r="J16" s="10">
        <v>1416</v>
      </c>
      <c r="K16" s="10">
        <v>0</v>
      </c>
      <c r="L16" s="10">
        <v>0</v>
      </c>
      <c r="M16" s="11">
        <v>750</v>
      </c>
      <c r="N16" s="15">
        <f>VLOOKUP(B16,'PR JAN 2021'!E153:S169,15,0)</f>
        <v>0</v>
      </c>
      <c r="O16" s="16">
        <f>VLOOKUP(B16,'PR JAN 2021'!E153:T169,16,0)</f>
        <v>250</v>
      </c>
      <c r="P16" s="16">
        <f>VLOOKUP(B16,'PR JAN 2021'!E153:U170,17,0)</f>
        <v>0</v>
      </c>
      <c r="Q16" s="16">
        <f>VLOOKUP(B16,'PR JAN 2021'!E153:V169,18,0)</f>
        <v>0</v>
      </c>
      <c r="R16" s="16">
        <f>VLOOKUP(B16,'PR JAN 2021'!E153:W169,19,0)</f>
        <v>0</v>
      </c>
      <c r="S16" s="17">
        <f>VLOOKUP(B16,'PR JAN 2021'!E153:X169,20,0)</f>
        <v>0</v>
      </c>
      <c r="T16" s="29"/>
      <c r="U16" s="46"/>
    </row>
    <row r="17" spans="2:21" ht="18.75" x14ac:dyDescent="0.3">
      <c r="B17" s="9" t="s">
        <v>175</v>
      </c>
      <c r="C17" s="10" t="s">
        <v>11</v>
      </c>
      <c r="D17" s="10">
        <v>792</v>
      </c>
      <c r="E17" s="16">
        <f>VLOOKUP(B17,'PR JAN 2021'!E154:H170,4,0)</f>
        <v>-466.02</v>
      </c>
      <c r="F17" s="11"/>
      <c r="H17" s="15">
        <f>VLOOKUP(B17,'PR JAN 2021'!E154:L170,8,0)</f>
        <v>0</v>
      </c>
      <c r="I17" s="10">
        <v>111.1</v>
      </c>
      <c r="J17" s="10">
        <v>0</v>
      </c>
      <c r="K17" s="10">
        <v>0</v>
      </c>
      <c r="L17" s="10">
        <v>105.26</v>
      </c>
      <c r="M17" s="11">
        <v>0</v>
      </c>
      <c r="N17" s="15">
        <f>VLOOKUP(B17,'PR JAN 2021'!E154:S170,15,0)</f>
        <v>109.62</v>
      </c>
      <c r="O17" s="16">
        <f>VLOOKUP(B17,'PR JAN 2021'!E154:T170,16,0)</f>
        <v>0</v>
      </c>
      <c r="P17" s="16">
        <f>VLOOKUP(B17,'PR JAN 2021'!E154:U171,17,0)</f>
        <v>0</v>
      </c>
      <c r="Q17" s="16">
        <f>VLOOKUP(B17,'PR JAN 2021'!E154:V170,18,0)</f>
        <v>0</v>
      </c>
      <c r="R17" s="16">
        <f>VLOOKUP(B17,'PR JAN 2021'!E154:W170,19,0)</f>
        <v>0</v>
      </c>
      <c r="S17" s="17">
        <f>VLOOKUP(B17,'PR JAN 2021'!E154:X170,20,0)</f>
        <v>0</v>
      </c>
      <c r="T17" s="29"/>
      <c r="U17" s="47" t="s">
        <v>253</v>
      </c>
    </row>
    <row r="18" spans="2:21" x14ac:dyDescent="0.25">
      <c r="B18" s="9" t="s">
        <v>176</v>
      </c>
      <c r="C18" s="10" t="s">
        <v>9</v>
      </c>
      <c r="D18" s="10">
        <v>606</v>
      </c>
      <c r="E18" s="16">
        <f>VLOOKUP(B18,'PR JAN 2021'!E155:H171,4,0)</f>
        <v>-606</v>
      </c>
      <c r="F18" s="11"/>
      <c r="H18" s="15">
        <f>VLOOKUP(B18,'PR JAN 2021'!E155:L171,8,0)</f>
        <v>0</v>
      </c>
      <c r="I18" s="10">
        <v>0</v>
      </c>
      <c r="J18" s="10">
        <v>0</v>
      </c>
      <c r="K18" s="10">
        <v>0</v>
      </c>
      <c r="L18" s="10">
        <v>0</v>
      </c>
      <c r="M18" s="11">
        <v>0</v>
      </c>
      <c r="N18" s="15">
        <f>VLOOKUP(B18,'PR JAN 2021'!E155:S171,15,0)</f>
        <v>0</v>
      </c>
      <c r="O18" s="16">
        <f>VLOOKUP(B18,'PR JAN 2021'!E155:T171,16,0)</f>
        <v>0</v>
      </c>
      <c r="P18" s="16">
        <f>VLOOKUP(B18,'PR JAN 2021'!E155:U172,17,0)</f>
        <v>0</v>
      </c>
      <c r="Q18" s="16">
        <f>VLOOKUP(B18,'PR JAN 2021'!E155:V171,18,0)</f>
        <v>0</v>
      </c>
      <c r="R18" s="16">
        <f>VLOOKUP(B18,'PR JAN 2021'!E155:W171,19,0)</f>
        <v>0</v>
      </c>
      <c r="S18" s="17">
        <f>VLOOKUP(B18,'PR JAN 2021'!E155:X171,20,0)</f>
        <v>0</v>
      </c>
      <c r="T18" s="29"/>
      <c r="U18" s="46"/>
    </row>
    <row r="19" spans="2:21" x14ac:dyDescent="0.25">
      <c r="B19" s="9" t="s">
        <v>177</v>
      </c>
      <c r="C19" s="10" t="s">
        <v>178</v>
      </c>
      <c r="D19" s="10">
        <v>14108</v>
      </c>
      <c r="E19" s="16">
        <f>VLOOKUP(B19,'PR JAN 2021'!E156:H172,4,0)</f>
        <v>-11412</v>
      </c>
      <c r="F19" s="11"/>
      <c r="H19" s="15">
        <f>VLOOKUP(B19,'PR JAN 2021'!E156:L172,8,0)</f>
        <v>0</v>
      </c>
      <c r="I19" s="10">
        <v>0</v>
      </c>
      <c r="J19" s="10">
        <v>0</v>
      </c>
      <c r="K19" s="10">
        <v>0</v>
      </c>
      <c r="L19" s="10">
        <v>0</v>
      </c>
      <c r="M19" s="11">
        <v>0</v>
      </c>
      <c r="N19" s="15">
        <f>VLOOKUP(B19,'PR JAN 2021'!E156:S172,15,0)</f>
        <v>2696</v>
      </c>
      <c r="O19" s="16">
        <f>VLOOKUP(B19,'PR JAN 2021'!E156:T172,16,0)</f>
        <v>0</v>
      </c>
      <c r="P19" s="16">
        <f>VLOOKUP(B19,'PR JAN 2021'!E156:U173,17,0)</f>
        <v>0</v>
      </c>
      <c r="Q19" s="16">
        <f>VLOOKUP(B19,'PR JAN 2021'!E156:V172,18,0)</f>
        <v>0</v>
      </c>
      <c r="R19" s="16">
        <f>VLOOKUP(B19,'PR JAN 2021'!E156:W172,19,0)</f>
        <v>0</v>
      </c>
      <c r="S19" s="17">
        <f>VLOOKUP(B19,'PR JAN 2021'!E156:X172,20,0)</f>
        <v>0</v>
      </c>
      <c r="T19" s="29"/>
      <c r="U19" s="46"/>
    </row>
    <row r="20" spans="2:21" x14ac:dyDescent="0.25">
      <c r="B20" s="12" t="s">
        <v>179</v>
      </c>
      <c r="C20" s="13" t="s">
        <v>178</v>
      </c>
      <c r="D20" s="13">
        <v>4241</v>
      </c>
      <c r="E20" s="13">
        <f>VLOOKUP(B20,'PR JAN 2021'!E157:H173,4,0)</f>
        <v>-4241</v>
      </c>
      <c r="F20" s="14"/>
      <c r="H20" s="15">
        <f>VLOOKUP(B20,'PR JAN 2021'!E157:L173,8,0)</f>
        <v>0</v>
      </c>
      <c r="I20" s="13">
        <v>0</v>
      </c>
      <c r="J20" s="13">
        <v>0</v>
      </c>
      <c r="K20" s="13">
        <v>0</v>
      </c>
      <c r="L20" s="13">
        <v>0</v>
      </c>
      <c r="M20" s="14">
        <v>0</v>
      </c>
      <c r="N20" s="12">
        <v>0</v>
      </c>
      <c r="O20" s="16">
        <f>VLOOKUP(B20,'PR JAN 2021'!E157:T173,16,0)</f>
        <v>0</v>
      </c>
      <c r="P20" s="16">
        <f>VLOOKUP(B20,'PR JAN 2021'!E157:U174,17,0)</f>
        <v>0</v>
      </c>
      <c r="Q20" s="16">
        <f>VLOOKUP(B20,'PR JAN 2021'!E157:V173,18,0)</f>
        <v>0</v>
      </c>
      <c r="R20" s="16">
        <f>VLOOKUP(B20,'PR JAN 2021'!E157:W173,19,0)</f>
        <v>0</v>
      </c>
      <c r="S20" s="17">
        <f>VLOOKUP(B20,'PR JAN 2021'!E157:X173,20,0)</f>
        <v>0</v>
      </c>
      <c r="T20" s="29"/>
      <c r="U20" s="30"/>
    </row>
  </sheetData>
  <mergeCells count="2">
    <mergeCell ref="H2:M2"/>
    <mergeCell ref="N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C19" sqref="C19"/>
    </sheetView>
  </sheetViews>
  <sheetFormatPr defaultRowHeight="15" x14ac:dyDescent="0.25"/>
  <cols>
    <col min="1" max="1" width="45.28515625" customWidth="1"/>
    <col min="2" max="2" width="11.42578125" customWidth="1"/>
    <col min="3" max="3" width="13.42578125" customWidth="1"/>
    <col min="4" max="5" width="11.42578125" customWidth="1"/>
    <col min="6" max="6" width="3.5703125" customWidth="1"/>
    <col min="7" max="11" width="11.140625" customWidth="1"/>
    <col min="12" max="12" width="3.42578125" customWidth="1"/>
  </cols>
  <sheetData>
    <row r="1" spans="1:13" ht="24.75" customHeight="1" x14ac:dyDescent="0.25">
      <c r="A1" s="52" t="s">
        <v>219</v>
      </c>
      <c r="B1" s="52"/>
      <c r="C1" s="52"/>
      <c r="D1" s="52"/>
      <c r="E1" s="52"/>
    </row>
    <row r="3" spans="1:13" x14ac:dyDescent="0.25">
      <c r="A3" s="56" t="s">
        <v>217</v>
      </c>
      <c r="B3" s="58" t="s">
        <v>216</v>
      </c>
      <c r="C3" s="58" t="s">
        <v>213</v>
      </c>
      <c r="D3" s="58" t="s">
        <v>214</v>
      </c>
      <c r="E3" s="20"/>
      <c r="F3" s="7"/>
      <c r="G3" s="53" t="s">
        <v>215</v>
      </c>
      <c r="H3" s="54"/>
      <c r="I3" s="54"/>
      <c r="J3" s="54"/>
      <c r="K3" s="55"/>
      <c r="L3" s="27"/>
    </row>
    <row r="4" spans="1:13" ht="15.75" thickBot="1" x14ac:dyDescent="0.3">
      <c r="A4" s="57"/>
      <c r="B4" s="59"/>
      <c r="C4" s="59"/>
      <c r="D4" s="59"/>
      <c r="E4" s="23"/>
      <c r="F4" s="7"/>
      <c r="G4" s="32">
        <v>44209</v>
      </c>
      <c r="H4" s="33">
        <v>44214</v>
      </c>
      <c r="I4" s="33">
        <v>44221</v>
      </c>
      <c r="J4" s="33">
        <v>44224</v>
      </c>
      <c r="K4" s="34">
        <v>44225</v>
      </c>
      <c r="L4" s="28"/>
    </row>
    <row r="5" spans="1:13" ht="15.75" thickTop="1" x14ac:dyDescent="0.25">
      <c r="A5" s="38" t="s">
        <v>218</v>
      </c>
      <c r="B5" s="41" t="s">
        <v>9</v>
      </c>
      <c r="C5" s="39">
        <v>2213</v>
      </c>
      <c r="D5" s="39">
        <v>2213</v>
      </c>
      <c r="E5" s="40"/>
      <c r="F5" s="7"/>
      <c r="G5" s="35">
        <v>300</v>
      </c>
      <c r="H5" s="36">
        <v>600</v>
      </c>
      <c r="I5" s="36">
        <v>700</v>
      </c>
      <c r="J5" s="36">
        <v>613</v>
      </c>
      <c r="K5" s="37"/>
      <c r="L5" s="29"/>
      <c r="M5" s="43"/>
    </row>
  </sheetData>
  <mergeCells count="6">
    <mergeCell ref="A1:E1"/>
    <mergeCell ref="G3:K3"/>
    <mergeCell ref="A3:A4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B1" workbookViewId="0">
      <selection activeCell="P37" sqref="P37"/>
    </sheetView>
  </sheetViews>
  <sheetFormatPr defaultRowHeight="15" x14ac:dyDescent="0.25"/>
  <cols>
    <col min="1" max="1" width="0" style="7" hidden="1" customWidth="1"/>
    <col min="2" max="2" width="24.85546875" customWidth="1"/>
    <col min="3" max="3" width="11" customWidth="1"/>
    <col min="4" max="4" width="11.42578125" hidden="1" customWidth="1"/>
    <col min="5" max="5" width="16.5703125" hidden="1" customWidth="1"/>
    <col min="6" max="10" width="0" hidden="1" customWidth="1"/>
  </cols>
  <sheetData>
    <row r="1" spans="1:17" x14ac:dyDescent="0.25">
      <c r="B1" t="s">
        <v>251</v>
      </c>
      <c r="N1" t="s">
        <v>250</v>
      </c>
    </row>
    <row r="2" spans="1:17" x14ac:dyDescent="0.25">
      <c r="A2" s="7" t="s">
        <v>228</v>
      </c>
      <c r="B2" t="s">
        <v>227</v>
      </c>
      <c r="C2" t="s">
        <v>230</v>
      </c>
      <c r="D2" t="s">
        <v>225</v>
      </c>
      <c r="E2" t="s">
        <v>224</v>
      </c>
      <c r="F2" t="s">
        <v>226</v>
      </c>
      <c r="G2" t="s">
        <v>235</v>
      </c>
      <c r="H2" t="s">
        <v>229</v>
      </c>
      <c r="I2" t="s">
        <v>236</v>
      </c>
      <c r="J2" t="s">
        <v>237</v>
      </c>
      <c r="K2" t="s">
        <v>238</v>
      </c>
    </row>
    <row r="3" spans="1:17" x14ac:dyDescent="0.25">
      <c r="A3" s="7">
        <v>1</v>
      </c>
      <c r="B3" t="s">
        <v>135</v>
      </c>
      <c r="C3" t="s">
        <v>11</v>
      </c>
      <c r="D3">
        <v>1877</v>
      </c>
      <c r="E3">
        <v>160.88</v>
      </c>
      <c r="F3">
        <f>291.8-91.2</f>
        <v>200.60000000000002</v>
      </c>
      <c r="G3">
        <v>417.55</v>
      </c>
      <c r="H3">
        <f>((Table1[[#This Row],[OUT STANDING]]+Table1[[#This Row],[FISIK]]))-(Table1[[#This Row],[ORDER]])</f>
        <v>-56.069999999999993</v>
      </c>
      <c r="K3">
        <v>120</v>
      </c>
      <c r="N3" s="45" t="s">
        <v>244</v>
      </c>
      <c r="Q3" t="s">
        <v>239</v>
      </c>
    </row>
    <row r="4" spans="1:17" x14ac:dyDescent="0.25">
      <c r="A4" s="7">
        <v>2</v>
      </c>
      <c r="B4" t="s">
        <v>136</v>
      </c>
      <c r="C4" t="s">
        <v>11</v>
      </c>
      <c r="D4">
        <v>1379</v>
      </c>
      <c r="E4" s="44">
        <v>118.5</v>
      </c>
      <c r="F4">
        <f>366.6-36</f>
        <v>330.6</v>
      </c>
      <c r="G4">
        <v>464.3</v>
      </c>
      <c r="H4" s="7">
        <f>((Table1[[#This Row],[OUT STANDING]]+Table1[[#This Row],[FISIK]]))-(Table1[[#This Row],[ORDER]])</f>
        <v>-15.199999999999989</v>
      </c>
      <c r="K4">
        <v>35</v>
      </c>
      <c r="N4" s="45" t="s">
        <v>245</v>
      </c>
      <c r="Q4" t="s">
        <v>240</v>
      </c>
    </row>
    <row r="5" spans="1:17" hidden="1" x14ac:dyDescent="0.25">
      <c r="A5" s="7">
        <v>3</v>
      </c>
      <c r="B5" t="s">
        <v>137</v>
      </c>
      <c r="C5" t="s">
        <v>11</v>
      </c>
      <c r="D5">
        <v>29</v>
      </c>
      <c r="E5">
        <v>6.29</v>
      </c>
      <c r="G5">
        <v>3.6</v>
      </c>
      <c r="H5" s="7">
        <f>((Table1[[#This Row],[OUT STANDING]]+Table1[[#This Row],[FISIK]]))-(Table1[[#This Row],[ORDER]])</f>
        <v>2.69</v>
      </c>
      <c r="N5" s="45" t="s">
        <v>246</v>
      </c>
      <c r="Q5" t="s">
        <v>241</v>
      </c>
    </row>
    <row r="6" spans="1:17" x14ac:dyDescent="0.25">
      <c r="A6" s="7">
        <v>4</v>
      </c>
      <c r="B6" t="s">
        <v>138</v>
      </c>
      <c r="C6" t="s">
        <v>11</v>
      </c>
      <c r="D6">
        <v>117</v>
      </c>
      <c r="E6">
        <v>22.22</v>
      </c>
      <c r="F6">
        <v>20.5</v>
      </c>
      <c r="G6">
        <v>23.785</v>
      </c>
      <c r="H6" s="7">
        <f>((Table1[[#This Row],[OUT STANDING]]+Table1[[#This Row],[FISIK]]))-(Table1[[#This Row],[ORDER]])</f>
        <v>18.934999999999999</v>
      </c>
      <c r="K6">
        <v>22.2</v>
      </c>
      <c r="N6" s="45" t="s">
        <v>247</v>
      </c>
      <c r="Q6" t="s">
        <v>242</v>
      </c>
    </row>
    <row r="7" spans="1:17" x14ac:dyDescent="0.25">
      <c r="A7" s="7">
        <v>5</v>
      </c>
      <c r="B7" t="s">
        <v>139</v>
      </c>
      <c r="C7" t="s">
        <v>11</v>
      </c>
      <c r="D7">
        <v>120</v>
      </c>
      <c r="E7">
        <v>25.8</v>
      </c>
      <c r="G7">
        <v>23.785</v>
      </c>
      <c r="H7" s="7">
        <f>((Table1[[#This Row],[OUT STANDING]]+Table1[[#This Row],[FISIK]]))-(Table1[[#This Row],[ORDER]])</f>
        <v>2.0150000000000006</v>
      </c>
      <c r="K7">
        <v>25.8</v>
      </c>
      <c r="N7" s="45" t="s">
        <v>248</v>
      </c>
      <c r="Q7" t="s">
        <v>243</v>
      </c>
    </row>
    <row r="8" spans="1:17" x14ac:dyDescent="0.25">
      <c r="A8" s="7">
        <v>6</v>
      </c>
      <c r="B8" s="44" t="s">
        <v>140</v>
      </c>
      <c r="C8" t="s">
        <v>11</v>
      </c>
      <c r="D8">
        <v>660</v>
      </c>
      <c r="E8">
        <v>278.10000000000002</v>
      </c>
      <c r="F8">
        <f>69.8-30.6</f>
        <v>39.199999999999996</v>
      </c>
      <c r="G8">
        <v>271.416</v>
      </c>
      <c r="H8" s="7">
        <f>((Table1[[#This Row],[OUT STANDING]]+Table1[[#This Row],[FISIK]]))-(Table1[[#This Row],[ORDER]])</f>
        <v>45.884000000000015</v>
      </c>
      <c r="K8">
        <v>100</v>
      </c>
      <c r="N8" s="45" t="s">
        <v>249</v>
      </c>
      <c r="Q8" t="s">
        <v>240</v>
      </c>
    </row>
    <row r="9" spans="1:17" x14ac:dyDescent="0.25">
      <c r="A9" s="7">
        <v>7</v>
      </c>
      <c r="B9" s="44" t="s">
        <v>141</v>
      </c>
      <c r="C9" t="s">
        <v>11</v>
      </c>
      <c r="D9">
        <v>237</v>
      </c>
      <c r="E9">
        <v>62.37</v>
      </c>
      <c r="F9">
        <f>72.7-30</f>
        <v>42.7</v>
      </c>
      <c r="G9">
        <v>66.92</v>
      </c>
      <c r="H9" s="7">
        <f>((Table1[[#This Row],[OUT STANDING]]+Table1[[#This Row],[FISIK]]))-(Table1[[#This Row],[ORDER]])</f>
        <v>38.149999999999991</v>
      </c>
      <c r="K9">
        <v>62.37</v>
      </c>
    </row>
    <row r="10" spans="1:17" hidden="1" x14ac:dyDescent="0.25">
      <c r="A10" s="7">
        <v>8</v>
      </c>
      <c r="B10" t="s">
        <v>142</v>
      </c>
      <c r="C10" t="s">
        <v>11</v>
      </c>
      <c r="D10">
        <v>358</v>
      </c>
      <c r="E10">
        <v>47.1</v>
      </c>
      <c r="F10">
        <v>84.6</v>
      </c>
      <c r="G10">
        <v>71.355000000000004</v>
      </c>
      <c r="H10" s="7">
        <f>((Table1[[#This Row],[OUT STANDING]]+Table1[[#This Row],[FISIK]]))-(Table1[[#This Row],[ORDER]])</f>
        <v>60.344999999999985</v>
      </c>
    </row>
    <row r="11" spans="1:17" x14ac:dyDescent="0.25">
      <c r="A11" s="7">
        <v>9</v>
      </c>
      <c r="B11" t="s">
        <v>143</v>
      </c>
      <c r="C11" t="s">
        <v>11</v>
      </c>
      <c r="D11">
        <v>493</v>
      </c>
      <c r="E11">
        <v>86.2</v>
      </c>
      <c r="F11">
        <f>167.1-75</f>
        <v>92.1</v>
      </c>
      <c r="G11">
        <v>141.94999999999999</v>
      </c>
      <c r="H11" s="7">
        <f>((Table1[[#This Row],[OUT STANDING]]+Table1[[#This Row],[FISIK]]))-(Table1[[#This Row],[ORDER]])</f>
        <v>36.350000000000023</v>
      </c>
      <c r="K11">
        <v>86.2</v>
      </c>
    </row>
    <row r="12" spans="1:17" hidden="1" x14ac:dyDescent="0.25">
      <c r="A12" s="7">
        <v>10</v>
      </c>
      <c r="B12" t="s">
        <v>144</v>
      </c>
      <c r="C12" t="s">
        <v>11</v>
      </c>
      <c r="D12">
        <v>26</v>
      </c>
      <c r="E12">
        <v>4</v>
      </c>
      <c r="F12">
        <v>6.8</v>
      </c>
      <c r="G12">
        <v>9.6639999999999997</v>
      </c>
      <c r="H12" s="7">
        <f>((Table1[[#This Row],[OUT STANDING]]+Table1[[#This Row],[FISIK]]))-(Table1[[#This Row],[ORDER]])</f>
        <v>1.136000000000001</v>
      </c>
    </row>
    <row r="13" spans="1:17" x14ac:dyDescent="0.25">
      <c r="A13" s="7">
        <v>11</v>
      </c>
      <c r="B13" t="s">
        <v>145</v>
      </c>
      <c r="C13" t="s">
        <v>11</v>
      </c>
      <c r="D13">
        <v>117</v>
      </c>
      <c r="E13">
        <v>25.6</v>
      </c>
      <c r="F13">
        <v>0</v>
      </c>
      <c r="G13">
        <v>44</v>
      </c>
      <c r="H13" s="7">
        <f>((Table1[[#This Row],[OUT STANDING]]+Table1[[#This Row],[FISIK]]))-(Table1[[#This Row],[ORDER]])</f>
        <v>-18.399999999999999</v>
      </c>
      <c r="K13">
        <v>4.4000000000000004</v>
      </c>
    </row>
    <row r="14" spans="1:17" x14ac:dyDescent="0.25">
      <c r="A14" s="7">
        <v>12</v>
      </c>
      <c r="B14" t="s">
        <v>146</v>
      </c>
      <c r="C14" t="s">
        <v>11</v>
      </c>
      <c r="D14">
        <v>106</v>
      </c>
      <c r="E14">
        <v>31.9</v>
      </c>
      <c r="F14">
        <v>2.4</v>
      </c>
      <c r="G14">
        <v>38.5</v>
      </c>
      <c r="H14" s="7">
        <f>((Table1[[#This Row],[OUT STANDING]]+Table1[[#This Row],[FISIK]]))-(Table1[[#This Row],[ORDER]])</f>
        <v>-4.2000000000000028</v>
      </c>
      <c r="K14">
        <v>5.2</v>
      </c>
    </row>
    <row r="15" spans="1:17" x14ac:dyDescent="0.25">
      <c r="A15" s="7">
        <v>13</v>
      </c>
      <c r="B15" t="s">
        <v>147</v>
      </c>
      <c r="C15" t="s">
        <v>11</v>
      </c>
      <c r="D15">
        <v>273</v>
      </c>
      <c r="E15" s="44">
        <v>4.2599999999999909</v>
      </c>
      <c r="F15">
        <v>77.599999999999994</v>
      </c>
      <c r="G15">
        <v>59.1</v>
      </c>
      <c r="H15" s="7">
        <f>((Table1[[#This Row],[OUT STANDING]]+Table1[[#This Row],[FISIK]]))-(Table1[[#This Row],[ORDER]])</f>
        <v>22.759999999999984</v>
      </c>
      <c r="K15">
        <v>18.399999999999999</v>
      </c>
    </row>
    <row r="16" spans="1:17" x14ac:dyDescent="0.25">
      <c r="A16" s="7">
        <v>14</v>
      </c>
      <c r="B16" s="44" t="s">
        <v>148</v>
      </c>
      <c r="C16" t="s">
        <v>11</v>
      </c>
      <c r="D16">
        <v>385</v>
      </c>
      <c r="E16">
        <v>84.42</v>
      </c>
      <c r="F16">
        <f>50.2-25.2</f>
        <v>25.000000000000004</v>
      </c>
      <c r="G16">
        <v>72.17</v>
      </c>
      <c r="H16" s="7">
        <f>((Table1[[#This Row],[OUT STANDING]]+Table1[[#This Row],[FISIK]]))-(Table1[[#This Row],[ORDER]])</f>
        <v>37.25</v>
      </c>
      <c r="K16">
        <v>44.42</v>
      </c>
    </row>
    <row r="17" spans="1:11" hidden="1" x14ac:dyDescent="0.25">
      <c r="A17" s="7">
        <v>15</v>
      </c>
      <c r="B17" t="s">
        <v>149</v>
      </c>
      <c r="C17" t="s">
        <v>11</v>
      </c>
      <c r="D17">
        <v>1073</v>
      </c>
      <c r="E17">
        <v>173</v>
      </c>
      <c r="F17">
        <v>128.4</v>
      </c>
      <c r="G17">
        <v>135</v>
      </c>
      <c r="H17" s="7">
        <f>((Table1[[#This Row],[OUT STANDING]]+Table1[[#This Row],[FISIK]]))-(Table1[[#This Row],[ORDER]])</f>
        <v>166.39999999999998</v>
      </c>
    </row>
    <row r="18" spans="1:11" hidden="1" x14ac:dyDescent="0.25">
      <c r="A18" s="7">
        <v>16</v>
      </c>
      <c r="B18" t="s">
        <v>150</v>
      </c>
      <c r="C18" t="s">
        <v>11</v>
      </c>
      <c r="D18">
        <v>453</v>
      </c>
      <c r="E18">
        <v>30.12</v>
      </c>
      <c r="F18">
        <v>125.6</v>
      </c>
      <c r="G18">
        <v>65.611999999999995</v>
      </c>
      <c r="H18" s="7">
        <f>((Table1[[#This Row],[OUT STANDING]]+Table1[[#This Row],[FISIK]]))-(Table1[[#This Row],[ORDER]])</f>
        <v>90.108000000000004</v>
      </c>
    </row>
    <row r="19" spans="1:11" x14ac:dyDescent="0.25">
      <c r="A19" s="7">
        <v>17</v>
      </c>
      <c r="B19" t="s">
        <v>151</v>
      </c>
      <c r="C19" t="s">
        <v>11</v>
      </c>
      <c r="D19">
        <v>412</v>
      </c>
      <c r="E19">
        <v>152.69999999999999</v>
      </c>
      <c r="F19">
        <v>64.44</v>
      </c>
      <c r="G19">
        <v>120.36799999999999</v>
      </c>
      <c r="H19" s="7">
        <f>((Table1[[#This Row],[OUT STANDING]]+Table1[[#This Row],[FISIK]]))-(Table1[[#This Row],[ORDER]])</f>
        <v>96.771999999999991</v>
      </c>
      <c r="K19">
        <v>18.3</v>
      </c>
    </row>
    <row r="20" spans="1:11" x14ac:dyDescent="0.25">
      <c r="A20" s="7">
        <v>18</v>
      </c>
      <c r="B20" t="s">
        <v>152</v>
      </c>
      <c r="C20" t="s">
        <v>11</v>
      </c>
      <c r="D20">
        <v>262</v>
      </c>
      <c r="E20">
        <v>66.5</v>
      </c>
      <c r="F20">
        <f>81.46-18</f>
        <v>63.459999999999994</v>
      </c>
      <c r="G20">
        <v>91.388000000000005</v>
      </c>
      <c r="H20" s="7">
        <f>((Table1[[#This Row],[OUT STANDING]]+Table1[[#This Row],[FISIK]]))-(Table1[[#This Row],[ORDER]])</f>
        <v>38.571999999999974</v>
      </c>
      <c r="K20">
        <v>35.5</v>
      </c>
    </row>
    <row r="21" spans="1:11" x14ac:dyDescent="0.25">
      <c r="A21" s="7">
        <v>19</v>
      </c>
      <c r="B21" t="s">
        <v>153</v>
      </c>
      <c r="C21" t="s">
        <v>11</v>
      </c>
      <c r="D21">
        <v>58</v>
      </c>
      <c r="E21" s="44">
        <v>113</v>
      </c>
      <c r="F21">
        <v>0</v>
      </c>
      <c r="G21">
        <v>75</v>
      </c>
      <c r="H21" s="7">
        <f>((Table1[[#This Row],[OUT STANDING]]+Table1[[#This Row],[FISIK]]))-(Table1[[#This Row],[ORDER]])</f>
        <v>38</v>
      </c>
      <c r="K21">
        <v>33</v>
      </c>
    </row>
    <row r="22" spans="1:11" x14ac:dyDescent="0.25">
      <c r="A22" s="7">
        <v>20</v>
      </c>
      <c r="B22" t="s">
        <v>154</v>
      </c>
      <c r="C22" t="s">
        <v>11</v>
      </c>
      <c r="D22">
        <v>292</v>
      </c>
      <c r="E22">
        <v>101.68</v>
      </c>
      <c r="F22">
        <v>0</v>
      </c>
      <c r="G22">
        <v>13.6</v>
      </c>
      <c r="H22" s="7">
        <f>((Table1[[#This Row],[OUT STANDING]]+Table1[[#This Row],[FISIK]]))-(Table1[[#This Row],[ORDER]])</f>
        <v>88.080000000000013</v>
      </c>
      <c r="K22">
        <v>13.6</v>
      </c>
    </row>
    <row r="23" spans="1:11" hidden="1" x14ac:dyDescent="0.25">
      <c r="A23" s="7">
        <v>21</v>
      </c>
      <c r="B23" t="s">
        <v>155</v>
      </c>
      <c r="C23" t="s">
        <v>156</v>
      </c>
      <c r="D23">
        <v>186</v>
      </c>
      <c r="E23" s="44">
        <v>50</v>
      </c>
      <c r="F23">
        <v>0</v>
      </c>
      <c r="H23" s="7">
        <f>((Table1[[#This Row],[OUT STANDING]]+Table1[[#This Row],[FISIK]]))-(Table1[[#This Row],[ORDER]])</f>
        <v>50</v>
      </c>
    </row>
    <row r="24" spans="1:11" x14ac:dyDescent="0.25">
      <c r="A24" s="7">
        <v>22</v>
      </c>
      <c r="B24" t="s">
        <v>157</v>
      </c>
      <c r="C24" t="s">
        <v>11</v>
      </c>
      <c r="D24">
        <v>239</v>
      </c>
      <c r="E24">
        <v>31</v>
      </c>
      <c r="F24">
        <v>57.28</v>
      </c>
      <c r="G24">
        <v>47.57</v>
      </c>
      <c r="H24" s="7">
        <f>((Table1[[#This Row],[OUT STANDING]]+Table1[[#This Row],[FISIK]]))-(Table1[[#This Row],[ORDER]])</f>
        <v>40.71</v>
      </c>
      <c r="K24">
        <v>16</v>
      </c>
    </row>
    <row r="25" spans="1:11" hidden="1" x14ac:dyDescent="0.25">
      <c r="A25" s="7">
        <v>23</v>
      </c>
      <c r="B25" t="s">
        <v>158</v>
      </c>
      <c r="C25" t="s">
        <v>11</v>
      </c>
      <c r="D25">
        <v>61</v>
      </c>
      <c r="E25">
        <v>0</v>
      </c>
      <c r="F25">
        <v>31</v>
      </c>
      <c r="H25" s="7">
        <f>((Table1[[#This Row],[OUT STANDING]]+Table1[[#This Row],[FISIK]]))-(Table1[[#This Row],[ORDER]])</f>
        <v>31</v>
      </c>
    </row>
    <row r="26" spans="1:11" hidden="1" x14ac:dyDescent="0.25">
      <c r="A26" s="7">
        <v>24</v>
      </c>
      <c r="B26" t="s">
        <v>220</v>
      </c>
      <c r="C26" t="s">
        <v>11</v>
      </c>
      <c r="D26">
        <v>0</v>
      </c>
      <c r="E26">
        <v>0</v>
      </c>
      <c r="F26">
        <v>2.94</v>
      </c>
      <c r="G26">
        <v>0.69</v>
      </c>
      <c r="H26" s="7">
        <f>((Table1[[#This Row],[OUT STANDING]]+Table1[[#This Row],[FISIK]]))-(Table1[[#This Row],[ORDER]])</f>
        <v>2.25</v>
      </c>
    </row>
    <row r="27" spans="1:11" hidden="1" x14ac:dyDescent="0.25">
      <c r="A27" s="7">
        <v>25</v>
      </c>
      <c r="B27" t="s">
        <v>209</v>
      </c>
      <c r="C27" t="s">
        <v>11</v>
      </c>
      <c r="D27">
        <v>0</v>
      </c>
      <c r="E27">
        <v>0</v>
      </c>
      <c r="F27">
        <v>1.72</v>
      </c>
      <c r="G27">
        <v>0.29199999999999998</v>
      </c>
      <c r="H27" s="7">
        <f>((Table1[[#This Row],[OUT STANDING]]+Table1[[#This Row],[FISIK]]))-(Table1[[#This Row],[ORDER]])</f>
        <v>1.4279999999999999</v>
      </c>
    </row>
    <row r="28" spans="1:11" x14ac:dyDescent="0.25">
      <c r="A28" s="7">
        <v>26</v>
      </c>
      <c r="B28" t="s">
        <v>205</v>
      </c>
      <c r="C28" t="s">
        <v>11</v>
      </c>
      <c r="D28">
        <v>20</v>
      </c>
      <c r="E28">
        <v>0</v>
      </c>
      <c r="F28">
        <v>15.2</v>
      </c>
      <c r="G28">
        <v>1.2</v>
      </c>
      <c r="H28" s="7">
        <f>((Table1[[#This Row],[OUT STANDING]]+Table1[[#This Row],[FISIK]]))-(Table1[[#This Row],[ORDER]])</f>
        <v>14</v>
      </c>
      <c r="K28">
        <v>1.2</v>
      </c>
    </row>
    <row r="29" spans="1:11" hidden="1" x14ac:dyDescent="0.25">
      <c r="A29" s="7">
        <v>27</v>
      </c>
      <c r="B29" t="s">
        <v>221</v>
      </c>
      <c r="C29" t="s">
        <v>9</v>
      </c>
      <c r="D29">
        <v>347</v>
      </c>
      <c r="E29">
        <v>174</v>
      </c>
      <c r="F29">
        <v>5</v>
      </c>
      <c r="H29" s="7">
        <f>((Table1[[#This Row],[OUT STANDING]]+Table1[[#This Row],[FISIK]]))-(Table1[[#This Row],[ORDER]])</f>
        <v>179</v>
      </c>
    </row>
    <row r="30" spans="1:11" hidden="1" x14ac:dyDescent="0.25">
      <c r="A30" s="7">
        <v>28</v>
      </c>
      <c r="B30" t="s">
        <v>222</v>
      </c>
      <c r="C30" t="s">
        <v>11</v>
      </c>
      <c r="D30">
        <v>0</v>
      </c>
      <c r="F30">
        <v>4.5999999999999996</v>
      </c>
      <c r="G30">
        <v>2.2000000000000002</v>
      </c>
      <c r="H30" s="7">
        <f>((Table1[[#This Row],[OUT STANDING]]+Table1[[#This Row],[FISIK]]))-(Table1[[#This Row],[ORDER]])</f>
        <v>2.3999999999999995</v>
      </c>
    </row>
    <row r="31" spans="1:11" hidden="1" x14ac:dyDescent="0.25">
      <c r="A31" s="7">
        <v>29</v>
      </c>
      <c r="B31" t="s">
        <v>223</v>
      </c>
      <c r="C31" t="s">
        <v>11</v>
      </c>
      <c r="D31">
        <v>0</v>
      </c>
      <c r="F31">
        <v>32</v>
      </c>
      <c r="H31" s="7">
        <f>((Table1[[#This Row],[OUT STANDING]]+Table1[[#This Row],[FISIK]]))-(Table1[[#This Row],[ORDER]])</f>
        <v>32</v>
      </c>
    </row>
    <row r="32" spans="1:11" hidden="1" x14ac:dyDescent="0.25">
      <c r="A32" s="7">
        <v>30</v>
      </c>
      <c r="B32" t="s">
        <v>231</v>
      </c>
      <c r="C32" t="s">
        <v>11</v>
      </c>
      <c r="G32">
        <v>23</v>
      </c>
      <c r="H32" s="7">
        <f>((Table1[[#This Row],[OUT STANDING]]+Table1[[#This Row],[FISIK]]))-(Table1[[#This Row],[ORDER]])</f>
        <v>-23</v>
      </c>
    </row>
    <row r="33" spans="1:8" hidden="1" x14ac:dyDescent="0.25">
      <c r="A33" s="7">
        <v>31</v>
      </c>
      <c r="B33" t="s">
        <v>232</v>
      </c>
      <c r="C33" t="s">
        <v>11</v>
      </c>
      <c r="G33">
        <v>23</v>
      </c>
      <c r="H33" s="7">
        <f>((Table1[[#This Row],[OUT STANDING]]+Table1[[#This Row],[FISIK]]))-(Table1[[#This Row],[ORDER]])</f>
        <v>-23</v>
      </c>
    </row>
    <row r="34" spans="1:8" hidden="1" x14ac:dyDescent="0.25">
      <c r="A34" s="7">
        <v>32</v>
      </c>
      <c r="B34" t="s">
        <v>233</v>
      </c>
      <c r="C34" t="s">
        <v>11</v>
      </c>
      <c r="G34">
        <v>0.46</v>
      </c>
      <c r="H34" s="7">
        <f>((Table1[[#This Row],[OUT STANDING]]+Table1[[#This Row],[FISIK]]))-(Table1[[#This Row],[ORDER]])</f>
        <v>-0.46</v>
      </c>
    </row>
    <row r="35" spans="1:8" hidden="1" x14ac:dyDescent="0.25">
      <c r="A35" s="7">
        <v>33</v>
      </c>
      <c r="B35" t="s">
        <v>234</v>
      </c>
      <c r="C35" t="s">
        <v>11</v>
      </c>
      <c r="G35">
        <v>0.23</v>
      </c>
      <c r="H35" s="7">
        <f>((Table1[[#This Row],[OUT STANDING]]+Table1[[#This Row],[FISIK]]))-(Table1[[#This Row],[ORDER]])</f>
        <v>-0.23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 JAN 2021</vt:lpstr>
      <vt:lpstr>Sheet1</vt:lpstr>
      <vt:lpstr>Outstanding Shrimp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2020-12-29T09:52:14Z</dcterms:created>
  <dcterms:modified xsi:type="dcterms:W3CDTF">2021-01-18T04:51:59Z</dcterms:modified>
</cp:coreProperties>
</file>