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L:\Elections - General Election\"/>
    </mc:Choice>
  </mc:AlternateContent>
  <bookViews>
    <workbookView xWindow="0" yWindow="0" windowWidth="28800" windowHeight="12435" tabRatio="956" firstSheet="13" activeTab="28"/>
  </bookViews>
  <sheets>
    <sheet name="1905" sheetId="62" r:id="rId1"/>
    <sheet name="1909" sheetId="61" r:id="rId2"/>
    <sheet name="1913" sheetId="60" r:id="rId3"/>
    <sheet name="1917" sheetId="59" r:id="rId4"/>
    <sheet name="1921" sheetId="58" r:id="rId5"/>
    <sheet name="1926" sheetId="57" r:id="rId6"/>
    <sheet name="1930" sheetId="40" r:id="rId7"/>
    <sheet name="1935" sheetId="39" r:id="rId8"/>
    <sheet name="1940" sheetId="56" r:id="rId9"/>
    <sheet name="1944" sheetId="55" r:id="rId10"/>
    <sheet name="1948" sheetId="54" r:id="rId11"/>
    <sheet name="1952" sheetId="53" r:id="rId12"/>
    <sheet name="1955" sheetId="52" r:id="rId13"/>
    <sheet name="1959" sheetId="51" r:id="rId14"/>
    <sheet name="1963" sheetId="50" r:id="rId15"/>
    <sheet name="1967" sheetId="49" r:id="rId16"/>
    <sheet name="1971" sheetId="48" r:id="rId17"/>
    <sheet name="1975" sheetId="47" r:id="rId18"/>
    <sheet name="1979" sheetId="46" r:id="rId19"/>
    <sheet name="1982" sheetId="26" r:id="rId20"/>
    <sheet name="1986" sheetId="25" r:id="rId21"/>
    <sheet name="1989" sheetId="24" r:id="rId22"/>
    <sheet name="1993" sheetId="1" r:id="rId23"/>
    <sheet name="1997" sheetId="23" r:id="rId24"/>
    <sheet name="2001" sheetId="22" r:id="rId25"/>
    <sheet name="2004" sheetId="41" r:id="rId26"/>
    <sheet name="2008" sheetId="42" r:id="rId27"/>
    <sheet name="2012" sheetId="44" r:id="rId28"/>
    <sheet name="2015" sheetId="45" r:id="rId29"/>
  </sheets>
  <externalReferences>
    <externalReference r:id="rId30"/>
  </externalReferences>
  <definedNames>
    <definedName name="_xlnm.Print_Area" localSheetId="0">'1905'!$A$1:$H$95</definedName>
    <definedName name="_xlnm.Print_Area" localSheetId="1">'1909'!$A$1:$H$132</definedName>
    <definedName name="_xlnm.Print_Area" localSheetId="2">'1913'!$A$1:$H$203</definedName>
    <definedName name="_xlnm.Print_Area" localSheetId="3">'1917'!$A$1:$H$254</definedName>
    <definedName name="_xlnm.Print_Area" localSheetId="4">'1921'!$A$1:$H$275</definedName>
    <definedName name="_xlnm.Print_Area" localSheetId="5">'1926'!$A$1:$H$354</definedName>
    <definedName name="_xlnm.Print_Area" localSheetId="6">'1930'!$A$1:$H$293</definedName>
    <definedName name="_xlnm.Print_Area" localSheetId="7">'1935'!$A$1:$H$405</definedName>
    <definedName name="_xlnm.Print_Area" localSheetId="19">'1982'!$A$1:$H$514</definedName>
    <definedName name="_xlnm.Print_Area" localSheetId="20">'1986'!$A$1:$H$511</definedName>
    <definedName name="_xlnm.Print_Area" localSheetId="21">'1989'!$A$1:$H$445</definedName>
    <definedName name="_xlnm.Print_Area" localSheetId="22">'1993'!$A$1:$H$560</definedName>
    <definedName name="_xlnm.Print_Area" localSheetId="23">'1997'!$A$1:$H$525</definedName>
    <definedName name="_xlnm.Print_Area" localSheetId="24">'2001'!$A$1:$H$496</definedName>
    <definedName name="_xlnm.Print_Titles" localSheetId="0">'1905'!$2:$4</definedName>
    <definedName name="_xlnm.Print_Titles" localSheetId="1">'1909'!$2:$4</definedName>
    <definedName name="_xlnm.Print_Titles" localSheetId="2">'1913'!$2:$4</definedName>
    <definedName name="_xlnm.Print_Titles" localSheetId="3">'1917'!$2:$4</definedName>
    <definedName name="_xlnm.Print_Titles" localSheetId="4">'1921'!$2:$4</definedName>
    <definedName name="_xlnm.Print_Titles" localSheetId="5">'1926'!$2:$4</definedName>
    <definedName name="_xlnm.Print_Titles" localSheetId="6">'1930'!$2:$4</definedName>
    <definedName name="_xlnm.Print_Titles" localSheetId="7">'1935'!$2:$4</definedName>
    <definedName name="_xlnm.Print_Titles" localSheetId="19">'1982'!$2:$4</definedName>
    <definedName name="_xlnm.Print_Titles" localSheetId="20">'1986'!$2:$4</definedName>
    <definedName name="_xlnm.Print_Titles" localSheetId="21">'1989'!$2:$4</definedName>
    <definedName name="_xlnm.Print_Titles" localSheetId="22">'1993'!$2:$4</definedName>
    <definedName name="_xlnm.Print_Titles" localSheetId="23">'1997'!$2:$4</definedName>
    <definedName name="_xlnm.Print_Titles" localSheetId="24">'2001'!$2:$4</definedName>
    <definedName name="_xlnm.Print_Titles" localSheetId="25">'2004'!$2:$4</definedName>
    <definedName name="_xlnm.Print_Titles" localSheetId="26">'2008'!$1:$3</definedName>
    <definedName name="_xlnm.Print_Titles" localSheetId="27">'2012'!$1:$3</definedName>
  </definedNames>
  <calcPr calcId="152511"/>
</workbook>
</file>

<file path=xl/calcChain.xml><?xml version="1.0" encoding="utf-8"?>
<calcChain xmlns="http://schemas.openxmlformats.org/spreadsheetml/2006/main">
  <c r="G86" i="62" l="1"/>
  <c r="H86" i="62" s="1"/>
  <c r="G123" i="61"/>
  <c r="H123" i="61" s="1"/>
  <c r="G194" i="60" l="1"/>
  <c r="H194" i="60" s="1"/>
  <c r="G245" i="59"/>
  <c r="H245" i="59" s="1"/>
  <c r="E292" i="52"/>
  <c r="E244" i="52"/>
  <c r="E100" i="52"/>
  <c r="F339" i="51"/>
  <c r="F161" i="51"/>
  <c r="F39" i="51"/>
  <c r="F350" i="51"/>
  <c r="F345" i="51"/>
  <c r="F335" i="51"/>
  <c r="F329" i="51"/>
  <c r="F323" i="51"/>
  <c r="F313" i="51"/>
  <c r="F307" i="51"/>
  <c r="F301" i="51"/>
  <c r="F272" i="51"/>
  <c r="F295" i="51"/>
  <c r="F290" i="51"/>
  <c r="F267" i="51"/>
  <c r="F284" i="51"/>
  <c r="F278" i="51"/>
  <c r="F261" i="51"/>
  <c r="F256" i="51"/>
  <c r="F251" i="51"/>
  <c r="F247" i="51"/>
  <c r="F242" i="51"/>
  <c r="F237" i="51"/>
  <c r="F232" i="51"/>
  <c r="F227" i="51"/>
  <c r="F223" i="51"/>
  <c r="F218" i="51"/>
  <c r="E212" i="51"/>
  <c r="F207" i="51"/>
  <c r="F202" i="51"/>
  <c r="F197" i="51"/>
  <c r="F192" i="51"/>
  <c r="F186" i="51"/>
  <c r="E181" i="51"/>
  <c r="F171" i="51"/>
  <c r="F166" i="51"/>
  <c r="F156" i="51"/>
  <c r="F151" i="51"/>
  <c r="F133" i="51"/>
  <c r="F146" i="51"/>
  <c r="F140" i="51"/>
  <c r="F121" i="51"/>
  <c r="F100" i="51"/>
  <c r="F86" i="51"/>
  <c r="F80" i="51"/>
  <c r="F68" i="51"/>
  <c r="F56" i="51"/>
  <c r="F51" i="51"/>
  <c r="F45" i="51"/>
  <c r="F24" i="51"/>
  <c r="F354" i="50"/>
  <c r="F348" i="50"/>
  <c r="F343" i="50"/>
  <c r="F338" i="50"/>
  <c r="F333" i="50"/>
  <c r="F326" i="50"/>
  <c r="F318" i="50"/>
  <c r="F312" i="50"/>
  <c r="F306" i="50"/>
  <c r="F295" i="50"/>
  <c r="F288" i="50"/>
  <c r="F277" i="50"/>
  <c r="F272" i="50"/>
  <c r="F301" i="50"/>
  <c r="F283" i="50"/>
  <c r="F267" i="50"/>
  <c r="F262" i="50"/>
  <c r="F256" i="50"/>
  <c r="F250" i="50"/>
  <c r="F245" i="50"/>
  <c r="F239" i="50"/>
  <c r="F232" i="50"/>
  <c r="F227" i="50"/>
  <c r="F222" i="50"/>
  <c r="F216" i="50"/>
  <c r="F205" i="50"/>
  <c r="F200" i="50"/>
  <c r="F195" i="50"/>
  <c r="F182" i="50"/>
  <c r="F187" i="50"/>
  <c r="F170" i="50"/>
  <c r="F166" i="50"/>
  <c r="F161" i="50"/>
  <c r="F156" i="50"/>
  <c r="F151" i="50"/>
  <c r="F145" i="50"/>
  <c r="F138" i="50"/>
  <c r="F132" i="50"/>
  <c r="F121" i="50"/>
  <c r="F115" i="50"/>
  <c r="F100" i="50"/>
  <c r="F85" i="50"/>
  <c r="F79" i="50"/>
  <c r="F68" i="50"/>
  <c r="F54" i="50"/>
  <c r="F48" i="50"/>
  <c r="F42" i="50"/>
  <c r="F36" i="50"/>
  <c r="F19" i="50"/>
  <c r="F333" i="49"/>
  <c r="F327" i="49"/>
  <c r="F321" i="49"/>
  <c r="F339" i="49"/>
  <c r="F292" i="49"/>
  <c r="F274" i="49"/>
  <c r="F241" i="49"/>
  <c r="F230" i="49"/>
  <c r="F236" i="49"/>
  <c r="F201" i="49"/>
  <c r="F195" i="49"/>
  <c r="F179" i="49"/>
  <c r="F148" i="49"/>
  <c r="F369" i="49"/>
  <c r="F365" i="49"/>
  <c r="F360" i="49"/>
  <c r="F356" i="49"/>
  <c r="F351" i="49"/>
  <c r="F345" i="49"/>
  <c r="F315" i="49"/>
  <c r="F309" i="49"/>
  <c r="F303" i="49"/>
  <c r="F280" i="49"/>
  <c r="F297" i="49"/>
  <c r="F286" i="49"/>
  <c r="F269" i="49"/>
  <c r="F264" i="49"/>
  <c r="F258" i="49"/>
  <c r="F253" i="49"/>
  <c r="F247" i="49"/>
  <c r="F224" i="49"/>
  <c r="F212" i="49"/>
  <c r="F207" i="49"/>
  <c r="F190" i="49"/>
  <c r="F174" i="49"/>
  <c r="F169" i="49"/>
  <c r="F164" i="49"/>
  <c r="F159" i="49"/>
  <c r="F153" i="49"/>
  <c r="F141" i="49"/>
  <c r="F129" i="49"/>
  <c r="F122" i="49"/>
  <c r="F105" i="49"/>
  <c r="F89" i="49"/>
  <c r="F83" i="49"/>
  <c r="F65" i="49"/>
  <c r="F53" i="49"/>
  <c r="F47" i="49"/>
  <c r="F41" i="49"/>
  <c r="F35" i="49"/>
  <c r="F19" i="49"/>
  <c r="F391" i="48" l="1"/>
  <c r="F385" i="48"/>
  <c r="F380" i="48"/>
  <c r="F375" i="48"/>
  <c r="F370" i="48"/>
  <c r="F365" i="48"/>
  <c r="F360" i="48"/>
  <c r="F347" i="48"/>
  <c r="F356" i="48"/>
  <c r="F351" i="48"/>
  <c r="F341" i="48"/>
  <c r="F335" i="48"/>
  <c r="F329" i="48"/>
  <c r="F324" i="48"/>
  <c r="F319" i="48"/>
  <c r="F314" i="48"/>
  <c r="F308" i="48"/>
  <c r="F302" i="48"/>
  <c r="F297" i="48"/>
  <c r="F292" i="48"/>
  <c r="F287" i="48"/>
  <c r="F276" i="48"/>
  <c r="F271" i="48"/>
  <c r="F266" i="48"/>
  <c r="F261" i="48"/>
  <c r="F256" i="48"/>
  <c r="F249" i="48"/>
  <c r="F239" i="48"/>
  <c r="F235" i="48"/>
  <c r="F230" i="48"/>
  <c r="F225" i="48"/>
  <c r="F220" i="48"/>
  <c r="F215" i="48"/>
  <c r="F209" i="48"/>
  <c r="F204" i="48"/>
  <c r="F198" i="48"/>
  <c r="F193" i="48"/>
  <c r="F188" i="48"/>
  <c r="F177" i="48"/>
  <c r="F171" i="48"/>
  <c r="F165" i="48"/>
  <c r="F160" i="48"/>
  <c r="F154" i="48"/>
  <c r="F148" i="48"/>
  <c r="F143" i="48"/>
  <c r="F137" i="48"/>
  <c r="F132" i="48"/>
  <c r="F121" i="48"/>
  <c r="F116" i="48"/>
  <c r="F102" i="48"/>
  <c r="F97" i="48"/>
  <c r="F85" i="48"/>
  <c r="F74" i="48"/>
  <c r="F62" i="48"/>
  <c r="F57" i="48"/>
  <c r="F42" i="48"/>
  <c r="F37" i="48"/>
  <c r="F32" i="48"/>
  <c r="F13" i="48"/>
  <c r="F446" i="47"/>
  <c r="F441" i="47"/>
  <c r="F269" i="47"/>
  <c r="F232" i="47"/>
  <c r="F435" i="47"/>
  <c r="F430" i="47"/>
  <c r="F425" i="47"/>
  <c r="F420" i="47"/>
  <c r="F414" i="47"/>
  <c r="F382" i="47"/>
  <c r="F409" i="47"/>
  <c r="F402" i="47"/>
  <c r="F376" i="47"/>
  <c r="F397" i="47"/>
  <c r="F393" i="47"/>
  <c r="F370" i="47"/>
  <c r="F365" i="47"/>
  <c r="F360" i="47"/>
  <c r="F354" i="47"/>
  <c r="F349" i="47"/>
  <c r="F343" i="47"/>
  <c r="F337" i="47"/>
  <c r="F332" i="47"/>
  <c r="F319" i="47"/>
  <c r="F315" i="47"/>
  <c r="F309" i="47"/>
  <c r="F304" i="47"/>
  <c r="F298" i="47"/>
  <c r="F286" i="47"/>
  <c r="F281" i="47"/>
  <c r="F275" i="47"/>
  <c r="F263" i="47"/>
  <c r="F257" i="47"/>
  <c r="F252" i="47"/>
  <c r="F246" i="47"/>
  <c r="F238" i="47"/>
  <c r="F227" i="47"/>
  <c r="F221" i="47"/>
  <c r="F209" i="47"/>
  <c r="F203" i="47"/>
  <c r="F197" i="47"/>
  <c r="F190" i="47"/>
  <c r="F184" i="47"/>
  <c r="F178" i="47"/>
  <c r="F172" i="47"/>
  <c r="E172" i="47"/>
  <c r="F165" i="47"/>
  <c r="F158" i="47"/>
  <c r="F146" i="47"/>
  <c r="F140" i="47"/>
  <c r="F123" i="47"/>
  <c r="F118" i="47"/>
  <c r="F105" i="47"/>
  <c r="F90" i="47"/>
  <c r="F77" i="47"/>
  <c r="F71" i="47"/>
  <c r="F51" i="47"/>
  <c r="F45" i="47"/>
  <c r="F38" i="47"/>
  <c r="F15" i="47"/>
  <c r="F495" i="46" l="1"/>
  <c r="E495" i="46"/>
  <c r="F490" i="46"/>
  <c r="E490" i="46"/>
  <c r="F484" i="46"/>
  <c r="E484" i="46"/>
  <c r="F478" i="46"/>
  <c r="E478" i="46"/>
  <c r="F472" i="46"/>
  <c r="E472" i="46"/>
  <c r="F466" i="46"/>
  <c r="E466" i="46"/>
  <c r="F460" i="46"/>
  <c r="E460" i="46"/>
  <c r="F448" i="46"/>
  <c r="E448" i="46"/>
  <c r="F454" i="46"/>
  <c r="E454" i="46"/>
  <c r="F441" i="46"/>
  <c r="E441" i="46"/>
  <c r="F435" i="46"/>
  <c r="E435" i="46"/>
  <c r="F429" i="46"/>
  <c r="E429" i="46"/>
  <c r="F423" i="46"/>
  <c r="E423" i="46"/>
  <c r="F417" i="46"/>
  <c r="E417" i="46"/>
  <c r="F411" i="46"/>
  <c r="E411" i="46"/>
  <c r="F405" i="46"/>
  <c r="E405" i="46"/>
  <c r="F399" i="46"/>
  <c r="E399" i="46"/>
  <c r="F393" i="46"/>
  <c r="F387" i="46"/>
  <c r="E387" i="46"/>
  <c r="F381" i="46"/>
  <c r="E381" i="46"/>
  <c r="F375" i="46"/>
  <c r="E375" i="46"/>
  <c r="E369" i="46"/>
  <c r="F363" i="46"/>
  <c r="E363" i="46"/>
  <c r="F357" i="46"/>
  <c r="E357" i="46"/>
  <c r="F351" i="46"/>
  <c r="E351" i="46"/>
  <c r="F345" i="46"/>
  <c r="E345" i="46"/>
  <c r="F338" i="46"/>
  <c r="E338" i="46"/>
  <c r="F325" i="46" l="1"/>
  <c r="E325" i="46"/>
  <c r="F319" i="46"/>
  <c r="E319" i="46"/>
  <c r="F313" i="46"/>
  <c r="E313" i="46"/>
  <c r="F307" i="46"/>
  <c r="E307" i="46"/>
  <c r="F301" i="46"/>
  <c r="E301" i="46"/>
  <c r="F295" i="46"/>
  <c r="E295" i="46"/>
  <c r="F289" i="46"/>
  <c r="E289" i="46"/>
  <c r="F281" i="46"/>
  <c r="E281" i="46"/>
  <c r="F275" i="46"/>
  <c r="E275" i="46"/>
  <c r="F269" i="46"/>
  <c r="E269" i="46"/>
  <c r="F262" i="46"/>
  <c r="E262" i="46"/>
  <c r="F256" i="46"/>
  <c r="E256" i="46"/>
  <c r="E249" i="46"/>
  <c r="F242" i="46"/>
  <c r="E242" i="46"/>
  <c r="F236" i="46"/>
  <c r="E236" i="46"/>
  <c r="F228" i="46"/>
  <c r="E228" i="46"/>
  <c r="F222" i="46"/>
  <c r="E222" i="46"/>
  <c r="E216" i="46"/>
  <c r="F210" i="46"/>
  <c r="E210" i="46"/>
  <c r="F204" i="46"/>
  <c r="E204" i="46"/>
  <c r="F198" i="46"/>
  <c r="E198" i="46"/>
  <c r="F192" i="46"/>
  <c r="E192" i="46"/>
  <c r="F186" i="46"/>
  <c r="E186" i="46"/>
  <c r="E180" i="46"/>
  <c r="F173" i="46"/>
  <c r="E173" i="46"/>
  <c r="F167" i="46"/>
  <c r="E167" i="46"/>
  <c r="E161" i="46"/>
  <c r="F155" i="46"/>
  <c r="E155" i="46"/>
  <c r="E149" i="46"/>
  <c r="F143" i="46"/>
  <c r="E143" i="46"/>
  <c r="F137" i="46"/>
  <c r="E137" i="46"/>
  <c r="F130" i="46"/>
  <c r="E130" i="46"/>
  <c r="E124" i="46"/>
  <c r="F117" i="46"/>
  <c r="E117" i="46"/>
  <c r="E111" i="46"/>
  <c r="F105" i="46"/>
  <c r="E105" i="46"/>
  <c r="E99" i="46"/>
  <c r="F92" i="46"/>
  <c r="E92" i="46"/>
  <c r="F86" i="46"/>
  <c r="E86" i="46"/>
  <c r="F78" i="46"/>
  <c r="E78" i="46"/>
  <c r="F72" i="46"/>
  <c r="E72" i="46"/>
  <c r="E66" i="46"/>
  <c r="E60" i="46"/>
  <c r="F54" i="46"/>
  <c r="E54" i="46"/>
  <c r="F48" i="46"/>
  <c r="E48" i="46"/>
  <c r="F41" i="46"/>
  <c r="E41" i="46"/>
  <c r="F34" i="46"/>
  <c r="E34" i="46"/>
  <c r="E28" i="46"/>
  <c r="F21" i="46"/>
  <c r="E21" i="46"/>
  <c r="F15" i="46"/>
  <c r="E15" i="46"/>
  <c r="E9" i="46"/>
  <c r="F9" i="46"/>
  <c r="G498" i="46"/>
  <c r="H498" i="46" s="1"/>
  <c r="F576" i="45" l="1"/>
  <c r="G611" i="44" l="1"/>
  <c r="H611" i="44" s="1"/>
  <c r="F607" i="44"/>
  <c r="F606" i="44"/>
  <c r="F605" i="44"/>
  <c r="F608" i="44" s="1"/>
  <c r="F604" i="44"/>
  <c r="F601" i="44"/>
  <c r="F600" i="44"/>
  <c r="F599" i="44"/>
  <c r="F598" i="44"/>
  <c r="F597" i="44"/>
  <c r="F594" i="44"/>
  <c r="F593" i="44"/>
  <c r="F592" i="44"/>
  <c r="F591" i="44"/>
  <c r="F590" i="44"/>
  <c r="F587" i="44"/>
  <c r="F586" i="44"/>
  <c r="F585" i="44"/>
  <c r="F584" i="44"/>
  <c r="F583" i="44"/>
  <c r="F588" i="44" s="1"/>
  <c r="F580" i="44"/>
  <c r="F579" i="44"/>
  <c r="F578" i="44"/>
  <c r="F577" i="44"/>
  <c r="F576" i="44"/>
  <c r="F573" i="44"/>
  <c r="F572" i="44"/>
  <c r="F571" i="44"/>
  <c r="F570" i="44"/>
  <c r="F567" i="44"/>
  <c r="F566" i="44"/>
  <c r="F565" i="44"/>
  <c r="F564" i="44"/>
  <c r="F563" i="44"/>
  <c r="F562" i="44"/>
  <c r="F568" i="44" s="1"/>
  <c r="F559" i="44"/>
  <c r="F558" i="44"/>
  <c r="F557" i="44"/>
  <c r="F556" i="44"/>
  <c r="F560" i="44" s="1"/>
  <c r="F553" i="44"/>
  <c r="F552" i="44"/>
  <c r="F551" i="44"/>
  <c r="F550" i="44"/>
  <c r="F549" i="44"/>
  <c r="F548" i="44"/>
  <c r="F547" i="44"/>
  <c r="F554" i="44" s="1"/>
  <c r="F544" i="44"/>
  <c r="F543" i="44"/>
  <c r="F542" i="44"/>
  <c r="F541" i="44"/>
  <c r="F540" i="44"/>
  <c r="F537" i="44"/>
  <c r="F536" i="44"/>
  <c r="F535" i="44"/>
  <c r="F534" i="44"/>
  <c r="F531" i="44"/>
  <c r="F530" i="44"/>
  <c r="F529" i="44"/>
  <c r="F528" i="44"/>
  <c r="F527" i="44"/>
  <c r="F524" i="44"/>
  <c r="F523" i="44"/>
  <c r="F522" i="44"/>
  <c r="F521" i="44"/>
  <c r="F520" i="44"/>
  <c r="F525" i="44" s="1"/>
  <c r="F517" i="44"/>
  <c r="F516" i="44"/>
  <c r="F515" i="44"/>
  <c r="F514" i="44"/>
  <c r="F518" i="44" s="1"/>
  <c r="F511" i="44"/>
  <c r="F510" i="44"/>
  <c r="F509" i="44"/>
  <c r="F508" i="44"/>
  <c r="F505" i="44"/>
  <c r="F504" i="44"/>
  <c r="F503" i="44"/>
  <c r="F502" i="44"/>
  <c r="F501" i="44"/>
  <c r="F498" i="44"/>
  <c r="F497" i="44"/>
  <c r="F496" i="44"/>
  <c r="F495" i="44"/>
  <c r="F494" i="44"/>
  <c r="F491" i="44"/>
  <c r="F490" i="44"/>
  <c r="F489" i="44"/>
  <c r="F488" i="44"/>
  <c r="F485" i="44"/>
  <c r="F484" i="44"/>
  <c r="F483" i="44"/>
  <c r="F482" i="44"/>
  <c r="F481" i="44"/>
  <c r="F486" i="44" s="1"/>
  <c r="F478" i="44"/>
  <c r="F477" i="44"/>
  <c r="F476" i="44"/>
  <c r="F475" i="44"/>
  <c r="F472" i="44"/>
  <c r="F471" i="44"/>
  <c r="F470" i="44"/>
  <c r="F469" i="44"/>
  <c r="F468" i="44"/>
  <c r="F465" i="44"/>
  <c r="F464" i="44"/>
  <c r="F463" i="44"/>
  <c r="F462" i="44"/>
  <c r="F461" i="44"/>
  <c r="F460" i="44"/>
  <c r="F466" i="44" s="1"/>
  <c r="F457" i="44"/>
  <c r="F456" i="44"/>
  <c r="F455" i="44"/>
  <c r="F454" i="44"/>
  <c r="F453" i="44"/>
  <c r="F458" i="44" s="1"/>
  <c r="F450" i="44"/>
  <c r="F449" i="44"/>
  <c r="F448" i="44"/>
  <c r="F447" i="44"/>
  <c r="F444" i="44"/>
  <c r="F443" i="44"/>
  <c r="F442" i="44"/>
  <c r="F441" i="44"/>
  <c r="F440" i="44"/>
  <c r="F437" i="44"/>
  <c r="F436" i="44"/>
  <c r="F435" i="44"/>
  <c r="F434" i="44"/>
  <c r="F438" i="44"/>
  <c r="F431" i="44"/>
  <c r="F430" i="44"/>
  <c r="F429" i="44"/>
  <c r="F428" i="44"/>
  <c r="F427" i="44"/>
  <c r="F424" i="44"/>
  <c r="F423" i="44"/>
  <c r="F422" i="44"/>
  <c r="F425" i="44" s="1"/>
  <c r="F421" i="44"/>
  <c r="F420" i="44"/>
  <c r="F417" i="44"/>
  <c r="F416" i="44"/>
  <c r="F415" i="44"/>
  <c r="F414" i="44"/>
  <c r="F413" i="44"/>
  <c r="F412" i="44"/>
  <c r="F409" i="44"/>
  <c r="F408" i="44"/>
  <c r="F407" i="44"/>
  <c r="F406" i="44"/>
  <c r="F403" i="44"/>
  <c r="F402" i="44"/>
  <c r="F401" i="44"/>
  <c r="F400" i="44"/>
  <c r="F397" i="44"/>
  <c r="F396" i="44"/>
  <c r="F395" i="44"/>
  <c r="F394" i="44"/>
  <c r="F393" i="44"/>
  <c r="F390" i="44"/>
  <c r="F389" i="44"/>
  <c r="F388" i="44"/>
  <c r="F387" i="44"/>
  <c r="F386" i="44"/>
  <c r="F391" i="44" s="1"/>
  <c r="F383" i="44"/>
  <c r="F382" i="44"/>
  <c r="F381" i="44"/>
  <c r="F380" i="44"/>
  <c r="F379" i="44"/>
  <c r="F376" i="44"/>
  <c r="F375" i="44"/>
  <c r="F374" i="44"/>
  <c r="F373" i="44"/>
  <c r="F372" i="44"/>
  <c r="F371" i="44"/>
  <c r="F368" i="44"/>
  <c r="F367" i="44"/>
  <c r="F366" i="44"/>
  <c r="F365" i="44"/>
  <c r="F364" i="44"/>
  <c r="F369" i="44" s="1"/>
  <c r="F361" i="44"/>
  <c r="F360" i="44"/>
  <c r="F359" i="44"/>
  <c r="F358" i="44"/>
  <c r="F357" i="44"/>
  <c r="F356" i="44"/>
  <c r="F353" i="44"/>
  <c r="F352" i="44"/>
  <c r="F351" i="44"/>
  <c r="F350" i="44"/>
  <c r="F349" i="44"/>
  <c r="F348" i="44"/>
  <c r="F345" i="44"/>
  <c r="F344" i="44"/>
  <c r="F343" i="44"/>
  <c r="F346" i="44" s="1"/>
  <c r="F342" i="44"/>
  <c r="F341" i="44"/>
  <c r="F338" i="44"/>
  <c r="F337" i="44"/>
  <c r="F336" i="44"/>
  <c r="F335" i="44"/>
  <c r="F334" i="44"/>
  <c r="F333" i="44"/>
  <c r="F330" i="44"/>
  <c r="F329" i="44"/>
  <c r="F328" i="44"/>
  <c r="F327" i="44"/>
  <c r="F326" i="44"/>
  <c r="F325" i="44"/>
  <c r="F324" i="44"/>
  <c r="F331" i="44" s="1"/>
  <c r="F321" i="44"/>
  <c r="F320" i="44"/>
  <c r="F319" i="44"/>
  <c r="F318" i="44"/>
  <c r="F317" i="44"/>
  <c r="F316" i="44"/>
  <c r="F313" i="44"/>
  <c r="F312" i="44"/>
  <c r="F311" i="44"/>
  <c r="F310" i="44"/>
  <c r="F309" i="44"/>
  <c r="F308" i="44"/>
  <c r="F314" i="44" s="1"/>
  <c r="F305" i="44"/>
  <c r="F304" i="44"/>
  <c r="F303" i="44"/>
  <c r="F302" i="44"/>
  <c r="F301" i="44"/>
  <c r="F298" i="44"/>
  <c r="F297" i="44"/>
  <c r="F296" i="44"/>
  <c r="F295" i="44"/>
  <c r="F294" i="44"/>
  <c r="F293" i="44"/>
  <c r="F290" i="44"/>
  <c r="F289" i="44"/>
  <c r="F288" i="44"/>
  <c r="F287" i="44"/>
  <c r="F284" i="44"/>
  <c r="F283" i="44"/>
  <c r="F282" i="44"/>
  <c r="F281" i="44"/>
  <c r="F285" i="44"/>
  <c r="F278" i="44"/>
  <c r="F277" i="44"/>
  <c r="F276" i="44"/>
  <c r="F275" i="44"/>
  <c r="F274" i="44"/>
  <c r="F271" i="44"/>
  <c r="F270" i="44"/>
  <c r="F269" i="44"/>
  <c r="F268" i="44"/>
  <c r="F267" i="44"/>
  <c r="F266" i="44"/>
  <c r="F263" i="44"/>
  <c r="F262" i="44"/>
  <c r="F261" i="44"/>
  <c r="F260" i="44"/>
  <c r="F259" i="44"/>
  <c r="F264" i="44" s="1"/>
  <c r="F256" i="44"/>
  <c r="F255" i="44"/>
  <c r="F254" i="44"/>
  <c r="F253" i="44"/>
  <c r="F257" i="44" s="1"/>
  <c r="F250" i="44"/>
  <c r="F249" i="44"/>
  <c r="F248" i="44"/>
  <c r="F247" i="44"/>
  <c r="F246" i="44"/>
  <c r="F243" i="44"/>
  <c r="F242" i="44"/>
  <c r="F241" i="44"/>
  <c r="F240" i="44"/>
  <c r="F237" i="44"/>
  <c r="F236" i="44"/>
  <c r="F238" i="44" s="1"/>
  <c r="F235" i="44"/>
  <c r="F234" i="44"/>
  <c r="F230" i="44"/>
  <c r="F229" i="44"/>
  <c r="F228" i="44"/>
  <c r="F227" i="44"/>
  <c r="F224" i="44"/>
  <c r="F223" i="44"/>
  <c r="F222" i="44"/>
  <c r="F221" i="44"/>
  <c r="F218" i="44"/>
  <c r="F217" i="44"/>
  <c r="F216" i="44"/>
  <c r="F215" i="44"/>
  <c r="F214" i="44"/>
  <c r="F213" i="44"/>
  <c r="F210" i="44"/>
  <c r="F209" i="44"/>
  <c r="F208" i="44"/>
  <c r="F207" i="44"/>
  <c r="F206" i="44"/>
  <c r="F205" i="44"/>
  <c r="F201" i="44"/>
  <c r="F200" i="44"/>
  <c r="F199" i="44"/>
  <c r="F198" i="44"/>
  <c r="F195" i="44"/>
  <c r="F194" i="44"/>
  <c r="F193" i="44"/>
  <c r="F192" i="44"/>
  <c r="F191" i="44"/>
  <c r="F196" i="44" s="1"/>
  <c r="F188" i="44"/>
  <c r="F187" i="44"/>
  <c r="F186" i="44"/>
  <c r="F185" i="44"/>
  <c r="F189" i="44" s="1"/>
  <c r="F182" i="44"/>
  <c r="F181" i="44"/>
  <c r="F180" i="44"/>
  <c r="F179" i="44"/>
  <c r="F178" i="44"/>
  <c r="F177" i="44"/>
  <c r="F174" i="44"/>
  <c r="F173" i="44"/>
  <c r="F172" i="44"/>
  <c r="F171" i="44"/>
  <c r="F170" i="44"/>
  <c r="F175" i="44" s="1"/>
  <c r="F167" i="44"/>
  <c r="F166" i="44"/>
  <c r="F165" i="44"/>
  <c r="F164" i="44"/>
  <c r="F163" i="44"/>
  <c r="F162" i="44"/>
  <c r="F159" i="44"/>
  <c r="F158" i="44"/>
  <c r="F157" i="44"/>
  <c r="F156" i="44"/>
  <c r="F155" i="44"/>
  <c r="F152" i="44"/>
  <c r="F151" i="44"/>
  <c r="F150" i="44"/>
  <c r="F149" i="44"/>
  <c r="F146" i="44"/>
  <c r="F145" i="44"/>
  <c r="F144" i="44"/>
  <c r="F143" i="44"/>
  <c r="F142" i="44"/>
  <c r="F147" i="44" s="1"/>
  <c r="F139" i="44"/>
  <c r="F138" i="44"/>
  <c r="F137" i="44"/>
  <c r="F136" i="44"/>
  <c r="F140" i="44" s="1"/>
  <c r="F133" i="44"/>
  <c r="F132" i="44"/>
  <c r="F131" i="44"/>
  <c r="F130" i="44"/>
  <c r="F129" i="44"/>
  <c r="F128" i="44"/>
  <c r="F127" i="44"/>
  <c r="F126" i="44"/>
  <c r="F123" i="44"/>
  <c r="F122" i="44"/>
  <c r="F121" i="44"/>
  <c r="F120" i="44"/>
  <c r="F124" i="44" s="1"/>
  <c r="F117" i="44"/>
  <c r="F116" i="44"/>
  <c r="F115" i="44"/>
  <c r="F114" i="44"/>
  <c r="F111" i="44"/>
  <c r="F110" i="44"/>
  <c r="F109" i="44"/>
  <c r="F108" i="44"/>
  <c r="F107" i="44"/>
  <c r="F104" i="44"/>
  <c r="F103" i="44"/>
  <c r="F105" i="44" s="1"/>
  <c r="F102" i="44"/>
  <c r="F101" i="44"/>
  <c r="F98" i="44"/>
  <c r="F97" i="44"/>
  <c r="F96" i="44"/>
  <c r="F95" i="44"/>
  <c r="F92" i="44"/>
  <c r="F91" i="44"/>
  <c r="F90" i="44"/>
  <c r="F89" i="44"/>
  <c r="F88" i="44"/>
  <c r="F87" i="44"/>
  <c r="F84" i="44"/>
  <c r="F83" i="44"/>
  <c r="F82" i="44"/>
  <c r="F81" i="44"/>
  <c r="F80" i="44"/>
  <c r="F77" i="44"/>
  <c r="F76" i="44"/>
  <c r="F75" i="44"/>
  <c r="F74" i="44"/>
  <c r="F73" i="44"/>
  <c r="F72" i="44"/>
  <c r="F78" i="44" s="1"/>
  <c r="F69" i="44"/>
  <c r="F68" i="44"/>
  <c r="F67" i="44"/>
  <c r="F66" i="44"/>
  <c r="F65" i="44"/>
  <c r="F62" i="44"/>
  <c r="F61" i="44"/>
  <c r="F60" i="44"/>
  <c r="F59" i="44"/>
  <c r="F58" i="44"/>
  <c r="F55" i="44"/>
  <c r="F54" i="44"/>
  <c r="F53" i="44"/>
  <c r="F52" i="44"/>
  <c r="F51" i="44"/>
  <c r="F48" i="44"/>
  <c r="F47" i="44"/>
  <c r="F46" i="44"/>
  <c r="F45" i="44"/>
  <c r="F44" i="44"/>
  <c r="F49" i="44" s="1"/>
  <c r="F41" i="44"/>
  <c r="F40" i="44"/>
  <c r="F39" i="44"/>
  <c r="F38" i="44"/>
  <c r="F42" i="44" s="1"/>
  <c r="F35" i="44"/>
  <c r="F34" i="44"/>
  <c r="F33" i="44"/>
  <c r="F32" i="44"/>
  <c r="F31" i="44"/>
  <c r="F28" i="44"/>
  <c r="F27" i="44"/>
  <c r="F26" i="44"/>
  <c r="F25" i="44"/>
  <c r="F24" i="44"/>
  <c r="F21" i="44"/>
  <c r="F20" i="44"/>
  <c r="F19" i="44"/>
  <c r="F18" i="44"/>
  <c r="F15" i="44"/>
  <c r="F14" i="44"/>
  <c r="F13" i="44"/>
  <c r="F12" i="44"/>
  <c r="F16" i="44"/>
  <c r="F9" i="44"/>
  <c r="F8" i="44"/>
  <c r="F7" i="44"/>
  <c r="F6" i="44"/>
  <c r="F5" i="44"/>
  <c r="F575" i="42"/>
  <c r="F574" i="42"/>
  <c r="F573" i="42"/>
  <c r="F572" i="42"/>
  <c r="F569" i="42"/>
  <c r="F568" i="42"/>
  <c r="F567" i="42"/>
  <c r="F566" i="42"/>
  <c r="F565" i="42"/>
  <c r="F562" i="42"/>
  <c r="F561" i="42"/>
  <c r="F560" i="42"/>
  <c r="F559" i="42"/>
  <c r="F558" i="42"/>
  <c r="F555" i="42"/>
  <c r="F554" i="42"/>
  <c r="F553" i="42"/>
  <c r="F552" i="42"/>
  <c r="F556" i="42" s="1"/>
  <c r="F549" i="42"/>
  <c r="F548" i="42"/>
  <c r="F547" i="42"/>
  <c r="F546" i="42"/>
  <c r="F545" i="42"/>
  <c r="F542" i="42"/>
  <c r="F541" i="42"/>
  <c r="F540" i="42"/>
  <c r="F539" i="42"/>
  <c r="F538" i="42"/>
  <c r="F535" i="42"/>
  <c r="F534" i="42"/>
  <c r="F533" i="42"/>
  <c r="F532" i="42"/>
  <c r="F531" i="42"/>
  <c r="F528" i="42"/>
  <c r="F527" i="42"/>
  <c r="F526" i="42"/>
  <c r="F525" i="42"/>
  <c r="F522" i="42"/>
  <c r="F521" i="42"/>
  <c r="F520" i="42"/>
  <c r="F519" i="42"/>
  <c r="F516" i="42"/>
  <c r="F515" i="42"/>
  <c r="F514" i="42"/>
  <c r="F513" i="42"/>
  <c r="F510" i="42"/>
  <c r="F509" i="42"/>
  <c r="F508" i="42"/>
  <c r="F507" i="42"/>
  <c r="F506" i="42"/>
  <c r="F505" i="42"/>
  <c r="F504" i="42"/>
  <c r="F501" i="42"/>
  <c r="F500" i="42"/>
  <c r="F499" i="42"/>
  <c r="F498" i="42"/>
  <c r="F497" i="42"/>
  <c r="F502" i="42" s="1"/>
  <c r="F494" i="42"/>
  <c r="F493" i="42"/>
  <c r="F492" i="42"/>
  <c r="F495" i="42" s="1"/>
  <c r="F491" i="42"/>
  <c r="F490" i="42"/>
  <c r="F487" i="42"/>
  <c r="F486" i="42"/>
  <c r="F485" i="42"/>
  <c r="F482" i="42"/>
  <c r="F481" i="42"/>
  <c r="F480" i="42"/>
  <c r="F479" i="42"/>
  <c r="F478" i="42"/>
  <c r="F475" i="42"/>
  <c r="F474" i="42"/>
  <c r="F473" i="42"/>
  <c r="F472" i="42"/>
  <c r="F471" i="42"/>
  <c r="F468" i="42"/>
  <c r="F467" i="42"/>
  <c r="F466" i="42"/>
  <c r="F465" i="42"/>
  <c r="F464" i="42"/>
  <c r="F469" i="42" s="1"/>
  <c r="F461" i="42"/>
  <c r="F460" i="42"/>
  <c r="F459" i="42"/>
  <c r="F462" i="42"/>
  <c r="F458" i="42"/>
  <c r="F457" i="42"/>
  <c r="F454" i="42"/>
  <c r="F453" i="42"/>
  <c r="F452" i="42"/>
  <c r="F451" i="42"/>
  <c r="F450" i="42"/>
  <c r="F455" i="42" s="1"/>
  <c r="F447" i="42"/>
  <c r="F446" i="42"/>
  <c r="F445" i="42"/>
  <c r="F444" i="42"/>
  <c r="F443" i="42"/>
  <c r="F448" i="42" s="1"/>
  <c r="F440" i="42"/>
  <c r="F439" i="42"/>
  <c r="F438" i="42"/>
  <c r="F437" i="42"/>
  <c r="F441" i="42" s="1"/>
  <c r="F434" i="42"/>
  <c r="F433" i="42"/>
  <c r="F432" i="42"/>
  <c r="F431" i="42"/>
  <c r="F430" i="42"/>
  <c r="F427" i="42"/>
  <c r="F426" i="42"/>
  <c r="F425" i="42"/>
  <c r="F424" i="42"/>
  <c r="F423" i="42"/>
  <c r="F420" i="42"/>
  <c r="F419" i="42"/>
  <c r="F418" i="42"/>
  <c r="F415" i="42"/>
  <c r="F414" i="42"/>
  <c r="F413" i="42"/>
  <c r="F412" i="42"/>
  <c r="F411" i="42"/>
  <c r="F410" i="42"/>
  <c r="F416" i="42" s="1"/>
  <c r="F407" i="42"/>
  <c r="F406" i="42"/>
  <c r="F405" i="42"/>
  <c r="F404" i="42"/>
  <c r="F403" i="42"/>
  <c r="F400" i="42"/>
  <c r="F399" i="42"/>
  <c r="F398" i="42"/>
  <c r="F397" i="42"/>
  <c r="F394" i="42"/>
  <c r="F393" i="42"/>
  <c r="F392" i="42"/>
  <c r="F391" i="42"/>
  <c r="F390" i="42"/>
  <c r="F387" i="42"/>
  <c r="F386" i="42"/>
  <c r="F388" i="42" s="1"/>
  <c r="F385" i="42"/>
  <c r="F384" i="42"/>
  <c r="F381" i="42"/>
  <c r="F380" i="42"/>
  <c r="F379" i="42"/>
  <c r="F378" i="42"/>
  <c r="F375" i="42"/>
  <c r="F374" i="42"/>
  <c r="F373" i="42"/>
  <c r="F372" i="42"/>
  <c r="F371" i="42"/>
  <c r="F368" i="42"/>
  <c r="F367" i="42"/>
  <c r="F366" i="42"/>
  <c r="F365" i="42"/>
  <c r="F369" i="42" s="1"/>
  <c r="F362" i="42"/>
  <c r="F361" i="42"/>
  <c r="F360" i="42"/>
  <c r="F359" i="42"/>
  <c r="F356" i="42"/>
  <c r="F355" i="42"/>
  <c r="F354" i="42"/>
  <c r="F357" i="42" s="1"/>
  <c r="F353" i="42"/>
  <c r="F352" i="42"/>
  <c r="F349" i="42"/>
  <c r="F348" i="42"/>
  <c r="F347" i="42"/>
  <c r="F346" i="42"/>
  <c r="F345" i="42"/>
  <c r="F342" i="42"/>
  <c r="F341" i="42"/>
  <c r="F340" i="42"/>
  <c r="F339" i="42"/>
  <c r="F338" i="42"/>
  <c r="F343" i="42" s="1"/>
  <c r="F335" i="42"/>
  <c r="F334" i="42"/>
  <c r="F333" i="42"/>
  <c r="F332" i="42"/>
  <c r="F331" i="42"/>
  <c r="F328" i="42"/>
  <c r="F327" i="42"/>
  <c r="F326" i="42"/>
  <c r="F329" i="42" s="1"/>
  <c r="F325" i="42"/>
  <c r="F324" i="42"/>
  <c r="F321" i="42"/>
  <c r="F320" i="42"/>
  <c r="F319" i="42"/>
  <c r="F318" i="42"/>
  <c r="F317" i="42"/>
  <c r="F322" i="42"/>
  <c r="F314" i="42"/>
  <c r="F313" i="42"/>
  <c r="F312" i="42"/>
  <c r="F311" i="42"/>
  <c r="F315" i="42" s="1"/>
  <c r="F310" i="42"/>
  <c r="F309" i="42"/>
  <c r="F306" i="42"/>
  <c r="F305" i="42"/>
  <c r="F304" i="42"/>
  <c r="F303" i="42"/>
  <c r="F302" i="42"/>
  <c r="F299" i="42"/>
  <c r="F298" i="42"/>
  <c r="F297" i="42"/>
  <c r="F296" i="42"/>
  <c r="F293" i="42"/>
  <c r="F292" i="42"/>
  <c r="F291" i="42"/>
  <c r="F290" i="42"/>
  <c r="F289" i="42"/>
  <c r="F286" i="42"/>
  <c r="F285" i="42"/>
  <c r="F284" i="42"/>
  <c r="F283" i="42"/>
  <c r="F282" i="42"/>
  <c r="F281" i="42"/>
  <c r="F287" i="42" s="1"/>
  <c r="F278" i="42"/>
  <c r="F277" i="42"/>
  <c r="F276" i="42"/>
  <c r="F275" i="42"/>
  <c r="F272" i="42"/>
  <c r="F271" i="42"/>
  <c r="F270" i="42"/>
  <c r="F269" i="42"/>
  <c r="F268" i="42"/>
  <c r="F273" i="42" s="1"/>
  <c r="F267" i="42"/>
  <c r="F264" i="42"/>
  <c r="F263" i="42"/>
  <c r="F262" i="42"/>
  <c r="F261" i="42"/>
  <c r="F258" i="42"/>
  <c r="F257" i="42"/>
  <c r="F256" i="42"/>
  <c r="F255" i="42"/>
  <c r="F252" i="42"/>
  <c r="F251" i="42"/>
  <c r="F250" i="42"/>
  <c r="F249" i="42"/>
  <c r="F248" i="42"/>
  <c r="F247" i="42"/>
  <c r="F244" i="42"/>
  <c r="F243" i="42"/>
  <c r="F242" i="42"/>
  <c r="F241" i="42"/>
  <c r="F238" i="42"/>
  <c r="F237" i="42"/>
  <c r="F236" i="42"/>
  <c r="F235" i="42"/>
  <c r="F234" i="42"/>
  <c r="F239" i="42" s="1"/>
  <c r="F231" i="42"/>
  <c r="F230" i="42"/>
  <c r="F229" i="42"/>
  <c r="F228" i="42"/>
  <c r="F227" i="42"/>
  <c r="F224" i="42"/>
  <c r="F223" i="42"/>
  <c r="F222" i="42"/>
  <c r="F221" i="42"/>
  <c r="F220" i="42"/>
  <c r="F217" i="42"/>
  <c r="F216" i="42"/>
  <c r="F215" i="42"/>
  <c r="F214" i="42"/>
  <c r="F213" i="42"/>
  <c r="F218" i="42" s="1"/>
  <c r="F208" i="42"/>
  <c r="F210" i="42"/>
  <c r="F209" i="42"/>
  <c r="F207" i="42"/>
  <c r="F206" i="42"/>
  <c r="F203" i="42"/>
  <c r="F202" i="42"/>
  <c r="F201" i="42"/>
  <c r="F204" i="42" s="1"/>
  <c r="F200" i="42"/>
  <c r="F199" i="42"/>
  <c r="F196" i="42"/>
  <c r="F195" i="42"/>
  <c r="F194" i="42"/>
  <c r="F193" i="42"/>
  <c r="F192" i="42"/>
  <c r="F189" i="42"/>
  <c r="F188" i="42"/>
  <c r="F187" i="42"/>
  <c r="F186" i="42"/>
  <c r="F185" i="42"/>
  <c r="F182" i="42"/>
  <c r="F181" i="42"/>
  <c r="F180" i="42"/>
  <c r="F179" i="42"/>
  <c r="F178" i="42"/>
  <c r="F175" i="42"/>
  <c r="F174" i="42"/>
  <c r="F173" i="42"/>
  <c r="F172" i="42"/>
  <c r="F171" i="42"/>
  <c r="F170" i="42"/>
  <c r="F176" i="42" s="1"/>
  <c r="F167" i="42"/>
  <c r="F166" i="42"/>
  <c r="F165" i="42"/>
  <c r="F168" i="42"/>
  <c r="F164" i="42"/>
  <c r="F163" i="42"/>
  <c r="F160" i="42"/>
  <c r="F159" i="42"/>
  <c r="F158" i="42"/>
  <c r="F157" i="42"/>
  <c r="F156" i="42"/>
  <c r="F155" i="42"/>
  <c r="F161" i="42" s="1"/>
  <c r="F152" i="42"/>
  <c r="F151" i="42"/>
  <c r="F150" i="42"/>
  <c r="F149" i="42"/>
  <c r="F148" i="42"/>
  <c r="F145" i="42"/>
  <c r="F144" i="42"/>
  <c r="F143" i="42"/>
  <c r="F146" i="42" s="1"/>
  <c r="F142" i="42"/>
  <c r="F141" i="42"/>
  <c r="F138" i="42"/>
  <c r="F137" i="42"/>
  <c r="F136" i="42"/>
  <c r="F135" i="42"/>
  <c r="F134" i="42"/>
  <c r="F133" i="42"/>
  <c r="F130" i="42"/>
  <c r="F129" i="42"/>
  <c r="F128" i="42"/>
  <c r="F127" i="42"/>
  <c r="F126" i="42"/>
  <c r="F131" i="42" s="1"/>
  <c r="F123" i="42"/>
  <c r="F122" i="42"/>
  <c r="F121" i="42"/>
  <c r="F120" i="42"/>
  <c r="F119" i="42"/>
  <c r="F116" i="42"/>
  <c r="F115" i="42"/>
  <c r="F114" i="42"/>
  <c r="F113" i="42"/>
  <c r="F112" i="42"/>
  <c r="F109" i="42"/>
  <c r="F108" i="42"/>
  <c r="F107" i="42"/>
  <c r="F106" i="42"/>
  <c r="F105" i="42"/>
  <c r="F102" i="42"/>
  <c r="F101" i="42"/>
  <c r="F100" i="42"/>
  <c r="F99" i="42"/>
  <c r="F98" i="42"/>
  <c r="F95" i="42"/>
  <c r="F94" i="42"/>
  <c r="F93" i="42"/>
  <c r="F92" i="42"/>
  <c r="F91" i="42"/>
  <c r="F90" i="42"/>
  <c r="F87" i="42"/>
  <c r="F86" i="42"/>
  <c r="F85" i="42"/>
  <c r="F84" i="42"/>
  <c r="F83" i="42"/>
  <c r="F82" i="42"/>
  <c r="F88" i="42" s="1"/>
  <c r="F79" i="42"/>
  <c r="F78" i="42"/>
  <c r="F77" i="42"/>
  <c r="F76" i="42"/>
  <c r="F75" i="42"/>
  <c r="F74" i="42"/>
  <c r="F71" i="42"/>
  <c r="F70" i="42"/>
  <c r="F69" i="42"/>
  <c r="F68" i="42"/>
  <c r="F67" i="42"/>
  <c r="F64" i="42"/>
  <c r="F63" i="42"/>
  <c r="F62" i="42"/>
  <c r="F61" i="42"/>
  <c r="F60" i="42"/>
  <c r="F65" i="42"/>
  <c r="F57" i="42"/>
  <c r="F56" i="42"/>
  <c r="F55" i="42"/>
  <c r="F54" i="42"/>
  <c r="F58" i="42" s="1"/>
  <c r="F53" i="42"/>
  <c r="F50" i="42"/>
  <c r="F49" i="42"/>
  <c r="F48" i="42"/>
  <c r="F47" i="42"/>
  <c r="F46" i="42"/>
  <c r="F45" i="42"/>
  <c r="F42" i="42"/>
  <c r="F41" i="42"/>
  <c r="F40" i="42"/>
  <c r="F39" i="42"/>
  <c r="F36" i="42"/>
  <c r="F35" i="42"/>
  <c r="F34" i="42"/>
  <c r="F33" i="42"/>
  <c r="F37" i="42"/>
  <c r="F30" i="42"/>
  <c r="F29" i="42"/>
  <c r="F28" i="42"/>
  <c r="F27" i="42"/>
  <c r="F31" i="42" s="1"/>
  <c r="F26" i="42"/>
  <c r="F23" i="42"/>
  <c r="F22" i="42"/>
  <c r="F21" i="42"/>
  <c r="F20" i="42"/>
  <c r="F19" i="42"/>
  <c r="F16" i="42"/>
  <c r="F15" i="42"/>
  <c r="F14" i="42"/>
  <c r="F13" i="42"/>
  <c r="F12" i="42"/>
  <c r="F17" i="42" s="1"/>
  <c r="F9" i="42"/>
  <c r="F8" i="42"/>
  <c r="F7" i="42"/>
  <c r="F6" i="42"/>
  <c r="F5" i="42"/>
  <c r="G579" i="42"/>
  <c r="H579" i="42" s="1"/>
  <c r="G284" i="40"/>
  <c r="H284" i="40"/>
  <c r="G397" i="39"/>
  <c r="H397" i="39" s="1"/>
  <c r="G508" i="26"/>
  <c r="H508" i="26" s="1"/>
  <c r="G505" i="25"/>
  <c r="H505" i="25" s="1"/>
  <c r="G439" i="24"/>
  <c r="H439" i="24" s="1"/>
  <c r="G554" i="1"/>
  <c r="H554" i="1" s="1"/>
  <c r="G519" i="23"/>
  <c r="H519" i="23" s="1"/>
  <c r="G9" i="22"/>
  <c r="G16" i="22"/>
  <c r="G22" i="22"/>
  <c r="G28" i="22"/>
  <c r="G34" i="22"/>
  <c r="G41" i="22"/>
  <c r="G47" i="22"/>
  <c r="G52" i="22"/>
  <c r="G58" i="22"/>
  <c r="G65" i="22"/>
  <c r="G71" i="22"/>
  <c r="G77" i="22"/>
  <c r="G82" i="22"/>
  <c r="G87" i="22"/>
  <c r="G97" i="22"/>
  <c r="G103" i="22"/>
  <c r="G108" i="22"/>
  <c r="G115" i="22"/>
  <c r="G120" i="22"/>
  <c r="G125" i="22"/>
  <c r="G131" i="22"/>
  <c r="G137" i="22"/>
  <c r="G142" i="22"/>
  <c r="G150" i="22"/>
  <c r="G156" i="22"/>
  <c r="G161" i="22"/>
  <c r="G167" i="22"/>
  <c r="G172" i="22"/>
  <c r="G177" i="22"/>
  <c r="G183" i="22"/>
  <c r="G190" i="22"/>
  <c r="G197" i="22"/>
  <c r="G205" i="22"/>
  <c r="G210" i="22"/>
  <c r="G215" i="22"/>
  <c r="G221" i="22"/>
  <c r="G226" i="22"/>
  <c r="G231" i="22"/>
  <c r="G236" i="22"/>
  <c r="G242" i="22"/>
  <c r="G247" i="22"/>
  <c r="G252" i="22"/>
  <c r="G258" i="22"/>
  <c r="G264" i="22"/>
  <c r="G271" i="22"/>
  <c r="G276" i="22"/>
  <c r="G281" i="22"/>
  <c r="G287" i="22"/>
  <c r="G292" i="22"/>
  <c r="G298" i="22"/>
  <c r="G303" i="22"/>
  <c r="G308" i="22"/>
  <c r="G314" i="22"/>
  <c r="G322" i="22"/>
  <c r="G328" i="22"/>
  <c r="G333" i="22"/>
  <c r="G338" i="22"/>
  <c r="G344" i="22"/>
  <c r="G349" i="22"/>
  <c r="G360" i="22"/>
  <c r="G366" i="22"/>
  <c r="G372" i="22"/>
  <c r="G378" i="22"/>
  <c r="G383" i="22"/>
  <c r="G389" i="22"/>
  <c r="G395" i="22"/>
  <c r="G401" i="22"/>
  <c r="G407" i="22"/>
  <c r="G414" i="22"/>
  <c r="G420" i="22"/>
  <c r="G426" i="22"/>
  <c r="G431" i="22"/>
  <c r="G436" i="22"/>
  <c r="G441" i="22"/>
  <c r="G446" i="22"/>
  <c r="G453" i="22"/>
  <c r="G458" i="22"/>
  <c r="G464" i="22"/>
  <c r="G471" i="22"/>
  <c r="G476" i="22"/>
  <c r="G482" i="22"/>
  <c r="G487" i="22"/>
  <c r="F5" i="41"/>
  <c r="F6" i="41"/>
  <c r="F7" i="41"/>
  <c r="F8" i="41"/>
  <c r="F9" i="41"/>
  <c r="F10" i="41"/>
  <c r="F11" i="41"/>
  <c r="F12" i="41"/>
  <c r="F15" i="41"/>
  <c r="F16" i="41"/>
  <c r="F17" i="41"/>
  <c r="F18" i="41"/>
  <c r="F19" i="41"/>
  <c r="F20" i="41"/>
  <c r="F23" i="41"/>
  <c r="F24" i="41"/>
  <c r="F25" i="41"/>
  <c r="F26" i="41"/>
  <c r="F27" i="41"/>
  <c r="F30" i="41"/>
  <c r="F31" i="41"/>
  <c r="F32" i="41"/>
  <c r="F33" i="41"/>
  <c r="F34" i="41"/>
  <c r="F37" i="41"/>
  <c r="F38" i="41"/>
  <c r="F39" i="41"/>
  <c r="F40" i="41"/>
  <c r="F41" i="41"/>
  <c r="F44" i="41"/>
  <c r="F45" i="41"/>
  <c r="F46" i="41"/>
  <c r="F47" i="41"/>
  <c r="F50" i="41"/>
  <c r="F51" i="41"/>
  <c r="F52" i="41"/>
  <c r="F53" i="41"/>
  <c r="F54" i="41"/>
  <c r="F55" i="41"/>
  <c r="F56" i="41"/>
  <c r="F59" i="41"/>
  <c r="F60" i="41"/>
  <c r="F61" i="41"/>
  <c r="F62" i="41"/>
  <c r="F63" i="41"/>
  <c r="F64" i="41"/>
  <c r="F65" i="41"/>
  <c r="F68" i="41"/>
  <c r="F69" i="41"/>
  <c r="F70" i="41"/>
  <c r="F71" i="41"/>
  <c r="F72" i="41"/>
  <c r="F75" i="41"/>
  <c r="F76" i="41"/>
  <c r="F77" i="41"/>
  <c r="F78" i="41"/>
  <c r="F79" i="41"/>
  <c r="F82" i="41"/>
  <c r="F83" i="41"/>
  <c r="F84" i="41"/>
  <c r="F85" i="41"/>
  <c r="F86" i="41"/>
  <c r="F87" i="41"/>
  <c r="F90" i="41"/>
  <c r="F91" i="41"/>
  <c r="F92" i="41"/>
  <c r="F93" i="41"/>
  <c r="F94" i="41"/>
  <c r="F97" i="41"/>
  <c r="F98" i="41"/>
  <c r="F99" i="41"/>
  <c r="F100" i="41"/>
  <c r="F101" i="41"/>
  <c r="F102" i="41"/>
  <c r="F103" i="41"/>
  <c r="F106" i="41"/>
  <c r="F107" i="41"/>
  <c r="F108" i="41"/>
  <c r="F109" i="41"/>
  <c r="F110" i="41"/>
  <c r="F113" i="41"/>
  <c r="F114" i="41"/>
  <c r="F115" i="41"/>
  <c r="F117" i="41" s="1"/>
  <c r="F116" i="41"/>
  <c r="F119" i="41"/>
  <c r="F120" i="41"/>
  <c r="F121" i="41"/>
  <c r="F122" i="41"/>
  <c r="F123" i="41"/>
  <c r="F124" i="41"/>
  <c r="F127" i="41"/>
  <c r="F128" i="41"/>
  <c r="F129" i="41"/>
  <c r="F130" i="41"/>
  <c r="F131" i="41"/>
  <c r="F132" i="41"/>
  <c r="F135" i="41"/>
  <c r="F136" i="41"/>
  <c r="F137" i="41"/>
  <c r="F138" i="41"/>
  <c r="F139" i="41"/>
  <c r="F142" i="41"/>
  <c r="F143" i="41"/>
  <c r="F144" i="41"/>
  <c r="F145" i="41"/>
  <c r="F146" i="41"/>
  <c r="F149" i="41"/>
  <c r="F150" i="41"/>
  <c r="F151" i="41"/>
  <c r="F152" i="41"/>
  <c r="F153" i="41"/>
  <c r="F154" i="41"/>
  <c r="F157" i="41"/>
  <c r="F158" i="41"/>
  <c r="F159" i="41"/>
  <c r="F160" i="41"/>
  <c r="F161" i="41"/>
  <c r="F164" i="41"/>
  <c r="F165" i="41"/>
  <c r="F166" i="41"/>
  <c r="F167" i="41"/>
  <c r="F168" i="41"/>
  <c r="F171" i="41"/>
  <c r="F172" i="41"/>
  <c r="F173" i="41"/>
  <c r="F174" i="41"/>
  <c r="F175" i="41"/>
  <c r="F178" i="41"/>
  <c r="F179" i="41"/>
  <c r="F180" i="41"/>
  <c r="F181" i="41"/>
  <c r="F182" i="41"/>
  <c r="F185" i="41"/>
  <c r="F186" i="41"/>
  <c r="F187" i="41"/>
  <c r="F188" i="41"/>
  <c r="F189" i="41"/>
  <c r="F192" i="41"/>
  <c r="F193" i="41"/>
  <c r="F194" i="41"/>
  <c r="F195" i="41"/>
  <c r="F196" i="41"/>
  <c r="F197" i="41"/>
  <c r="F200" i="41"/>
  <c r="F201" i="41"/>
  <c r="F202" i="41"/>
  <c r="F203" i="41"/>
  <c r="F204" i="41"/>
  <c r="F205" i="41"/>
  <c r="F208" i="41"/>
  <c r="F209" i="41"/>
  <c r="F210" i="41"/>
  <c r="F211" i="41"/>
  <c r="F212" i="41"/>
  <c r="F213" i="41"/>
  <c r="F216" i="41"/>
  <c r="F217" i="41"/>
  <c r="F218" i="41"/>
  <c r="F219" i="41"/>
  <c r="F220" i="41"/>
  <c r="F223" i="41"/>
  <c r="F224" i="41"/>
  <c r="F225" i="41"/>
  <c r="F226" i="41"/>
  <c r="F227" i="41"/>
  <c r="F230" i="41"/>
  <c r="F231" i="41"/>
  <c r="F232" i="41"/>
  <c r="F233" i="41"/>
  <c r="F234" i="41"/>
  <c r="F237" i="41"/>
  <c r="F238" i="41"/>
  <c r="F239" i="41"/>
  <c r="F240" i="41"/>
  <c r="F241" i="41"/>
  <c r="F242" i="41"/>
  <c r="F243" i="41"/>
  <c r="F246" i="41"/>
  <c r="F247" i="41"/>
  <c r="F248" i="41"/>
  <c r="F249" i="41"/>
  <c r="F250" i="41"/>
  <c r="F251" i="41"/>
  <c r="F254" i="41"/>
  <c r="F255" i="41"/>
  <c r="F256" i="41"/>
  <c r="F257" i="41"/>
  <c r="F258" i="41"/>
  <c r="F261" i="41"/>
  <c r="F262" i="41"/>
  <c r="F263" i="41"/>
  <c r="F264" i="41"/>
  <c r="F265" i="41"/>
  <c r="F266" i="41"/>
  <c r="F269" i="41"/>
  <c r="F270" i="41"/>
  <c r="F271" i="41"/>
  <c r="F272" i="41"/>
  <c r="F275" i="41"/>
  <c r="F276" i="41"/>
  <c r="F277" i="41"/>
  <c r="F278" i="41"/>
  <c r="F279" i="41"/>
  <c r="F282" i="41"/>
  <c r="F283" i="41"/>
  <c r="F284" i="41"/>
  <c r="F285" i="41"/>
  <c r="F286" i="41"/>
  <c r="F287" i="41"/>
  <c r="F290" i="41"/>
  <c r="F291" i="41"/>
  <c r="F292" i="41"/>
  <c r="F293" i="41"/>
  <c r="F294" i="41"/>
  <c r="F297" i="41"/>
  <c r="F298" i="41"/>
  <c r="F299" i="41"/>
  <c r="F300" i="41"/>
  <c r="F301" i="41"/>
  <c r="F304" i="41"/>
  <c r="F305" i="41"/>
  <c r="F310" i="41" s="1"/>
  <c r="F306" i="41"/>
  <c r="F307" i="41"/>
  <c r="F308" i="41"/>
  <c r="F309" i="41"/>
  <c r="F312" i="41"/>
  <c r="F313" i="41"/>
  <c r="F314" i="41"/>
  <c r="F315" i="41"/>
  <c r="F316" i="41"/>
  <c r="F319" i="41"/>
  <c r="F320" i="41"/>
  <c r="F321" i="41"/>
  <c r="F322" i="41"/>
  <c r="F323" i="41"/>
  <c r="F326" i="41"/>
  <c r="F327" i="41"/>
  <c r="F328" i="41"/>
  <c r="F329" i="41"/>
  <c r="F330" i="41"/>
  <c r="F331" i="41"/>
  <c r="F334" i="41"/>
  <c r="F335" i="41"/>
  <c r="F336" i="41"/>
  <c r="F337" i="41"/>
  <c r="F338" i="41"/>
  <c r="F341" i="41"/>
  <c r="F342" i="41"/>
  <c r="F343" i="41"/>
  <c r="F344" i="41"/>
  <c r="F345" i="41"/>
  <c r="F346" i="41"/>
  <c r="F349" i="41"/>
  <c r="F350" i="41"/>
  <c r="F351" i="41"/>
  <c r="F352" i="41"/>
  <c r="F353" i="41"/>
  <c r="F354" i="41"/>
  <c r="F357" i="41"/>
  <c r="F358" i="41"/>
  <c r="F359" i="41"/>
  <c r="F360" i="41"/>
  <c r="F361" i="41"/>
  <c r="F364" i="41"/>
  <c r="F365" i="41"/>
  <c r="F366" i="41"/>
  <c r="F367" i="41"/>
  <c r="F368" i="41"/>
  <c r="F369" i="41"/>
  <c r="F372" i="41"/>
  <c r="F373" i="41"/>
  <c r="F374" i="41"/>
  <c r="F377" i="41" s="1"/>
  <c r="F375" i="41"/>
  <c r="F376" i="41"/>
  <c r="F379" i="41"/>
  <c r="F380" i="41"/>
  <c r="F381" i="41"/>
  <c r="F382" i="41"/>
  <c r="F383" i="41"/>
  <c r="F384" i="41"/>
  <c r="F387" i="41"/>
  <c r="F388" i="41"/>
  <c r="F389" i="41"/>
  <c r="F390" i="41"/>
  <c r="F391" i="41"/>
  <c r="F394" i="41"/>
  <c r="F395" i="41"/>
  <c r="F396" i="41"/>
  <c r="F399" i="41" s="1"/>
  <c r="F397" i="41"/>
  <c r="F398" i="41"/>
  <c r="F401" i="41"/>
  <c r="F402" i="41"/>
  <c r="F403" i="41"/>
  <c r="F404" i="41"/>
  <c r="F405" i="41"/>
  <c r="F408" i="41"/>
  <c r="F409" i="41"/>
  <c r="F410" i="41"/>
  <c r="F411" i="41"/>
  <c r="F412" i="41"/>
  <c r="F415" i="41"/>
  <c r="F416" i="41"/>
  <c r="F417" i="41"/>
  <c r="F418" i="41"/>
  <c r="F421" i="41"/>
  <c r="F422" i="41"/>
  <c r="F423" i="41"/>
  <c r="F424" i="41"/>
  <c r="F425" i="41"/>
  <c r="F428" i="41"/>
  <c r="F429" i="41"/>
  <c r="F430" i="41"/>
  <c r="F431" i="41"/>
  <c r="F432" i="41"/>
  <c r="F433" i="41"/>
  <c r="F436" i="41"/>
  <c r="F437" i="41"/>
  <c r="F438" i="41"/>
  <c r="F439" i="41"/>
  <c r="F440" i="41"/>
  <c r="F443" i="41"/>
  <c r="F444" i="41"/>
  <c r="F445" i="41"/>
  <c r="F446" i="41"/>
  <c r="F449" i="41"/>
  <c r="F450" i="41"/>
  <c r="F451" i="41"/>
  <c r="F452" i="41"/>
  <c r="F453" i="41"/>
  <c r="F456" i="41"/>
  <c r="F457" i="41"/>
  <c r="F458" i="41"/>
  <c r="F459" i="41"/>
  <c r="F460" i="41"/>
  <c r="F461" i="41"/>
  <c r="F464" i="41"/>
  <c r="F465" i="41"/>
  <c r="F466" i="41"/>
  <c r="F467" i="41"/>
  <c r="F468" i="41"/>
  <c r="F471" i="41"/>
  <c r="F472" i="41"/>
  <c r="F473" i="41"/>
  <c r="F474" i="41"/>
  <c r="F475" i="41"/>
  <c r="F476" i="41"/>
  <c r="F479" i="41"/>
  <c r="F480" i="41"/>
  <c r="F481" i="41"/>
  <c r="F482" i="41"/>
  <c r="F483" i="41"/>
  <c r="F484" i="41"/>
  <c r="F485" i="41" s="1"/>
  <c r="F487" i="41"/>
  <c r="F488" i="41"/>
  <c r="F489" i="41"/>
  <c r="F490" i="41"/>
  <c r="F491" i="41"/>
  <c r="F492" i="41"/>
  <c r="F495" i="41"/>
  <c r="F496" i="41"/>
  <c r="F497" i="41"/>
  <c r="F498" i="41"/>
  <c r="F499" i="41"/>
  <c r="F500" i="41"/>
  <c r="F503" i="41"/>
  <c r="F504" i="41"/>
  <c r="F505" i="41"/>
  <c r="F506" i="41"/>
  <c r="F507" i="41"/>
  <c r="F510" i="41"/>
  <c r="F511" i="41"/>
  <c r="F512" i="41"/>
  <c r="F513" i="41"/>
  <c r="F514" i="41"/>
  <c r="F515" i="41"/>
  <c r="F516" i="41"/>
  <c r="F519" i="41"/>
  <c r="F520" i="41"/>
  <c r="F521" i="41"/>
  <c r="F522" i="41"/>
  <c r="F523" i="41"/>
  <c r="F526" i="41"/>
  <c r="F527" i="41"/>
  <c r="F528" i="41"/>
  <c r="F529" i="41"/>
  <c r="F530" i="41"/>
  <c r="F533" i="41"/>
  <c r="F534" i="41"/>
  <c r="F535" i="41"/>
  <c r="F536" i="41"/>
  <c r="F537" i="41"/>
  <c r="F540" i="41"/>
  <c r="F541" i="41"/>
  <c r="F542" i="41"/>
  <c r="F543" i="41"/>
  <c r="F544" i="41"/>
  <c r="F547" i="41" s="1"/>
  <c r="F545" i="41"/>
  <c r="F546" i="41"/>
  <c r="F549" i="41"/>
  <c r="F550" i="41"/>
  <c r="F551" i="41"/>
  <c r="F552" i="41"/>
  <c r="F553" i="41"/>
  <c r="F556" i="41"/>
  <c r="F557" i="41"/>
  <c r="F558" i="41"/>
  <c r="F559" i="41"/>
  <c r="F560" i="41"/>
  <c r="F561" i="41"/>
  <c r="F564" i="41"/>
  <c r="F565" i="41"/>
  <c r="F566" i="41"/>
  <c r="F567" i="41"/>
  <c r="F568" i="41"/>
  <c r="F571" i="41"/>
  <c r="F572" i="41"/>
  <c r="F573" i="41"/>
  <c r="F574" i="41"/>
  <c r="F575" i="41"/>
  <c r="F578" i="41"/>
  <c r="F579" i="41"/>
  <c r="F580" i="41"/>
  <c r="F581" i="41"/>
  <c r="F582" i="41"/>
  <c r="F583" i="41"/>
  <c r="F584" i="41"/>
  <c r="F587" i="41"/>
  <c r="F588" i="41"/>
  <c r="F589" i="41"/>
  <c r="F590" i="41"/>
  <c r="F591" i="41"/>
  <c r="F592" i="41"/>
  <c r="F595" i="41"/>
  <c r="F596" i="41"/>
  <c r="F597" i="41"/>
  <c r="F598" i="41"/>
  <c r="F601" i="41"/>
  <c r="F602" i="41"/>
  <c r="F603" i="41"/>
  <c r="F604" i="41"/>
  <c r="F605" i="41"/>
  <c r="F608" i="41"/>
  <c r="F609" i="41"/>
  <c r="F610" i="41"/>
  <c r="F613" i="41" s="1"/>
  <c r="F611" i="41"/>
  <c r="F612" i="41"/>
  <c r="F615" i="41"/>
  <c r="F616" i="41"/>
  <c r="F617" i="41"/>
  <c r="F618" i="41"/>
  <c r="G622" i="41"/>
  <c r="F265" i="42"/>
  <c r="F153" i="42"/>
  <c r="F51" i="42"/>
  <c r="F421" i="42"/>
  <c r="F483" i="42"/>
  <c r="F117" i="42"/>
  <c r="F300" i="42"/>
  <c r="F43" i="42"/>
  <c r="F176" i="41" l="1"/>
  <c r="F88" i="41"/>
  <c r="F57" i="41"/>
  <c r="F42" i="41"/>
  <c r="F563" i="42"/>
  <c r="F606" i="41"/>
  <c r="F576" i="41"/>
  <c r="F538" i="41"/>
  <c r="F508" i="41"/>
  <c r="F454" i="41"/>
  <c r="F426" i="41"/>
  <c r="F392" i="41"/>
  <c r="F370" i="41"/>
  <c r="F295" i="41"/>
  <c r="F232" i="42"/>
  <c r="F382" i="42"/>
  <c r="F523" i="42"/>
  <c r="F536" i="42"/>
  <c r="F36" i="44"/>
  <c r="F410" i="44"/>
  <c r="F585" i="41"/>
  <c r="F517" i="41"/>
  <c r="F347" i="41"/>
  <c r="F332" i="41"/>
  <c r="F574" i="44"/>
  <c r="F95" i="41"/>
  <c r="F66" i="41"/>
  <c r="F28" i="41"/>
  <c r="G490" i="22"/>
  <c r="H490" i="22" s="1"/>
  <c r="F96" i="42"/>
  <c r="F190" i="42"/>
  <c r="F245" i="42"/>
  <c r="F307" i="42"/>
  <c r="F350" i="42"/>
  <c r="F476" i="42"/>
  <c r="F488" i="42"/>
  <c r="F511" i="42"/>
  <c r="F56" i="44"/>
  <c r="F99" i="44"/>
  <c r="F183" i="44"/>
  <c r="F211" i="44"/>
  <c r="F231" i="44"/>
  <c r="F272" i="44"/>
  <c r="F362" i="44"/>
  <c r="F619" i="41"/>
  <c r="F593" i="41"/>
  <c r="F554" i="41"/>
  <c r="F524" i="41"/>
  <c r="F501" i="41"/>
  <c r="F493" i="41"/>
  <c r="F462" i="41"/>
  <c r="F406" i="41"/>
  <c r="F362" i="41"/>
  <c r="F324" i="41"/>
  <c r="F221" i="41"/>
  <c r="F80" i="41"/>
  <c r="F73" i="41"/>
  <c r="F35" i="41"/>
  <c r="F72" i="42"/>
  <c r="F124" i="42"/>
  <c r="F183" i="42"/>
  <c r="F225" i="42"/>
  <c r="F376" i="42"/>
  <c r="F395" i="42"/>
  <c r="F428" i="42"/>
  <c r="F517" i="42"/>
  <c r="F543" i="42"/>
  <c r="F570" i="42"/>
  <c r="F22" i="44"/>
  <c r="F63" i="44"/>
  <c r="F85" i="44"/>
  <c r="F112" i="44"/>
  <c r="F153" i="44"/>
  <c r="F168" i="44"/>
  <c r="F251" i="44"/>
  <c r="F291" i="44"/>
  <c r="F322" i="44"/>
  <c r="F404" i="44"/>
  <c r="F451" i="44"/>
  <c r="F473" i="44"/>
  <c r="F506" i="44"/>
  <c r="F545" i="44"/>
  <c r="F602" i="44"/>
  <c r="F280" i="41"/>
  <c r="F147" i="41"/>
  <c r="F10" i="42"/>
  <c r="F197" i="42"/>
  <c r="F253" i="42"/>
  <c r="F294" i="42"/>
  <c r="F529" i="42"/>
  <c r="F29" i="44"/>
  <c r="F134" i="44"/>
  <c r="F160" i="44"/>
  <c r="F202" i="44"/>
  <c r="F225" i="44"/>
  <c r="F299" i="44"/>
  <c r="F377" i="44"/>
  <c r="F398" i="44"/>
  <c r="F445" i="44"/>
  <c r="F492" i="44"/>
  <c r="F499" i="44"/>
  <c r="F532" i="44"/>
  <c r="F595" i="44"/>
  <c r="F599" i="41"/>
  <c r="F569" i="41"/>
  <c r="F562" i="41"/>
  <c r="F531" i="41"/>
  <c r="F477" i="41"/>
  <c r="F469" i="41"/>
  <c r="F447" i="41"/>
  <c r="F441" i="41"/>
  <c r="F434" i="41"/>
  <c r="F419" i="41"/>
  <c r="F413" i="41"/>
  <c r="F273" i="41"/>
  <c r="F244" i="41"/>
  <c r="F235" i="41"/>
  <c r="F169" i="41"/>
  <c r="F48" i="41"/>
  <c r="F110" i="42"/>
  <c r="F279" i="42"/>
  <c r="F401" i="42"/>
  <c r="F408" i="42"/>
  <c r="F435" i="42"/>
  <c r="F550" i="42"/>
  <c r="F576" i="42"/>
  <c r="F10" i="44"/>
  <c r="F70" i="44"/>
  <c r="F93" i="44"/>
  <c r="F118" i="44"/>
  <c r="F219" i="44"/>
  <c r="F244" i="44"/>
  <c r="F279" i="44"/>
  <c r="F306" i="44"/>
  <c r="F339" i="44"/>
  <c r="F354" i="44"/>
  <c r="F384" i="44"/>
  <c r="F418" i="44"/>
  <c r="F432" i="44"/>
  <c r="F479" i="44"/>
  <c r="F512" i="44"/>
  <c r="F538" i="44"/>
  <c r="F581" i="44"/>
  <c r="F385" i="41"/>
  <c r="F302" i="41"/>
  <c r="F288" i="41"/>
  <c r="F259" i="41"/>
  <c r="F228" i="41"/>
  <c r="F214" i="41"/>
  <c r="F198" i="41"/>
  <c r="F183" i="41"/>
  <c r="F155" i="41"/>
  <c r="F133" i="41"/>
  <c r="F104" i="41"/>
  <c r="F139" i="42"/>
  <c r="F211" i="42"/>
  <c r="F363" i="42"/>
  <c r="F317" i="41"/>
  <c r="F252" i="41"/>
  <c r="F206" i="41"/>
  <c r="F162" i="41"/>
  <c r="F125" i="41"/>
  <c r="F24" i="42"/>
  <c r="F190" i="41"/>
  <c r="F111" i="41"/>
  <c r="F355" i="41"/>
  <c r="F339" i="41"/>
  <c r="F267" i="41"/>
  <c r="F140" i="41"/>
  <c r="F21" i="41"/>
  <c r="F13" i="41"/>
  <c r="F80" i="42"/>
  <c r="F103" i="42"/>
  <c r="F259" i="42"/>
  <c r="F336" i="42"/>
</calcChain>
</file>

<file path=xl/sharedStrings.xml><?xml version="1.0" encoding="utf-8"?>
<sst xmlns="http://schemas.openxmlformats.org/spreadsheetml/2006/main" count="20769" uniqueCount="7006">
  <si>
    <t>Grouard</t>
  </si>
  <si>
    <t>Lac Ste. Anne</t>
  </si>
  <si>
    <t>Glen R. Nelson</t>
  </si>
  <si>
    <t>Lethbridge</t>
  </si>
  <si>
    <t>Fred Rappel</t>
  </si>
  <si>
    <t>15,149 (60)</t>
  </si>
  <si>
    <t>W.E. Turner</t>
  </si>
  <si>
    <t>C.W. Frederick</t>
  </si>
  <si>
    <t>G.W.H. Millican</t>
  </si>
  <si>
    <t>J.T. Johnson</t>
  </si>
  <si>
    <t>M.W. Robertson</t>
  </si>
  <si>
    <t>George A. Slade</t>
  </si>
  <si>
    <t>13,115 (49)</t>
  </si>
  <si>
    <t>Jeremy Burns</t>
  </si>
  <si>
    <t>Adrian Cole</t>
  </si>
  <si>
    <t>Kelly Graham</t>
  </si>
  <si>
    <t>Steven Leard</t>
  </si>
  <si>
    <t>Shannon Stubbs</t>
  </si>
  <si>
    <t>12,304 (79)</t>
  </si>
  <si>
    <t>John Andrews</t>
  </si>
  <si>
    <t>Brian Fleck</t>
  </si>
  <si>
    <t>Dave Hancock</t>
  </si>
  <si>
    <t>Kathy Rayner</t>
  </si>
  <si>
    <t>Donna L. Smith</t>
  </si>
  <si>
    <t>16,246 (46)</t>
  </si>
  <si>
    <t>Herb Coburn</t>
  </si>
  <si>
    <t>Jason Herasemluk</t>
  </si>
  <si>
    <t>F.L. (Ted) Morton</t>
  </si>
  <si>
    <t>Roland Schmidt</t>
  </si>
  <si>
    <t>Shelley Willson</t>
  </si>
  <si>
    <t>11,246 (84)</t>
  </si>
  <si>
    <t>Russell W. (Russ) Collicott</t>
  </si>
  <si>
    <t>Dave Malka</t>
  </si>
  <si>
    <t>Reginald Normore</t>
  </si>
  <si>
    <t>Eugene Eklund</t>
  </si>
  <si>
    <t>7,015 (13)</t>
  </si>
  <si>
    <t>Wes Buyarski</t>
  </si>
  <si>
    <t>Byron King</t>
  </si>
  <si>
    <t>Tom N. Musgrove</t>
  </si>
  <si>
    <t>Tim Bardsley</t>
  </si>
  <si>
    <t>Scott Jeffrey</t>
  </si>
  <si>
    <t>Sheldon Chumir</t>
  </si>
  <si>
    <t>Iain Dunbar</t>
  </si>
  <si>
    <t>Kate Thrasher</t>
  </si>
  <si>
    <t>Clive R. Mallory</t>
  </si>
  <si>
    <t>Gilbert J. (Gib) Clark</t>
  </si>
  <si>
    <t>Larry Heather</t>
  </si>
  <si>
    <t>David Jones</t>
  </si>
  <si>
    <t>Wayne Gillis</t>
  </si>
  <si>
    <t>Tom Polmear</t>
  </si>
  <si>
    <t>Theresa Baxter</t>
  </si>
  <si>
    <t>Harvey Locke</t>
  </si>
  <si>
    <t>Moe Amiri</t>
  </si>
  <si>
    <t>Gene Czaprowski</t>
  </si>
  <si>
    <t>Jim Othen</t>
  </si>
  <si>
    <t>Barry Bristman</t>
  </si>
  <si>
    <t>Dianne Mirosh</t>
  </si>
  <si>
    <t>Greg Pearson</t>
  </si>
  <si>
    <t>A. Giga</t>
  </si>
  <si>
    <t>Stan Nelson</t>
  </si>
  <si>
    <t>Roy Brown</t>
  </si>
  <si>
    <t>Yolande Gagnon</t>
  </si>
  <si>
    <t>Mark Petros</t>
  </si>
  <si>
    <t>Bill Flookes</t>
  </si>
  <si>
    <t>Dale Muti</t>
  </si>
  <si>
    <t>Gordon Shrake</t>
  </si>
  <si>
    <t>Jamil Farhat</t>
  </si>
  <si>
    <t>Frank Gereau</t>
  </si>
  <si>
    <t>Rick Orman</t>
  </si>
  <si>
    <t>Vicky Adamson</t>
  </si>
  <si>
    <t>Bob Hawkesworth</t>
  </si>
  <si>
    <t>Kevin Murphy</t>
  </si>
  <si>
    <t>Emily Drzymala</t>
  </si>
  <si>
    <t>John Jasienczyk</t>
  </si>
  <si>
    <t>Pauline Kay</t>
  </si>
  <si>
    <t>Fred Stewart</t>
  </si>
  <si>
    <t>Stan Cassin</t>
  </si>
  <si>
    <t>Kelly Hegg</t>
  </si>
  <si>
    <t>Gordon M. Christie</t>
  </si>
  <si>
    <t>Robert J. (Bob) Crump</t>
  </si>
  <si>
    <t>Jim Dinning</t>
  </si>
  <si>
    <t>Bernie Myers</t>
  </si>
  <si>
    <t>Carol Ayers</t>
  </si>
  <si>
    <t>Ken Rostad</t>
  </si>
  <si>
    <t>Bill Scotten</t>
  </si>
  <si>
    <t>Jack Ady</t>
  </si>
  <si>
    <t>Beth Wendorff</t>
  </si>
  <si>
    <t>H. James Powers</t>
  </si>
  <si>
    <t>Kurt Gesell</t>
  </si>
  <si>
    <t>W. H. (Skip) Gordon</t>
  </si>
  <si>
    <t>Lloyd Robinson</t>
  </si>
  <si>
    <t>Rudy Schempp</t>
  </si>
  <si>
    <t>Lynne Martin</t>
  </si>
  <si>
    <t>G. (Bear) Werschler</t>
  </si>
  <si>
    <t>Sid Holt</t>
  </si>
  <si>
    <t>7,401 (401)</t>
  </si>
  <si>
    <t>4,065 (135)</t>
  </si>
  <si>
    <t>4,529 (102)</t>
  </si>
  <si>
    <t>4,092 (115)</t>
  </si>
  <si>
    <t>5,561 (125)</t>
  </si>
  <si>
    <t>3,778 (153)</t>
  </si>
  <si>
    <t>4,768 (135)</t>
  </si>
  <si>
    <t>6,641 (182)</t>
  </si>
  <si>
    <t>2,717 (89)</t>
  </si>
  <si>
    <t>5,141 (117)</t>
  </si>
  <si>
    <t>3,165 (81)</t>
  </si>
  <si>
    <t>5,489 (165)</t>
  </si>
  <si>
    <t>5,354 (138)</t>
  </si>
  <si>
    <t>5,491 (227)</t>
  </si>
  <si>
    <t>2,350 (65)</t>
  </si>
  <si>
    <t>5,878 (159)</t>
  </si>
  <si>
    <t>3,870 (-3)</t>
  </si>
  <si>
    <t>3,772 (117)</t>
  </si>
  <si>
    <t>5,498 (148)</t>
  </si>
  <si>
    <t>3,206 (86)</t>
  </si>
  <si>
    <t>5,476 (180)</t>
  </si>
  <si>
    <t>5,278 (114)</t>
  </si>
  <si>
    <t>4,787 (177)</t>
  </si>
  <si>
    <t>4,278 (176)</t>
  </si>
  <si>
    <t>5,602 (148)</t>
  </si>
  <si>
    <t>5,472 (172)</t>
  </si>
  <si>
    <t>3,686 (110)</t>
  </si>
  <si>
    <t>4,340 (0)</t>
  </si>
  <si>
    <t>3,051 (99)</t>
  </si>
  <si>
    <t>4,745 (117)</t>
  </si>
  <si>
    <t>3,786 (218)</t>
  </si>
  <si>
    <t>5,107 (-902)</t>
  </si>
  <si>
    <t>2,926 (75)</t>
  </si>
  <si>
    <t>2,374 (140)</t>
  </si>
  <si>
    <t>1,918 (81)</t>
  </si>
  <si>
    <t>2,136 (119)</t>
  </si>
  <si>
    <t>2,212 (189)</t>
  </si>
  <si>
    <t>24,417 (564)</t>
  </si>
  <si>
    <t>5,223 (179)</t>
  </si>
  <si>
    <t>2,189 (48)</t>
  </si>
  <si>
    <t>2,896 (170)</t>
  </si>
  <si>
    <t>2,336 (66)</t>
  </si>
  <si>
    <t>4,067 (156)</t>
  </si>
  <si>
    <t>2,375 (110)</t>
  </si>
  <si>
    <t>3,226 (144)</t>
  </si>
  <si>
    <t>2,698 (167)</t>
  </si>
  <si>
    <t>21,189 (690)</t>
  </si>
  <si>
    <t>3,211 (139)</t>
  </si>
  <si>
    <t>1,558 (54)</t>
  </si>
  <si>
    <t>2,635 (104)</t>
  </si>
  <si>
    <t>2,723 (6)</t>
  </si>
  <si>
    <t>4,196 (173)</t>
  </si>
  <si>
    <t>2,725 (117)</t>
  </si>
  <si>
    <t>2,876 (137)</t>
  </si>
  <si>
    <t>4,639 (308)</t>
  </si>
  <si>
    <t>2,339 (85)</t>
  </si>
  <si>
    <t>3,859 (336)</t>
  </si>
  <si>
    <t>2,148 (169)</t>
  </si>
  <si>
    <t>4,502 (238)</t>
  </si>
  <si>
    <t>3,367 (106)</t>
  </si>
  <si>
    <t>2,126 (116)</t>
  </si>
  <si>
    <t>3,254 (120)</t>
  </si>
  <si>
    <t>1,879 (38)</t>
  </si>
  <si>
    <t>4,200 (120)</t>
  </si>
  <si>
    <t>2,780 (157)</t>
  </si>
  <si>
    <t>3,207 (280)</t>
  </si>
  <si>
    <t>2,588 (91)</t>
  </si>
  <si>
    <t>3,288 (149)</t>
  </si>
  <si>
    <t>3,093 (111)</t>
  </si>
  <si>
    <t>3,842 (220)</t>
  </si>
  <si>
    <t>2,653 (219)</t>
  </si>
  <si>
    <t>3,685 (157)</t>
  </si>
  <si>
    <t>3,364 (122)</t>
  </si>
  <si>
    <t>4,121 (197)</t>
  </si>
  <si>
    <t>3,366 (139)</t>
  </si>
  <si>
    <t>3,157 (176)</t>
  </si>
  <si>
    <t>3,101 (144)</t>
  </si>
  <si>
    <t>2,051 (77)</t>
  </si>
  <si>
    <t>3,130 (1)</t>
  </si>
  <si>
    <t>2,612 (61)</t>
  </si>
  <si>
    <t>3,762 (142)</t>
  </si>
  <si>
    <t>Mervin Stephenson</t>
  </si>
  <si>
    <t>Allen Abrassart</t>
  </si>
  <si>
    <t>Robert A. (Butch) Fischer</t>
  </si>
  <si>
    <t>Joe A. Vermette</t>
  </si>
  <si>
    <t>Tom Carleton</t>
  </si>
  <si>
    <t>Adam Hauch</t>
  </si>
  <si>
    <t>Lawrence Kluthe</t>
  </si>
  <si>
    <t>Bruce Lennon</t>
  </si>
  <si>
    <t>Stan Pearson</t>
  </si>
  <si>
    <t>Laurent St. Denis</t>
  </si>
  <si>
    <t>Phil Oakes</t>
  </si>
  <si>
    <t>Lorraine Oberg</t>
  </si>
  <si>
    <t>Kathleen Crone</t>
  </si>
  <si>
    <t>M. (Dick) Devries</t>
  </si>
  <si>
    <t>W.L. (Bud) Iverson</t>
  </si>
  <si>
    <t>Harold L. Schneider</t>
  </si>
  <si>
    <t>John Tolsma</t>
  </si>
  <si>
    <t>Rick Allen</t>
  </si>
  <si>
    <t>Dick (Richard) Davies</t>
  </si>
  <si>
    <t>Merv Zadderey</t>
  </si>
  <si>
    <t xml:space="preserve">Ed Caraher </t>
  </si>
  <si>
    <t>Con Sehn</t>
  </si>
  <si>
    <t>David Evans</t>
  </si>
  <si>
    <t>Larry Peterson</t>
  </si>
  <si>
    <t>Shirley Bassani</t>
  </si>
  <si>
    <t>Ernie Charman</t>
  </si>
  <si>
    <t>John Thomas Mitchell</t>
  </si>
  <si>
    <t>Eric E. Enns</t>
  </si>
  <si>
    <t xml:space="preserve">Tom Turner </t>
  </si>
  <si>
    <t xml:space="preserve">Murray Erickson </t>
  </si>
  <si>
    <t>Bradley Neubauer</t>
  </si>
  <si>
    <t>Floyd Allen</t>
  </si>
  <si>
    <t>Catherine Martini</t>
  </si>
  <si>
    <t>Roy P. Rasmusen</t>
  </si>
  <si>
    <t>Douglas Stewart Williams</t>
  </si>
  <si>
    <t>Anita Bozak</t>
  </si>
  <si>
    <t>Dennis L. Anderson</t>
  </si>
  <si>
    <t>Darwin M. Sorenson</t>
  </si>
  <si>
    <t>Richard A. Langen</t>
  </si>
  <si>
    <t>Victor Lenko</t>
  </si>
  <si>
    <t>Bernie Tanner</t>
  </si>
  <si>
    <t>Leroy Thompson</t>
  </si>
  <si>
    <t>Don Carter</t>
  </si>
  <si>
    <t>Gregory J. Langen</t>
  </si>
  <si>
    <t>Ray Neilson</t>
  </si>
  <si>
    <t>Alan D. J. Sopczak</t>
  </si>
  <si>
    <t>Larry Adorjan</t>
  </si>
  <si>
    <t>Joanne Hedenstrom</t>
  </si>
  <si>
    <t>Robert Moyor</t>
  </si>
  <si>
    <t>Carol Stein</t>
  </si>
  <si>
    <t>Ella Ayers</t>
  </si>
  <si>
    <t>Henry Hein Braeutigam</t>
  </si>
  <si>
    <t>J.V.W. Gairy</t>
  </si>
  <si>
    <t>Barry J. Rust</t>
  </si>
  <si>
    <t>George Yanchula</t>
  </si>
  <si>
    <t>Dennis Bennett</t>
  </si>
  <si>
    <t>Don Bryant</t>
  </si>
  <si>
    <t>Grand Tim Majanja</t>
  </si>
  <si>
    <t>Terry Wolsey</t>
  </si>
  <si>
    <t>Jerry J. Glowacki</t>
  </si>
  <si>
    <t>Garnet E. Birch</t>
  </si>
  <si>
    <t>Zoritza Kasparian</t>
  </si>
  <si>
    <t>Doris Schupp</t>
  </si>
  <si>
    <t>Gordon W. Shrake</t>
  </si>
  <si>
    <t xml:space="preserve">Davis Swan </t>
  </si>
  <si>
    <t>Diane Ablonczy</t>
  </si>
  <si>
    <t>Phil Elder</t>
  </si>
  <si>
    <t>J. Curtis Joynt</t>
  </si>
  <si>
    <t>Stephen B. Keeling</t>
  </si>
  <si>
    <t>Bohdan (Bud) Zip</t>
  </si>
  <si>
    <t>Gordon Kennard</t>
  </si>
  <si>
    <t xml:space="preserve">Sheila Embury </t>
  </si>
  <si>
    <t>Walter Kostiuk</t>
  </si>
  <si>
    <t>Leonard Petterson</t>
  </si>
  <si>
    <t>Bruce Roper</t>
  </si>
  <si>
    <t>Ed Smith</t>
  </si>
  <si>
    <t>Gerry Oberg</t>
  </si>
  <si>
    <t>Keith Schmidt</t>
  </si>
  <si>
    <t>Leslie Howard</t>
  </si>
  <si>
    <t>Gladys Creasy</t>
  </si>
  <si>
    <t>Sten Berg</t>
  </si>
  <si>
    <t>Walter A. Buck</t>
  </si>
  <si>
    <t>Sig Jorstad</t>
  </si>
  <si>
    <t xml:space="preserve">David Morris </t>
  </si>
  <si>
    <t>Orville Reber</t>
  </si>
  <si>
    <t>Rudolf Schempp</t>
  </si>
  <si>
    <t>Gifford Woodcock</t>
  </si>
  <si>
    <t>George Perdicaris</t>
  </si>
  <si>
    <t>L.M. (Mickey) Clark</t>
  </si>
  <si>
    <t>Rona Drennan</t>
  </si>
  <si>
    <t>Leif Oddson</t>
  </si>
  <si>
    <t>Kathy Wright</t>
  </si>
  <si>
    <t>Joan Jenkins</t>
  </si>
  <si>
    <t>Dennis Peter</t>
  </si>
  <si>
    <t>Winston Gereluk</t>
  </si>
  <si>
    <t>Steve Kostiuk</t>
  </si>
  <si>
    <t>Iain Taylor</t>
  </si>
  <si>
    <t>Garth Stevenson</t>
  </si>
  <si>
    <t>H.D. (Tony) Smith</t>
  </si>
  <si>
    <t>Chuck Bolton</t>
  </si>
  <si>
    <t>A.P. (Al) Hiebert</t>
  </si>
  <si>
    <t>Joe Wanner</t>
  </si>
  <si>
    <t>Marilyn Burnett</t>
  </si>
  <si>
    <t>Dave Maetche</t>
  </si>
  <si>
    <t>Naomi J. Rankin</t>
  </si>
  <si>
    <t>Don Aitken</t>
  </si>
  <si>
    <t>G. Crofton</t>
  </si>
  <si>
    <t>Peter A. Keohan</t>
  </si>
  <si>
    <t>John Ludwig</t>
  </si>
  <si>
    <t>Bill Broad</t>
  </si>
  <si>
    <t>Mark Byington</t>
  </si>
  <si>
    <t>Carl Paproski</t>
  </si>
  <si>
    <t>N.A. Chaudhary</t>
  </si>
  <si>
    <t>Wm. (Bill) Dickson</t>
  </si>
  <si>
    <t>Andy H. Groenink</t>
  </si>
  <si>
    <t>Robert Henderson</t>
  </si>
  <si>
    <t>Ai (Bud) Wilson</t>
  </si>
  <si>
    <t>Dave Fletcher</t>
  </si>
  <si>
    <t>Terry Juba</t>
  </si>
  <si>
    <t>Winston Mohabir</t>
  </si>
  <si>
    <t>John Hudson</t>
  </si>
  <si>
    <t>Georg J.P. Wowk</t>
  </si>
  <si>
    <t>Chris Frazer</t>
  </si>
  <si>
    <t>Merv Gray</t>
  </si>
  <si>
    <t>Ai Howell</t>
  </si>
  <si>
    <t>Ai Oeming</t>
  </si>
  <si>
    <t>Randy Coombes</t>
  </si>
  <si>
    <t>Murray W. Scambler</t>
  </si>
  <si>
    <t>Keith Alexander</t>
  </si>
  <si>
    <t>Leslie Bella</t>
  </si>
  <si>
    <t>Erika Guidera</t>
  </si>
  <si>
    <t>Keith Schultz</t>
  </si>
  <si>
    <t>Joe Trenchy</t>
  </si>
  <si>
    <t>Lynn Lewis</t>
  </si>
  <si>
    <t>Eilir Thomas</t>
  </si>
  <si>
    <t>Jake Paetkau</t>
  </si>
  <si>
    <t>Jack Smith</t>
  </si>
  <si>
    <t>Ronald G. Arkes</t>
  </si>
  <si>
    <t>Gordon Kesler</t>
  </si>
  <si>
    <t>R.L. Snell</t>
  </si>
  <si>
    <t>Don Tanner</t>
  </si>
  <si>
    <t>Lyle B. Bleich</t>
  </si>
  <si>
    <t>Nigel I. Pengelly</t>
  </si>
  <si>
    <t>Dermond Travis</t>
  </si>
  <si>
    <t>Jim Williams</t>
  </si>
  <si>
    <t>Roland J. Woodward</t>
  </si>
  <si>
    <t>Terry Long</t>
  </si>
  <si>
    <t>Howard P. Thompson</t>
  </si>
  <si>
    <t>Joseph D. Blyan</t>
  </si>
  <si>
    <t>George Keay</t>
  </si>
  <si>
    <t>Gary D. Kennedy</t>
  </si>
  <si>
    <t>Garth Lodge</t>
  </si>
  <si>
    <t>Larry R. Shaben</t>
  </si>
  <si>
    <t>Paul R. Belanger</t>
  </si>
  <si>
    <t>Mike Bennison</t>
  </si>
  <si>
    <t>G.M. Gengstad</t>
  </si>
  <si>
    <t>Brenda L. Perkins</t>
  </si>
  <si>
    <t xml:space="preserve">Beth Jantzie </t>
  </si>
  <si>
    <t>Wayne Lawlor</t>
  </si>
  <si>
    <t>Robin Allan</t>
  </si>
  <si>
    <t>Jerry Butz</t>
  </si>
  <si>
    <t>Paul Abildgaard</t>
  </si>
  <si>
    <t>Dennis Irvine</t>
  </si>
  <si>
    <t>Ellis Oviatt</t>
  </si>
  <si>
    <t>Inez Watmough</t>
  </si>
  <si>
    <t>Frank F. Cottingham</t>
  </si>
  <si>
    <t>David F. Lees</t>
  </si>
  <si>
    <t>Roy Agnew</t>
  </si>
  <si>
    <t>John Buttrey</t>
  </si>
  <si>
    <t>Darryl M. Jaddock</t>
  </si>
  <si>
    <t>Lloyd Quantz</t>
  </si>
  <si>
    <t>Stephen Stiles</t>
  </si>
  <si>
    <t>Rick Collins</t>
  </si>
  <si>
    <t>Laura M. Deedza</t>
  </si>
  <si>
    <t>J.A. Jim Kalman</t>
  </si>
  <si>
    <t>Joseph (Little Joe) Kessler</t>
  </si>
  <si>
    <t>Fred D. Bradley</t>
  </si>
  <si>
    <t>Dennis Olson</t>
  </si>
  <si>
    <t>Jerry Potts</t>
  </si>
  <si>
    <t>Paul M. Bateman</t>
  </si>
  <si>
    <t>Tom Butterfield</t>
  </si>
  <si>
    <t>C.W. (Bill) Loov</t>
  </si>
  <si>
    <t>Eric Ostergaard</t>
  </si>
  <si>
    <t>Kendall Dunford</t>
  </si>
  <si>
    <t>Wynne Richard Hanson</t>
  </si>
  <si>
    <t>Roger P. Pullishy</t>
  </si>
  <si>
    <t>Dolly Martin</t>
  </si>
  <si>
    <t>Andrew Blum</t>
  </si>
  <si>
    <t>A. Hemmingway</t>
  </si>
  <si>
    <t>Dan Fletcher</t>
  </si>
  <si>
    <t>Doug Snider</t>
  </si>
  <si>
    <t>Pincher Creek-Macleod</t>
  </si>
  <si>
    <t>Calgary-South East</t>
  </si>
  <si>
    <t>Didsbury</t>
  </si>
  <si>
    <t>Hand Hills</t>
  </si>
  <si>
    <t>12,897 (20)</t>
  </si>
  <si>
    <t>12,040 (27)</t>
  </si>
  <si>
    <t>13,016 (18)</t>
  </si>
  <si>
    <t>9,970 (18)</t>
  </si>
  <si>
    <t>9,192 (41)</t>
  </si>
  <si>
    <t>14,402 (56)</t>
  </si>
  <si>
    <t>13,024 (26)</t>
  </si>
  <si>
    <t>13,417 (41)</t>
  </si>
  <si>
    <t>Adrianus Kuiper</t>
  </si>
  <si>
    <t>Laverne J. Ahlstrom</t>
  </si>
  <si>
    <t>Art Carritt</t>
  </si>
  <si>
    <t>Steven Lindop</t>
  </si>
  <si>
    <t>Ernie Townsend</t>
  </si>
  <si>
    <t>Martin Cree</t>
  </si>
  <si>
    <t>Conrad Leblanc</t>
  </si>
  <si>
    <t>Colin Nash</t>
  </si>
  <si>
    <t>Thomas Henry Droege</t>
  </si>
  <si>
    <t>Bryan Strong</t>
  </si>
  <si>
    <t>George Michaud</t>
  </si>
  <si>
    <t>Martin Naundorf</t>
  </si>
  <si>
    <t>Roland F. Rocque</t>
  </si>
  <si>
    <t>Iris Bourne</t>
  </si>
  <si>
    <t>Brian Downey</t>
  </si>
  <si>
    <t>Red Peeples</t>
  </si>
  <si>
    <t>Fred J. Rappel</t>
  </si>
  <si>
    <t>Ernest Clintberg</t>
  </si>
  <si>
    <t>J. Richard Dougherty</t>
  </si>
  <si>
    <t>Rick Hardy</t>
  </si>
  <si>
    <t>Ed Willson</t>
  </si>
  <si>
    <t>Jim Renfrow</t>
  </si>
  <si>
    <t>John Voorhorst</t>
  </si>
  <si>
    <t>Vernal Poole</t>
  </si>
  <si>
    <t>Allen Antoniuk</t>
  </si>
  <si>
    <t>Ron Rudkowsky</t>
  </si>
  <si>
    <t>John A. Sawiak</t>
  </si>
  <si>
    <t>Edmonton-Sherwood Park</t>
  </si>
  <si>
    <t xml:space="preserve">79 Members </t>
  </si>
  <si>
    <t>Luke Lacasse</t>
  </si>
  <si>
    <t>Rob Renner</t>
  </si>
  <si>
    <t>Olds-Didsbury-Three Hills</t>
  </si>
  <si>
    <t>Brenda L. Dyck</t>
  </si>
  <si>
    <t>Richard Marz</t>
  </si>
  <si>
    <t>Gayleen Roelfsema</t>
  </si>
  <si>
    <t>Nicholas Semmler</t>
  </si>
  <si>
    <t>Peace River</t>
  </si>
  <si>
    <t>Susan Callihoo</t>
  </si>
  <si>
    <t>Steve Crocker</t>
  </si>
  <si>
    <t>Gary Friedel</t>
  </si>
  <si>
    <t>John Iftody</t>
  </si>
  <si>
    <t>Ponoka-Rimbey</t>
  </si>
  <si>
    <t>Tim Falkiner</t>
  </si>
  <si>
    <t>Halvar C. Jonson</t>
  </si>
  <si>
    <t>Charles Park</t>
  </si>
  <si>
    <t>Linda Roth</t>
  </si>
  <si>
    <t>Red Deer-North</t>
  </si>
  <si>
    <t>Patti Argent</t>
  </si>
  <si>
    <t>Jim Guthrie</t>
  </si>
  <si>
    <t>Mary Anne Jablonski</t>
  </si>
  <si>
    <t>Norm McDougall</t>
  </si>
  <si>
    <t>Red Deer-South</t>
  </si>
  <si>
    <t>Bob Argent</t>
  </si>
  <si>
    <t>Erika Bullwinkle</t>
  </si>
  <si>
    <t>Victor Doerksen</t>
  </si>
  <si>
    <t>Ryan Lamarche</t>
  </si>
  <si>
    <t>Garfield Marks</t>
  </si>
  <si>
    <t>Redwater</t>
  </si>
  <si>
    <t>Dave Broda</t>
  </si>
  <si>
    <t>Tony Ollenberger</t>
  </si>
  <si>
    <t>Andrew Raczynski</t>
  </si>
  <si>
    <t>Mike Radojcic</t>
  </si>
  <si>
    <t>Rocky Mountain House</t>
  </si>
  <si>
    <t>Lavern J. Ahlstrom</t>
  </si>
  <si>
    <t>Wijnand Horemans</t>
  </si>
  <si>
    <t>Ty Lund</t>
  </si>
  <si>
    <t>Doug Mac Angus</t>
  </si>
  <si>
    <t>St. Albert</t>
  </si>
  <si>
    <t>E.L. Lamont</t>
  </si>
  <si>
    <t>W.H. Bailey</t>
  </si>
  <si>
    <t>G.W. Baldwin</t>
  </si>
  <si>
    <t>H.K. Brown</t>
  </si>
  <si>
    <t>Hon. G.N. Johnston</t>
  </si>
  <si>
    <t>Arthur M. Day</t>
  </si>
  <si>
    <t>W.A. Austin</t>
  </si>
  <si>
    <t>Arch. F. Key</t>
  </si>
  <si>
    <t>D.A. Macaulay</t>
  </si>
  <si>
    <t>John O'Sullivan</t>
  </si>
  <si>
    <t>D.M Duggan</t>
  </si>
  <si>
    <t>C.L. Gibbs</t>
  </si>
  <si>
    <t>Wm. A. Atkinson</t>
  </si>
  <si>
    <t>W.W. Prevey</t>
  </si>
  <si>
    <t>J.T.J. Collisson</t>
  </si>
  <si>
    <t>K. Knott</t>
  </si>
  <si>
    <t>N.C. Willson</t>
  </si>
  <si>
    <t>Tanya Gill</t>
  </si>
  <si>
    <t>Bauni Mackay</t>
  </si>
  <si>
    <t>Ken Shipka</t>
  </si>
  <si>
    <t>Julius Yankowsky</t>
  </si>
  <si>
    <t>Teo Zanetic</t>
  </si>
  <si>
    <t>Edmonton-Calder</t>
  </si>
  <si>
    <t>Christine Burdett</t>
  </si>
  <si>
    <t>Brent Rathgeber</t>
  </si>
  <si>
    <t>Lance White</t>
  </si>
  <si>
    <t>Edmonton-Castle Downs</t>
  </si>
  <si>
    <t>Michael Charrois</t>
  </si>
  <si>
    <t>Thomas A. Lukaszuk</t>
  </si>
  <si>
    <t>Boris Yaremko</t>
  </si>
  <si>
    <t>Edmonton-Centre</t>
  </si>
  <si>
    <t>Laurie Blakeman</t>
  </si>
  <si>
    <t>David Eggen</t>
  </si>
  <si>
    <t>Naomi Rankin</t>
  </si>
  <si>
    <t>Jon Lord</t>
  </si>
  <si>
    <t xml:space="preserve">Progressive Conservative </t>
  </si>
  <si>
    <t>The Forum Party</t>
  </si>
  <si>
    <t>Representative Party</t>
  </si>
  <si>
    <t>Heritage Party</t>
  </si>
  <si>
    <t>Communist Party</t>
  </si>
  <si>
    <t>Confederation of Regions</t>
  </si>
  <si>
    <t>Natural Law Party</t>
  </si>
  <si>
    <t>Alberta Alliance</t>
  </si>
  <si>
    <t>(Appeal Court's final decision on recount)</t>
  </si>
  <si>
    <t>Gerard (Gerry) Amerongen</t>
  </si>
  <si>
    <t>Milt Pahl</t>
  </si>
  <si>
    <t>Catherine Chichak</t>
  </si>
  <si>
    <t xml:space="preserve">13,372 (18) </t>
  </si>
  <si>
    <t xml:space="preserve">8,182 (33) </t>
  </si>
  <si>
    <t xml:space="preserve">10,301 (18) </t>
  </si>
  <si>
    <t>Eric C. Musgreave</t>
  </si>
  <si>
    <t>Lac La Biche-McMurray</t>
  </si>
  <si>
    <t>12,590 (55)</t>
  </si>
  <si>
    <t>12,940 (25)</t>
  </si>
  <si>
    <t>13,686 (28)</t>
  </si>
  <si>
    <t>11,433 (26)</t>
  </si>
  <si>
    <t>Jeffery Krekoski</t>
  </si>
  <si>
    <t>14,023 (40)</t>
  </si>
  <si>
    <t>Len Borowski</t>
  </si>
  <si>
    <t>Neil Brown</t>
  </si>
  <si>
    <t>Raymond (Chick) Hurst</t>
  </si>
  <si>
    <t>John Johnson</t>
  </si>
  <si>
    <t>Bill McGregor</t>
  </si>
  <si>
    <t>9,300 (46)</t>
  </si>
  <si>
    <t>Barry Chase</t>
  </si>
  <si>
    <t>Daniel Doherty</t>
  </si>
  <si>
    <t>Rick Papineau</t>
  </si>
  <si>
    <t>John Roggeveen</t>
  </si>
  <si>
    <t>Jarrett Young</t>
  </si>
  <si>
    <t>10,616 (17)</t>
  </si>
  <si>
    <t>Ronald Beninger</t>
  </si>
  <si>
    <t>Mark Gabruch</t>
  </si>
  <si>
    <t>Richard Larson</t>
  </si>
  <si>
    <t>Leonard Skowronski</t>
  </si>
  <si>
    <t>Michael W. Smyth</t>
  </si>
  <si>
    <t>14,219 (54)</t>
  </si>
  <si>
    <t>Chantelle Dubois</t>
  </si>
  <si>
    <t>John Keyes</t>
  </si>
  <si>
    <t>James Kohut</t>
  </si>
  <si>
    <t>Ron Liepert</t>
  </si>
  <si>
    <t>Derek Smith</t>
  </si>
  <si>
    <t>13,381 (43)</t>
  </si>
  <si>
    <t>Luann Bannister</t>
  </si>
  <si>
    <t>Lindsay Ferguson</t>
  </si>
  <si>
    <t>Paul Hinman</t>
  </si>
  <si>
    <t>Paula Shimp</t>
  </si>
  <si>
    <t>8,834 (47)</t>
  </si>
  <si>
    <t>Stuart Angle</t>
  </si>
  <si>
    <t>Leonard Mitzel</t>
  </si>
  <si>
    <t>Dan H. Pierson</t>
  </si>
  <si>
    <t>Eric Solberg</t>
  </si>
  <si>
    <t>8,422 (58)</t>
  </si>
  <si>
    <t>Thomas Cliff</t>
  </si>
  <si>
    <t>Viona Cunningham</t>
  </si>
  <si>
    <t>Edwin Erickson</t>
  </si>
  <si>
    <t>Laura Higgerty</t>
  </si>
  <si>
    <t>Elmer Knopp</t>
  </si>
  <si>
    <t>Lynn Oberle</t>
  </si>
  <si>
    <t>8,811 (49)</t>
  </si>
  <si>
    <t>Richard Bough</t>
  </si>
  <si>
    <t>David Carnegie</t>
  </si>
  <si>
    <t>Dave France</t>
  </si>
  <si>
    <t>Mary-Lou Kloppenburg</t>
  </si>
  <si>
    <t>10,415 (47)</t>
  </si>
  <si>
    <t>Benoit Couture</t>
  </si>
  <si>
    <t>Philip Gamache</t>
  </si>
  <si>
    <t>Sam Parmar</t>
  </si>
  <si>
    <t>10,346 (36)</t>
  </si>
  <si>
    <t>Vicki Kramer</t>
  </si>
  <si>
    <t>Brad Smith</t>
  </si>
  <si>
    <t>11,295 (48)</t>
  </si>
  <si>
    <t>Mary Elizabeth Archer</t>
  </si>
  <si>
    <t>Tony Caterina</t>
  </si>
  <si>
    <t>Linda Clements</t>
  </si>
  <si>
    <t>David J. Parker</t>
  </si>
  <si>
    <t>10,869 (81)</t>
  </si>
  <si>
    <t>Shirley Barg</t>
  </si>
  <si>
    <t>Bill Bonko</t>
  </si>
  <si>
    <t>Geoffrey Chevrier</t>
  </si>
  <si>
    <t>Walter Szwender</t>
  </si>
  <si>
    <t>9,888 (48)</t>
  </si>
  <si>
    <t>Marilyn Assheton-Smith</t>
  </si>
  <si>
    <t>Gurnam Dodd</t>
  </si>
  <si>
    <t>Amelia Maciejewski</t>
  </si>
  <si>
    <t>Eleanor Maroes</t>
  </si>
  <si>
    <t>10,196 (38)</t>
  </si>
  <si>
    <t>Larry Booi</t>
  </si>
  <si>
    <t>Blaine Currie</t>
  </si>
  <si>
    <t>Peter Johnston</t>
  </si>
  <si>
    <t xml:space="preserve">9,608 (21) </t>
  </si>
  <si>
    <t xml:space="preserve">13,685 (26) </t>
  </si>
  <si>
    <t xml:space="preserve">13,507(40) </t>
  </si>
  <si>
    <t xml:space="preserve">14,184 (17) </t>
  </si>
  <si>
    <t xml:space="preserve">12,996 (33) </t>
  </si>
  <si>
    <t>14,953 (35)</t>
  </si>
  <si>
    <t>17,795 (47)</t>
  </si>
  <si>
    <t>6,489 (17)</t>
  </si>
  <si>
    <t>Pincher Creek-Crowsnest</t>
  </si>
  <si>
    <t>6,192 (14)</t>
  </si>
  <si>
    <t>6,204 (31)</t>
  </si>
  <si>
    <t>7,570 (22)</t>
  </si>
  <si>
    <t>Redwater-Andrew</t>
  </si>
  <si>
    <t>8,250 (14)</t>
  </si>
  <si>
    <t>7,343 (27)</t>
  </si>
  <si>
    <t>GENERAL ELECTION-Monday, November 22, 2004</t>
  </si>
  <si>
    <t>GENERAL ELECTION-Thursday, June 19, 1930</t>
  </si>
  <si>
    <t>15,632 (67)</t>
  </si>
  <si>
    <t>12,296 (24)</t>
  </si>
  <si>
    <t>11,746 (32)</t>
  </si>
  <si>
    <t>10,212 (29)</t>
  </si>
  <si>
    <t>7,864 (11)</t>
  </si>
  <si>
    <t>8,714 (18)</t>
  </si>
  <si>
    <t>14,385 (33)</t>
  </si>
  <si>
    <t>9,082 (25)</t>
  </si>
  <si>
    <t>10,715 (32)</t>
  </si>
  <si>
    <t>9,551 (30)</t>
  </si>
  <si>
    <t>9,424 (14)</t>
  </si>
  <si>
    <t>9,708 (34)</t>
  </si>
  <si>
    <t>8,891 (30)</t>
  </si>
  <si>
    <t>8,842 (23)</t>
  </si>
  <si>
    <t>13,653 (38)</t>
  </si>
  <si>
    <t>11,761 (18)</t>
  </si>
  <si>
    <t>8,907 (28)</t>
  </si>
  <si>
    <t>10,388 (21)</t>
  </si>
  <si>
    <t>13,312 (24)</t>
  </si>
  <si>
    <t>12,918 (26)</t>
  </si>
  <si>
    <t>12,533 (22)</t>
  </si>
  <si>
    <t>9,669 (55)</t>
  </si>
  <si>
    <t>10,472 (25)</t>
  </si>
  <si>
    <t>11,327 (42)</t>
  </si>
  <si>
    <t>12,189 (29)</t>
  </si>
  <si>
    <t>6,068 (46)</t>
  </si>
  <si>
    <t>8,980 (34)</t>
  </si>
  <si>
    <t>8,445 (13)</t>
  </si>
  <si>
    <t>12,229 (30)</t>
  </si>
  <si>
    <t>12,072 (32)</t>
  </si>
  <si>
    <t>10,235 (22)</t>
  </si>
  <si>
    <t>15,355 (27)</t>
  </si>
  <si>
    <t>17,979 (32)</t>
  </si>
  <si>
    <t>12,630 (43)</t>
  </si>
  <si>
    <t>12,810 (20)</t>
  </si>
  <si>
    <t>9,969 (24)</t>
  </si>
  <si>
    <t>12,223 (29)</t>
  </si>
  <si>
    <t>10,130 (20)</t>
  </si>
  <si>
    <t>11,816 (29)</t>
  </si>
  <si>
    <t>10,698 (22)</t>
  </si>
  <si>
    <t>12,371 (36)</t>
  </si>
  <si>
    <t>10,600 (42)</t>
  </si>
  <si>
    <t>9,361 (18)</t>
  </si>
  <si>
    <t>11,576 (38)</t>
  </si>
  <si>
    <t>9,722 (13)</t>
  </si>
  <si>
    <t>8,121 (26)</t>
  </si>
  <si>
    <t>7,526 (35)</t>
  </si>
  <si>
    <t>13,397 (44)</t>
  </si>
  <si>
    <t>12,190 (52)</t>
  </si>
  <si>
    <t>12,822 (25)</t>
  </si>
  <si>
    <t>13,187 (28)</t>
  </si>
  <si>
    <t>10,770 (30)</t>
  </si>
  <si>
    <t>21,788 (34)</t>
  </si>
  <si>
    <t>14,505 (1)</t>
  </si>
  <si>
    <t>13,090 (34)</t>
  </si>
  <si>
    <t>17,757 (64)</t>
  </si>
  <si>
    <t>22,866 (31)</t>
  </si>
  <si>
    <t>16,917 (39)</t>
  </si>
  <si>
    <t>9,195 (52)</t>
  </si>
  <si>
    <t>12,457 (57)</t>
  </si>
  <si>
    <t>Independent</t>
  </si>
  <si>
    <t>Barb Scott</t>
  </si>
  <si>
    <t>New Democratic Party</t>
  </si>
  <si>
    <t>Pamela Paul</t>
  </si>
  <si>
    <t>Alan Cruikshank</t>
  </si>
  <si>
    <t>Richard Johnsen</t>
  </si>
  <si>
    <t>Jenn Smith</t>
  </si>
  <si>
    <t>Emil van der Poorten</t>
  </si>
  <si>
    <t>Don Weideman</t>
  </si>
  <si>
    <t>Henry Johns</t>
  </si>
  <si>
    <t>Jasbeer Singh</t>
  </si>
  <si>
    <t>Ken Way</t>
  </si>
  <si>
    <t>Don Clarke</t>
  </si>
  <si>
    <t>William Kobluk</t>
  </si>
  <si>
    <t>David Sharkey</t>
  </si>
  <si>
    <t>Barbie-Jo Williams</t>
  </si>
  <si>
    <t>Carl Williams</t>
  </si>
  <si>
    <t>Jon Dykstra</t>
  </si>
  <si>
    <t xml:space="preserve">Kim MacKenzie </t>
  </si>
  <si>
    <t>Sam Thomas</t>
  </si>
  <si>
    <t>Arlene Young</t>
  </si>
  <si>
    <t>Susan Green</t>
  </si>
  <si>
    <t>Walter Heneghan</t>
  </si>
  <si>
    <t>David Parker</t>
  </si>
  <si>
    <t>Maury Shapka</t>
  </si>
  <si>
    <t>Pam Barrett</t>
  </si>
  <si>
    <t>Jim Campbell</t>
  </si>
  <si>
    <t>Tim Friesen</t>
  </si>
  <si>
    <t>Chris Smith</t>
  </si>
  <si>
    <t>R. Jordan Harris</t>
  </si>
  <si>
    <t>14,798 (82)</t>
  </si>
  <si>
    <t>16,517 (84)</t>
  </si>
  <si>
    <t>6,297 (24)</t>
  </si>
  <si>
    <t>6,568 (9)</t>
  </si>
  <si>
    <t>15,212 (20)</t>
  </si>
  <si>
    <t>6,477 (11)</t>
  </si>
  <si>
    <t>7,326 (24)</t>
  </si>
  <si>
    <t>11,902 (56)</t>
  </si>
  <si>
    <t>12,432 (52)</t>
  </si>
  <si>
    <t>12,007 (63)</t>
  </si>
  <si>
    <t>13,619 (29)</t>
  </si>
  <si>
    <t>15,243 (19)</t>
  </si>
  <si>
    <t>10,850 (39)</t>
  </si>
  <si>
    <t>10,215 (58)</t>
  </si>
  <si>
    <t>12,462 (20)</t>
  </si>
  <si>
    <t>12,736 (15)</t>
  </si>
  <si>
    <t>9,437 (50)</t>
  </si>
  <si>
    <t>11,628 (58)</t>
  </si>
  <si>
    <t>10,302 (16)</t>
  </si>
  <si>
    <t>18,462 (46)</t>
  </si>
  <si>
    <t>18,067 (39)</t>
  </si>
  <si>
    <t>10,508 (59)</t>
  </si>
  <si>
    <t>14,862 (19)</t>
  </si>
  <si>
    <t>15,342 (16)</t>
  </si>
  <si>
    <t>14,834 (51)</t>
  </si>
  <si>
    <t>18,112 (24)</t>
  </si>
  <si>
    <t>16,413 (31)</t>
  </si>
  <si>
    <t>11,146 (30)</t>
  </si>
  <si>
    <t>9,423 (37)</t>
  </si>
  <si>
    <t>11,930 (133)</t>
  </si>
  <si>
    <t>11,492 (33)</t>
  </si>
  <si>
    <t>10,222 (34)</t>
  </si>
  <si>
    <t xml:space="preserve">Stettler </t>
  </si>
  <si>
    <t>Okotoks-High River</t>
  </si>
  <si>
    <t>Independent Conservative</t>
  </si>
  <si>
    <t>Pembina</t>
  </si>
  <si>
    <t>Emil D. Gundlock</t>
  </si>
  <si>
    <t>Omer St. Germain</t>
  </si>
  <si>
    <t>2,751 (85)</t>
  </si>
  <si>
    <t>4,363 (181)</t>
  </si>
  <si>
    <t>41,193 (808)</t>
  </si>
  <si>
    <t>6,769 (142)</t>
  </si>
  <si>
    <t>3,063 (129)</t>
  </si>
  <si>
    <t>4,716 (130)</t>
  </si>
  <si>
    <t>3,436 (86)</t>
  </si>
  <si>
    <t>4,143 (120)</t>
  </si>
  <si>
    <t>3,125 (121)</t>
  </si>
  <si>
    <t>4,251 (114)</t>
  </si>
  <si>
    <t>3,619 (125)</t>
  </si>
  <si>
    <t>37,267 (785)</t>
  </si>
  <si>
    <t>5,188 (279)</t>
  </si>
  <si>
    <t>2,016 (45)</t>
  </si>
  <si>
    <t>3,996 (141)</t>
  </si>
  <si>
    <t>6,758 (11)</t>
  </si>
  <si>
    <t>12,482 (23)</t>
  </si>
  <si>
    <t>15,164 (41)</t>
  </si>
  <si>
    <t>10,772 (24)</t>
  </si>
  <si>
    <t>14,439 (23)</t>
  </si>
  <si>
    <t>8,815 (38)</t>
  </si>
  <si>
    <t>Edmonton-Kingsway</t>
  </si>
  <si>
    <t>9,717 (26)</t>
  </si>
  <si>
    <t>14,127 (25)</t>
  </si>
  <si>
    <t>6,355 (6)</t>
  </si>
  <si>
    <t>10,303 (49)</t>
  </si>
  <si>
    <t>9,093 (35)</t>
  </si>
  <si>
    <t>12,785 (36)</t>
  </si>
  <si>
    <t>12,548 (40)</t>
  </si>
  <si>
    <t>11,104 (25)</t>
  </si>
  <si>
    <t>18,138 (29)</t>
  </si>
  <si>
    <t>20,636 (47)</t>
  </si>
  <si>
    <t>14,458 (44)</t>
  </si>
  <si>
    <t>11,825 (36)</t>
  </si>
  <si>
    <t>J.J. Bowlen</t>
  </si>
  <si>
    <t>F.J. White</t>
  </si>
  <si>
    <t>Independent Labour</t>
  </si>
  <si>
    <t>C.A. Ronning</t>
  </si>
  <si>
    <t>944,936 (2,708)</t>
  </si>
  <si>
    <t>713,654 (1,722)</t>
  </si>
  <si>
    <t>829,189 (2,051)</t>
  </si>
  <si>
    <t>989,025 (2,447)</t>
  </si>
  <si>
    <t>945,713 (2,625)</t>
  </si>
  <si>
    <t>8,800 (10)</t>
  </si>
  <si>
    <t>1,013,152 (2,692)</t>
  </si>
  <si>
    <t>188,219 (7,707)</t>
  </si>
  <si>
    <t>Stan Schumacher</t>
  </si>
  <si>
    <t>15,484 (23)</t>
  </si>
  <si>
    <t>11,134 (56)</t>
  </si>
  <si>
    <t>12,251 (46)</t>
  </si>
  <si>
    <t>10,601 (21)</t>
  </si>
  <si>
    <t>Edmonton-Jasper Place</t>
  </si>
  <si>
    <t>14,216 (15)</t>
  </si>
  <si>
    <t>14,028 (26)</t>
  </si>
  <si>
    <t>9,351 (38)</t>
  </si>
  <si>
    <t>14,294 (42)</t>
  </si>
  <si>
    <t>9,827 (43)</t>
  </si>
  <si>
    <t>17,905 (54)</t>
  </si>
  <si>
    <t>13,034 (27)</t>
  </si>
  <si>
    <t>15,281(36)</t>
  </si>
  <si>
    <t>13,917 (39)</t>
  </si>
  <si>
    <t>8,526 (60)</t>
  </si>
  <si>
    <t>11,137 (72)</t>
  </si>
  <si>
    <t>6,427 (31)</t>
  </si>
  <si>
    <t>Westaskiwin-Camrose</t>
  </si>
  <si>
    <t>5,729 (34)</t>
  </si>
  <si>
    <t>5,594 (31)</t>
  </si>
  <si>
    <t>12,244 (81)</t>
  </si>
  <si>
    <t>9,387 (68)</t>
  </si>
  <si>
    <t>8,887 (30)</t>
  </si>
  <si>
    <t>11,019 (39)</t>
  </si>
  <si>
    <t>H.B. Fraser</t>
  </si>
  <si>
    <t>M.G.H. Cardann</t>
  </si>
  <si>
    <t>Pincher Creek</t>
  </si>
  <si>
    <t>R.C. Taylor</t>
  </si>
  <si>
    <t>H. Bossenberry</t>
  </si>
  <si>
    <t>R.O. Allison</t>
  </si>
  <si>
    <t>E.G. Cook</t>
  </si>
  <si>
    <t>J.E. Brownlee</t>
  </si>
  <si>
    <t>Robt. McLaren</t>
  </si>
  <si>
    <t xml:space="preserve">Ponoka </t>
  </si>
  <si>
    <t xml:space="preserve">Edith Rogers </t>
  </si>
  <si>
    <t>M.H.W. Fizzell</t>
  </si>
  <si>
    <t>E.G. Johns</t>
  </si>
  <si>
    <t>W.E. Payne</t>
  </si>
  <si>
    <t>G.H. Palmer</t>
  </si>
  <si>
    <t>Ribstone</t>
  </si>
  <si>
    <t>R.M. Lee</t>
  </si>
  <si>
    <t>W.G. Farquharson</t>
  </si>
  <si>
    <t>Rocky Mountain</t>
  </si>
  <si>
    <t>Barrie Chivers</t>
  </si>
  <si>
    <t>Raymond A. Speaker</t>
  </si>
  <si>
    <t>Michael Senych</t>
  </si>
  <si>
    <t>William Chapman</t>
  </si>
  <si>
    <t>Donna Fong</t>
  </si>
  <si>
    <t>Gwen Harris</t>
  </si>
  <si>
    <t>David Prenoslo</t>
  </si>
  <si>
    <t>Linda Sloan</t>
  </si>
  <si>
    <t>Will Hodgson</t>
  </si>
  <si>
    <t>David Lincoln</t>
  </si>
  <si>
    <t>Brenda Platzer</t>
  </si>
  <si>
    <t>Percy Wickman</t>
  </si>
  <si>
    <t>Ian Zaharko</t>
  </si>
  <si>
    <t>John Forget</t>
  </si>
  <si>
    <t>Eshwar Jagdeo</t>
  </si>
  <si>
    <t>Myles Kitagawa</t>
  </si>
  <si>
    <t>Mary MacDonald</t>
  </si>
  <si>
    <t>Kevin Bialobzyski</t>
  </si>
  <si>
    <t>Randy Fritz</t>
  </si>
  <si>
    <t>Charan Khehra</t>
  </si>
  <si>
    <t>Corky Meyer</t>
  </si>
  <si>
    <t>James Welsh</t>
  </si>
  <si>
    <t>Jeff Eamon</t>
  </si>
  <si>
    <t>Scott Mudford</t>
  </si>
  <si>
    <t>Judy Stewart</t>
  </si>
  <si>
    <t>Dale Greig</t>
  </si>
  <si>
    <t>Joe Woytowich</t>
  </si>
  <si>
    <t>J. Harvey Yuill</t>
  </si>
  <si>
    <t>Robert Kratchmer</t>
  </si>
  <si>
    <t>Leo Vasseur</t>
  </si>
  <si>
    <t>Ron Hierath</t>
  </si>
  <si>
    <t>James Jackson</t>
  </si>
  <si>
    <t>Ken Rose</t>
  </si>
  <si>
    <t>Muriel Abdurahman</t>
  </si>
  <si>
    <t>Michael Berezowsky</t>
  </si>
  <si>
    <t>Max Cornelssen</t>
  </si>
  <si>
    <t>Don Crisall</t>
  </si>
  <si>
    <t>Maurice Perron</t>
  </si>
  <si>
    <t>Roy Andresen</t>
  </si>
  <si>
    <t>Tom Fuller</t>
  </si>
  <si>
    <t>Moe Hamdon</t>
  </si>
  <si>
    <t>Tom Thurber</t>
  </si>
  <si>
    <t>Einar Davison</t>
  </si>
  <si>
    <t>Dale Trefz</t>
  </si>
  <si>
    <t>Glen Clegg</t>
  </si>
  <si>
    <t>Marg McCuaig-Boyd</t>
  </si>
  <si>
    <t>Fred Trotter</t>
  </si>
  <si>
    <t>Guy Boutilier</t>
  </si>
  <si>
    <t>Rodney McCallum</t>
  </si>
  <si>
    <t>John Vyboh</t>
  </si>
  <si>
    <t>John A. Croken</t>
  </si>
  <si>
    <t>Walter Paszkowski</t>
  </si>
  <si>
    <t>Linda Smith</t>
  </si>
  <si>
    <t>Wayne Jacques</t>
  </si>
  <si>
    <t>Campbell Ross</t>
  </si>
  <si>
    <t>John Bergen</t>
  </si>
  <si>
    <t>Hugh Logie</t>
  </si>
  <si>
    <t>Howard Paulsen</t>
  </si>
  <si>
    <t>Linda Neilson</t>
  </si>
  <si>
    <t>Ray Reckseidler</t>
  </si>
  <si>
    <t>Gary Severtson</t>
  </si>
  <si>
    <t>Carl Thorsteinson</t>
  </si>
  <si>
    <t>Grace Johnston</t>
  </si>
  <si>
    <t>Paul Langevin</t>
  </si>
  <si>
    <t>Don Ronaghan</t>
  </si>
  <si>
    <t>Louis Real Theriault</t>
  </si>
  <si>
    <t>Peter Tychkowsky</t>
  </si>
  <si>
    <t>Lynne Gendron</t>
  </si>
  <si>
    <t>Terry Kirkland</t>
  </si>
  <si>
    <t>Henry Neumann</t>
  </si>
  <si>
    <t>Bill Schlacht</t>
  </si>
  <si>
    <t>Inga Jesswein</t>
  </si>
  <si>
    <t>Leah Waters</t>
  </si>
  <si>
    <t>Jonathan Williams</t>
  </si>
  <si>
    <t>Don Ferguson</t>
  </si>
  <si>
    <t>Tom Hovan</t>
  </si>
  <si>
    <t>Alida Hess</t>
  </si>
  <si>
    <t>Marko Hilgersom</t>
  </si>
  <si>
    <t>Bob Bysouth</t>
  </si>
  <si>
    <t>Gwen De Maere</t>
  </si>
  <si>
    <t>Trevor Butts</t>
  </si>
  <si>
    <t>Dale Glasier</t>
  </si>
  <si>
    <t>George Peterson</t>
  </si>
  <si>
    <t>Dave Herbert</t>
  </si>
  <si>
    <t>Don MacDonald</t>
  </si>
  <si>
    <t>Anne Wilson</t>
  </si>
  <si>
    <t>Bruce MacKeen</t>
  </si>
  <si>
    <t>Randy Jones</t>
  </si>
  <si>
    <t>Halvar Jonson</t>
  </si>
  <si>
    <t>Joshua Phillpotts</t>
  </si>
  <si>
    <t>Liz Wetheral</t>
  </si>
  <si>
    <t>Len Bracko</t>
  </si>
  <si>
    <t>Michelle Mungall</t>
  </si>
  <si>
    <t>Mary O'Neill</t>
  </si>
  <si>
    <t>Sherwood Park</t>
  </si>
  <si>
    <t>Iris Evans</t>
  </si>
  <si>
    <t>Richard (Dick) Davies</t>
  </si>
  <si>
    <t>Andy Lee</t>
  </si>
  <si>
    <t>John M. Powers</t>
  </si>
  <si>
    <t>16,940 (53)</t>
  </si>
  <si>
    <t>17,318 (48)</t>
  </si>
  <si>
    <t>Jim Bell</t>
  </si>
  <si>
    <t xml:space="preserve">14,373 (18) </t>
  </si>
  <si>
    <t xml:space="preserve">15,395 (26) </t>
  </si>
  <si>
    <t xml:space="preserve">16,392 (33) </t>
  </si>
  <si>
    <t>Hana Razga</t>
  </si>
  <si>
    <t>Patrick Ellis</t>
  </si>
  <si>
    <t>Wade McKinley</t>
  </si>
  <si>
    <t>Grant Mitchell</t>
  </si>
  <si>
    <t>Michael Mooney</t>
  </si>
  <si>
    <t>Richard Vanderberg</t>
  </si>
  <si>
    <t>Aaron Hinman</t>
  </si>
  <si>
    <t>Terri McNally</t>
  </si>
  <si>
    <t>Laurie Pushor</t>
  </si>
  <si>
    <t>Geoff Toane</t>
  </si>
  <si>
    <t>Stephen Crocker</t>
  </si>
  <si>
    <t>Christie Forget</t>
  </si>
  <si>
    <t xml:space="preserve">Jurgen Preugschas </t>
  </si>
  <si>
    <t xml:space="preserve">Peter Trynchy </t>
  </si>
  <si>
    <t>Annyteh K. Pezuolla</t>
  </si>
  <si>
    <t>George Chatsis</t>
  </si>
  <si>
    <t>Brian Lee</t>
  </si>
  <si>
    <t>Colin Svendsen</t>
  </si>
  <si>
    <t>Peter Grizans</t>
  </si>
  <si>
    <t>Rork Hilford</t>
  </si>
  <si>
    <t>Tom Chesterman</t>
  </si>
  <si>
    <t>B.C. Tanner</t>
  </si>
  <si>
    <t>Susan C. Liddy</t>
  </si>
  <si>
    <t>David J. Russell</t>
  </si>
  <si>
    <t>Frank Wishlow</t>
  </si>
  <si>
    <t>Lea Russell</t>
  </si>
  <si>
    <t>Kerin Spaargaren</t>
  </si>
  <si>
    <t>J. Allen Howard</t>
  </si>
  <si>
    <t>Janet Koper</t>
  </si>
  <si>
    <t>Thora Miessner</t>
  </si>
  <si>
    <t>Len Wolstenholme</t>
  </si>
  <si>
    <t>Dorothy Bohdan</t>
  </si>
  <si>
    <t>Mikey Graham</t>
  </si>
  <si>
    <t>Gerald K. Lee</t>
  </si>
  <si>
    <t>Douglas Williams</t>
  </si>
  <si>
    <t>Lois Cummings</t>
  </si>
  <si>
    <t>John J. Gleason</t>
  </si>
  <si>
    <t>Sandra Botting</t>
  </si>
  <si>
    <t>Carol Reimer</t>
  </si>
  <si>
    <t>Barry M. Bernard</t>
  </si>
  <si>
    <t>James Jude Smith</t>
  </si>
  <si>
    <t xml:space="preserve">11,610 (30) </t>
  </si>
  <si>
    <t xml:space="preserve">NDP </t>
  </si>
  <si>
    <t xml:space="preserve">6,908 (31) </t>
  </si>
  <si>
    <t xml:space="preserve">4,834 (10) </t>
  </si>
  <si>
    <t>Bob Mills</t>
  </si>
  <si>
    <t>George Topolnisky</t>
  </si>
  <si>
    <t>10,043 (28)</t>
  </si>
  <si>
    <t>9,080 (17)</t>
  </si>
  <si>
    <t>14,584 (35)</t>
  </si>
  <si>
    <t>14,340 (43)</t>
  </si>
  <si>
    <t>Calgary-Forest Lawn</t>
  </si>
  <si>
    <t>11,410 (23)</t>
  </si>
  <si>
    <t>E.C. Manning</t>
  </si>
  <si>
    <t>Chas. Holder</t>
  </si>
  <si>
    <t>Wm. A. Fallow</t>
  </si>
  <si>
    <t>GENERAL ELECTION-Thursday, August 22, 1935</t>
  </si>
  <si>
    <t>Kyle Harvey</t>
  </si>
  <si>
    <t>Harlan Light</t>
  </si>
  <si>
    <t>Edwin Villania</t>
  </si>
  <si>
    <t>Gene Zwozdesky</t>
  </si>
  <si>
    <t>Edmonton-Mill Woods</t>
  </si>
  <si>
    <t>Carl Benito</t>
  </si>
  <si>
    <t>Mel H. Buffalo</t>
  </si>
  <si>
    <t>Don Massey</t>
  </si>
  <si>
    <t>Edmonton-Norwood</t>
  </si>
  <si>
    <t>Brian Bechtel</t>
  </si>
  <si>
    <t>Gary Masyk</t>
  </si>
  <si>
    <t>Harvey Voogd</t>
  </si>
  <si>
    <t>Edmonton-Riverview</t>
  </si>
  <si>
    <t>Wendy Kinsella</t>
  </si>
  <si>
    <t>Doug McLachlan</t>
  </si>
  <si>
    <t>Jerry Paschen</t>
  </si>
  <si>
    <t>Kevin Taft</t>
  </si>
  <si>
    <t>Edmonton-Rutherford</t>
  </si>
  <si>
    <t>Shane MacDonald</t>
  </si>
  <si>
    <t>Ian McClelland</t>
  </si>
  <si>
    <t>Rick Miller</t>
  </si>
  <si>
    <t>Edmonton-Strathcona</t>
  </si>
  <si>
    <t>Jim Jacuta</t>
  </si>
  <si>
    <t>James Lakinn</t>
  </si>
  <si>
    <t>John Logan</t>
  </si>
  <si>
    <t>Raj Pannu</t>
  </si>
  <si>
    <t>Edmonton-Whitemud</t>
  </si>
  <si>
    <t>Katie Oppen Benschop</t>
  </si>
  <si>
    <t>David Hancock</t>
  </si>
  <si>
    <t>Bruce King</t>
  </si>
  <si>
    <t>Airdrie-Rocky View</t>
  </si>
  <si>
    <t>Carol Haley</t>
  </si>
  <si>
    <t>Christopher Hill</t>
  </si>
  <si>
    <t>Tom Humble</t>
  </si>
  <si>
    <t>Carol L'Abbee</t>
  </si>
  <si>
    <t>Banff-Cochrane</t>
  </si>
  <si>
    <t>Cathy Harrop</t>
  </si>
  <si>
    <t>Norman Kent</t>
  </si>
  <si>
    <t>Cory Morgan</t>
  </si>
  <si>
    <t>Janis Tarchuk</t>
  </si>
  <si>
    <t>Barrhead-Westlock</t>
  </si>
  <si>
    <t>Suzanne Forbes</t>
  </si>
  <si>
    <t>Laurie Hodge</t>
  </si>
  <si>
    <t>Ken Kowalski</t>
  </si>
  <si>
    <t>Jeff Willerton</t>
  </si>
  <si>
    <t>Bonnyville-Cold Lake</t>
  </si>
  <si>
    <t>Denis Ducharme</t>
  </si>
  <si>
    <t>James William Skretteberg</t>
  </si>
  <si>
    <t>Ellen Ulfsten</t>
  </si>
  <si>
    <t>Ronald Young</t>
  </si>
  <si>
    <t>Cardston-Taber-Warner</t>
  </si>
  <si>
    <t>Ron Hancock</t>
  </si>
  <si>
    <t>Broyce Jacobs</t>
  </si>
  <si>
    <t>H.J. Montgomery</t>
  </si>
  <si>
    <t>E.O. Duke</t>
  </si>
  <si>
    <t>J.W. Beaudry</t>
  </si>
  <si>
    <t>E. Patricia Argent</t>
  </si>
  <si>
    <t>Stockwell Day</t>
  </si>
  <si>
    <t>Linda Kaiser</t>
  </si>
  <si>
    <t>Larry Pimm</t>
  </si>
  <si>
    <t>Joanne Stanley</t>
  </si>
  <si>
    <t>Randy Thorsteinson</t>
  </si>
  <si>
    <t>Mary Anne Balsillie</t>
  </si>
  <si>
    <t>Don Bell</t>
  </si>
  <si>
    <t>E. Benjamin Toane</t>
  </si>
  <si>
    <t>Tom Turner</t>
  </si>
  <si>
    <t>Lavern Ahlstrom</t>
  </si>
  <si>
    <t>Christine McMeckan</t>
  </si>
  <si>
    <t>Roxanne Prior</t>
  </si>
  <si>
    <t>Chris Samuel</t>
  </si>
  <si>
    <t>Bruce Collingwood</t>
  </si>
  <si>
    <t>Vaughn Dyrland</t>
  </si>
  <si>
    <t>Clinton Day</t>
  </si>
  <si>
    <t>Tom Elchuk</t>
  </si>
  <si>
    <t>Gary Swinamer</t>
  </si>
  <si>
    <t>Pat Hansard</t>
  </si>
  <si>
    <t>Peter Marchiel</t>
  </si>
  <si>
    <t>Felice Young</t>
  </si>
  <si>
    <t>Dan Borden</t>
  </si>
  <si>
    <t>Richard Knutson</t>
  </si>
  <si>
    <t>Roger Nelson</t>
  </si>
  <si>
    <t>Clifford Gundermann</t>
  </si>
  <si>
    <t>Pat Gulak</t>
  </si>
  <si>
    <t>Wes Neumeier</t>
  </si>
  <si>
    <t>Steve West</t>
  </si>
  <si>
    <t>Jerry Barber</t>
  </si>
  <si>
    <t>Robert Fischer</t>
  </si>
  <si>
    <t>Lilas Lysne</t>
  </si>
  <si>
    <t>John Ahlstrom</t>
  </si>
  <si>
    <t>Ivan Strang</t>
  </si>
  <si>
    <t>Glenn Taylor</t>
  </si>
  <si>
    <t>Duco Van Binsbergen</t>
  </si>
  <si>
    <t>Bruce Hinkley</t>
  </si>
  <si>
    <t>Rick Jantz</t>
  </si>
  <si>
    <t>Karen Richert</t>
  </si>
  <si>
    <t>Jody Saddleback</t>
  </si>
  <si>
    <t>Sara Lynn Burrough</t>
  </si>
  <si>
    <t>Laurent (Jeff) Dubois</t>
  </si>
  <si>
    <t>Social Credit</t>
  </si>
  <si>
    <t>Liberal</t>
  </si>
  <si>
    <t>10,011 (22)</t>
  </si>
  <si>
    <t xml:space="preserve">Drumheller </t>
  </si>
  <si>
    <t>Walter R. Szwender</t>
  </si>
  <si>
    <t>Sukhi Randhawa</t>
  </si>
  <si>
    <t>Ricardo Acuna</t>
  </si>
  <si>
    <t>Raymond Boyko</t>
  </si>
  <si>
    <t>John Filp</t>
  </si>
  <si>
    <t>Ziad Jaber</t>
  </si>
  <si>
    <t>Ray Loyer</t>
  </si>
  <si>
    <t>Sherry McKibben</t>
  </si>
  <si>
    <t>Sue Olsen</t>
  </si>
  <si>
    <t>Laudas Joly</t>
  </si>
  <si>
    <t>Wilson E. Cain</t>
  </si>
  <si>
    <t>Calgary</t>
  </si>
  <si>
    <t>Don J. Weideman</t>
  </si>
  <si>
    <t>Edmonton-Ellerslie</t>
  </si>
  <si>
    <t>Debby Carlson</t>
  </si>
  <si>
    <t>Deborah Morrison</t>
  </si>
  <si>
    <t xml:space="preserve">Sukhi Randhawa </t>
  </si>
  <si>
    <t>Edmonton-Glengarry</t>
  </si>
  <si>
    <t>Andrew Beniuk</t>
  </si>
  <si>
    <t>Bill Bonner</t>
  </si>
  <si>
    <t>Shane Watt</t>
  </si>
  <si>
    <t>Edmonton-Glenora</t>
  </si>
  <si>
    <t>Guy Desrosiers</t>
  </si>
  <si>
    <t>Drew Hutton</t>
  </si>
  <si>
    <t>Howard Sapers</t>
  </si>
  <si>
    <t>Edmonton-Gold Bar</t>
  </si>
  <si>
    <t>Peter Cross</t>
  </si>
  <si>
    <t>David Fletcher</t>
  </si>
  <si>
    <t>Hugh MacDonald</t>
  </si>
  <si>
    <t>Margaret Marean</t>
  </si>
  <si>
    <t>Edmonton-Highlands</t>
  </si>
  <si>
    <t>Robert Bilida</t>
  </si>
  <si>
    <t>Kim Cassady</t>
  </si>
  <si>
    <t>Brian Mason</t>
  </si>
  <si>
    <t>Edmonton-Manning</t>
  </si>
  <si>
    <t>Ed Gibbons</t>
  </si>
  <si>
    <t>H. Razga</t>
  </si>
  <si>
    <t>Tony Vandermeer</t>
  </si>
  <si>
    <t>Edmonton-McClung</t>
  </si>
  <si>
    <t>Lorne Dach</t>
  </si>
  <si>
    <t>Patrick  D. Ellis</t>
  </si>
  <si>
    <t>Nancy J. MacBeth</t>
  </si>
  <si>
    <t>Mark P. Norris</t>
  </si>
  <si>
    <t>Edmonton-Meadowlark</t>
  </si>
  <si>
    <t>Mike Hudema</t>
  </si>
  <si>
    <t>Karen Leibovici</t>
  </si>
  <si>
    <t>Bob Maskell</t>
  </si>
  <si>
    <t>Peggy Morton</t>
  </si>
  <si>
    <t>Edmonton-Mill Creek</t>
  </si>
  <si>
    <t>Bharat Agnihotri</t>
  </si>
  <si>
    <t>Camrose</t>
  </si>
  <si>
    <t>Athabasca-Lac La Biche</t>
  </si>
  <si>
    <t>Barrhead</t>
  </si>
  <si>
    <t>6,684 (13)</t>
  </si>
  <si>
    <t>5,632 (12)</t>
  </si>
  <si>
    <t>Wetaskiwin-Leduc</t>
  </si>
  <si>
    <t>TOTALS</t>
  </si>
  <si>
    <t>Raymond Neilson</t>
  </si>
  <si>
    <t>Maurizio Terrigno</t>
  </si>
  <si>
    <t>Liz Blackwood</t>
  </si>
  <si>
    <t>Jocelyn Burgener</t>
  </si>
  <si>
    <t>Mairi Matheson</t>
  </si>
  <si>
    <t>Richard Shelford</t>
  </si>
  <si>
    <t>Jeff Townsend</t>
  </si>
  <si>
    <t>Marg Elliot</t>
  </si>
  <si>
    <t>Douglas Cooper</t>
  </si>
  <si>
    <t>Larry Kowalchuk</t>
  </si>
  <si>
    <t>Pam York</t>
  </si>
  <si>
    <t>Frank Haika</t>
  </si>
  <si>
    <t>Lera Shirley</t>
  </si>
  <si>
    <t>Marie Cameron</t>
  </si>
  <si>
    <t>Muriel Turner-Wilkinson</t>
  </si>
  <si>
    <t>Pat Black</t>
  </si>
  <si>
    <t>Kevin Davidson</t>
  </si>
  <si>
    <t>Albert Ludwig</t>
  </si>
  <si>
    <t>Brenda Wadey</t>
  </si>
  <si>
    <t>Bren Blanchet</t>
  </si>
  <si>
    <t>Shirley-Anne Reuben</t>
  </si>
  <si>
    <t>Chris Kibermanis</t>
  </si>
  <si>
    <t>Ross Korpi</t>
  </si>
  <si>
    <t>Thomas Lukaszuk</t>
  </si>
  <si>
    <t>Colin Presizniuk</t>
  </si>
  <si>
    <t>12,019 (52)</t>
  </si>
  <si>
    <t>890,635 (3,956)</t>
  </si>
  <si>
    <t>8,507 (40)</t>
  </si>
  <si>
    <t>12,683 (14)</t>
  </si>
  <si>
    <t>Edmonton-Belmont</t>
  </si>
  <si>
    <t>13,056 (23)</t>
  </si>
  <si>
    <t>Edmonton-Beverly</t>
  </si>
  <si>
    <t>12,951 (17)</t>
  </si>
  <si>
    <t xml:space="preserve">11,795 (29) </t>
  </si>
  <si>
    <t>Selmer A. Berg</t>
  </si>
  <si>
    <t>Ian Whishaw</t>
  </si>
  <si>
    <t>Ben Loman</t>
  </si>
  <si>
    <t>Patricia Alward</t>
  </si>
  <si>
    <t>Greg Melchin</t>
  </si>
  <si>
    <t>Douglas A. Picken</t>
  </si>
  <si>
    <t>Calgary-Nose Creek</t>
  </si>
  <si>
    <t>Gary Mar</t>
  </si>
  <si>
    <t>Eileen Nesbitt</t>
  </si>
  <si>
    <t>Peter Willott</t>
  </si>
  <si>
    <t>Calgary-Shaw</t>
  </si>
  <si>
    <t>Cindy Ady</t>
  </si>
  <si>
    <t>Kevin Agar</t>
  </si>
  <si>
    <t>Ryan Falkenberg</t>
  </si>
  <si>
    <t>Jim McPherson</t>
  </si>
  <si>
    <t>Darren Popik</t>
  </si>
  <si>
    <t>Peter Singleton</t>
  </si>
  <si>
    <t>Calgary-Varsity</t>
  </si>
  <si>
    <t>Tavis Du Preez</t>
  </si>
  <si>
    <t>Carrol Jaques</t>
  </si>
  <si>
    <t>Susan Scott</t>
  </si>
  <si>
    <t>Murray D. Smith</t>
  </si>
  <si>
    <t>Calgary-West</t>
  </si>
  <si>
    <t>Greg Klassen</t>
  </si>
  <si>
    <t>Karen Kryczka</t>
  </si>
  <si>
    <t>Lorne B. Neudorf</t>
  </si>
  <si>
    <t>Edmonton-Beverly-Clareview</t>
  </si>
  <si>
    <t>Elisabeth Ballermann</t>
  </si>
  <si>
    <t>Leonard Stahl</t>
  </si>
  <si>
    <t>Laurie Switzer</t>
  </si>
  <si>
    <t>Ray Martin</t>
  </si>
  <si>
    <t>Jim Russell</t>
  </si>
  <si>
    <t>Taber</t>
  </si>
  <si>
    <t>Warner</t>
  </si>
  <si>
    <t>Elected by Acclamation</t>
  </si>
  <si>
    <t xml:space="preserve">10,097 (35) </t>
  </si>
  <si>
    <t xml:space="preserve">10,045 (15) </t>
  </si>
  <si>
    <t xml:space="preserve">8,976 (14) </t>
  </si>
  <si>
    <t xml:space="preserve">9,279 (28) </t>
  </si>
  <si>
    <t xml:space="preserve">12,427 (22) </t>
  </si>
  <si>
    <t xml:space="preserve">10,562 (22) </t>
  </si>
  <si>
    <t xml:space="preserve">9,937 (28) </t>
  </si>
  <si>
    <t xml:space="preserve">11,411 (19) </t>
  </si>
  <si>
    <t xml:space="preserve">13,711 (15) </t>
  </si>
  <si>
    <t xml:space="preserve">12,701 (75) </t>
  </si>
  <si>
    <t xml:space="preserve">11,076 (49) </t>
  </si>
  <si>
    <t xml:space="preserve">9,977 (26) </t>
  </si>
  <si>
    <t xml:space="preserve">12,665 (38) </t>
  </si>
  <si>
    <t xml:space="preserve">13,614 (22) </t>
  </si>
  <si>
    <t xml:space="preserve">7,276 (24) </t>
  </si>
  <si>
    <t xml:space="preserve">10,644 (41) </t>
  </si>
  <si>
    <t xml:space="preserve">9,390 (26) </t>
  </si>
  <si>
    <t xml:space="preserve">9,715 (28) </t>
  </si>
  <si>
    <t xml:space="preserve">12,179 (20) </t>
  </si>
  <si>
    <t xml:space="preserve">12,513 (22) </t>
  </si>
  <si>
    <t xml:space="preserve">9,307 (16) </t>
  </si>
  <si>
    <t xml:space="preserve">14,243 (24) </t>
  </si>
  <si>
    <t xml:space="preserve">16,604 (26) </t>
  </si>
  <si>
    <t xml:space="preserve">11,184 (19) </t>
  </si>
  <si>
    <t xml:space="preserve">11,750 (14) </t>
  </si>
  <si>
    <t xml:space="preserve">9,264 (20) </t>
  </si>
  <si>
    <t xml:space="preserve">11,061 (30) </t>
  </si>
  <si>
    <t xml:space="preserve">13,487 (31) </t>
  </si>
  <si>
    <t xml:space="preserve">10,563 (33) </t>
  </si>
  <si>
    <t xml:space="preserve">9,661 (16) </t>
  </si>
  <si>
    <t>Bruce Potter</t>
  </si>
  <si>
    <t>7,304 (18)</t>
  </si>
  <si>
    <t xml:space="preserve">7,679 (24) </t>
  </si>
  <si>
    <t>10,598 (74)</t>
  </si>
  <si>
    <t>10,797 (31)</t>
  </si>
  <si>
    <t xml:space="preserve">13,995 (44) </t>
  </si>
  <si>
    <t xml:space="preserve">10,101 (34) </t>
  </si>
  <si>
    <t>George Timko</t>
  </si>
  <si>
    <t>Conservative</t>
  </si>
  <si>
    <t>Peter Dawson</t>
  </si>
  <si>
    <t>Olds</t>
  </si>
  <si>
    <t xml:space="preserve">Cindy McCallum </t>
  </si>
  <si>
    <t>David McAndrews</t>
  </si>
  <si>
    <t>Brian McClung</t>
  </si>
  <si>
    <t>A. Leith McClure</t>
  </si>
  <si>
    <t>Larry McIlroy</t>
  </si>
  <si>
    <t>Brian McKercher</t>
  </si>
  <si>
    <t>Lawlor J. McKenna</t>
  </si>
  <si>
    <t xml:space="preserve">Ed McRae </t>
  </si>
  <si>
    <t>Lawrence D. McCallum</t>
  </si>
  <si>
    <t>Catherine R. McCreary</t>
  </si>
  <si>
    <t>Scot MacLean</t>
  </si>
  <si>
    <t>Ann Dort MacLean</t>
  </si>
  <si>
    <t>William McCutcheon</t>
  </si>
  <si>
    <t>Gary McCorquodale</t>
  </si>
  <si>
    <t>Larry E. McConnell</t>
  </si>
  <si>
    <t>Vern McCaig</t>
  </si>
  <si>
    <t>Elaine McCoy</t>
  </si>
  <si>
    <t>Colin P. McDonald</t>
  </si>
  <si>
    <t>Pam McIver</t>
  </si>
  <si>
    <t>Bruce McGuigan</t>
  </si>
  <si>
    <t>John McInnis</t>
  </si>
  <si>
    <t>Steve McLachlin</t>
  </si>
  <si>
    <t>Ann Dort-MacLean</t>
  </si>
  <si>
    <t xml:space="preserve">Allen MacLennan </t>
  </si>
  <si>
    <t xml:space="preserve">Wendell MacEachern </t>
  </si>
  <si>
    <t xml:space="preserve">Connie MacRae </t>
  </si>
  <si>
    <t xml:space="preserve">Derry H. MacFarlane </t>
  </si>
  <si>
    <t xml:space="preserve">Don MacDonald </t>
  </si>
  <si>
    <t xml:space="preserve">Shirley McClellan </t>
  </si>
  <si>
    <t>Roberta McDonald</t>
  </si>
  <si>
    <t xml:space="preserve">Don McMillan </t>
  </si>
  <si>
    <t xml:space="preserve">John McInnis </t>
  </si>
  <si>
    <t xml:space="preserve">Alex McEachern </t>
  </si>
  <si>
    <t xml:space="preserve">Wade McKinley </t>
  </si>
  <si>
    <t xml:space="preserve">Barry McFarland </t>
  </si>
  <si>
    <r>
      <t xml:space="preserve">1 member per electoral division except Edmonton and Calgary which had 6 each   </t>
    </r>
    <r>
      <rPr>
        <b/>
        <sz val="8"/>
        <rFont val="Times New Roman"/>
        <family val="1"/>
      </rPr>
      <t>(Note 1)</t>
    </r>
  </si>
  <si>
    <t>Westlock-Sturgeon</t>
  </si>
  <si>
    <t>7,145 (27)</t>
  </si>
  <si>
    <t>7,590 (13)</t>
  </si>
  <si>
    <t>7,210 (17)</t>
  </si>
  <si>
    <t>11,297 (8)</t>
  </si>
  <si>
    <t>Don Getty</t>
  </si>
  <si>
    <r>
      <t xml:space="preserve">Electoral Division       </t>
    </r>
    <r>
      <rPr>
        <b/>
        <sz val="8"/>
        <rFont val="Times New Roman"/>
        <family val="1"/>
      </rPr>
      <t>(Note 1)</t>
    </r>
  </si>
  <si>
    <r>
      <t xml:space="preserve">Candidates                   </t>
    </r>
    <r>
      <rPr>
        <b/>
        <sz val="8"/>
        <rFont val="Times New Roman"/>
        <family val="1"/>
      </rPr>
      <t>(Note 2)</t>
    </r>
  </si>
  <si>
    <t>Percent Votes Received</t>
  </si>
  <si>
    <t>Eligible Electors</t>
  </si>
  <si>
    <t>2. The number 1 represents First Count results; the number 2 represents Last Count results.</t>
  </si>
  <si>
    <t xml:space="preserve">Notes: </t>
  </si>
  <si>
    <t>Spruce Grove-Sturgeon-</t>
  </si>
  <si>
    <t>Tom Maccagno</t>
  </si>
  <si>
    <t>Brian Evans</t>
  </si>
  <si>
    <t>Steven Scott</t>
  </si>
  <si>
    <t>Jim N. Tanner</t>
  </si>
  <si>
    <t>Dave Perrin</t>
  </si>
  <si>
    <t>Harold Wharton</t>
  </si>
  <si>
    <t>Lori Hall</t>
  </si>
  <si>
    <t>Denis Lapierre</t>
  </si>
  <si>
    <t>Larry D. Kern</t>
  </si>
  <si>
    <t>Candidates</t>
  </si>
  <si>
    <r>
      <t xml:space="preserve">Votes Received </t>
    </r>
    <r>
      <rPr>
        <b/>
        <sz val="8"/>
        <rFont val="Times New Roman"/>
        <family val="1"/>
      </rPr>
      <t>(Note 2)</t>
    </r>
  </si>
  <si>
    <r>
      <t xml:space="preserve">Percent Voting </t>
    </r>
    <r>
      <rPr>
        <b/>
        <sz val="8"/>
        <rFont val="Times New Roman"/>
        <family val="1"/>
      </rPr>
      <t>(Note 3)</t>
    </r>
  </si>
  <si>
    <t>2. Bracketed figures ( ) in the Votes Received column represent the total number of rejected and declined ballots.</t>
  </si>
  <si>
    <t>7,202 (13)</t>
  </si>
  <si>
    <t xml:space="preserve">12,482 (38) </t>
  </si>
  <si>
    <t xml:space="preserve">13,795 (20) </t>
  </si>
  <si>
    <t xml:space="preserve">9,189 (25) </t>
  </si>
  <si>
    <t>10,109 (27)</t>
  </si>
  <si>
    <t>Vermilion</t>
  </si>
  <si>
    <t>David Russell</t>
  </si>
  <si>
    <t>Wetaskiwin</t>
  </si>
  <si>
    <t xml:space="preserve">63 Members </t>
  </si>
  <si>
    <t>Anne McGrath</t>
  </si>
  <si>
    <t>Alberta Greens</t>
  </si>
  <si>
    <t>Alberta First Party</t>
  </si>
  <si>
    <t>C.M. Ironside</t>
  </si>
  <si>
    <t>H.J. Ash</t>
  </si>
  <si>
    <t>F.S. Grisdale</t>
  </si>
  <si>
    <t>W.J. Lampley</t>
  </si>
  <si>
    <t>J.M. Popil</t>
  </si>
  <si>
    <t>A.E. MacLellan</t>
  </si>
  <si>
    <t>A.E. Fee</t>
  </si>
  <si>
    <t>A.M. Matheson</t>
  </si>
  <si>
    <t>A.L. Blue</t>
  </si>
  <si>
    <t>D.B. MacMillan</t>
  </si>
  <si>
    <t>A.V. Bourcier</t>
  </si>
  <si>
    <t>Geo. MacLachlan</t>
  </si>
  <si>
    <t>Wm. Masson</t>
  </si>
  <si>
    <t>John Reil</t>
  </si>
  <si>
    <t>Suzanne Sirias</t>
  </si>
  <si>
    <t>Clover Bar-Fort Saskatchewan</t>
  </si>
  <si>
    <t>Skip Gordon</t>
  </si>
  <si>
    <t>Rob Lougheed</t>
  </si>
  <si>
    <t>Merrill Stewart</t>
  </si>
  <si>
    <t>Cypress-Medicine Hat</t>
  </si>
  <si>
    <t>Cliff Anten</t>
  </si>
  <si>
    <t>Beverley Britton Clarke</t>
  </si>
  <si>
    <t>Lorne Taylor</t>
  </si>
  <si>
    <t>Drayton Valley-Calmar</t>
  </si>
  <si>
    <t>Tony Abbott</t>
  </si>
  <si>
    <t>Roger Coles</t>
  </si>
  <si>
    <t>Mark Patty</t>
  </si>
  <si>
    <t>Roger Stefura</t>
  </si>
  <si>
    <t>Drumheller-Chinook</t>
  </si>
  <si>
    <t>Gerry Hamilton</t>
  </si>
  <si>
    <t>Shirley McClellan</t>
  </si>
  <si>
    <t>Greg Pyra</t>
  </si>
  <si>
    <t>Peter Smits</t>
  </si>
  <si>
    <t>Eileen Walker</t>
  </si>
  <si>
    <t>Dunvegan</t>
  </si>
  <si>
    <t>Fred Euler</t>
  </si>
  <si>
    <t>Hector Goudreau</t>
  </si>
  <si>
    <t>Ron (Earl) Miller</t>
  </si>
  <si>
    <t>Bruce Rutley</t>
  </si>
  <si>
    <t>Yvonne Sinkevich</t>
  </si>
  <si>
    <t>Fort McMurray</t>
  </si>
  <si>
    <t>Guy C. Boutilier</t>
  </si>
  <si>
    <t>Lyn Gorman</t>
  </si>
  <si>
    <t>John S. Vyboh</t>
  </si>
  <si>
    <t>Grande Prairie-Smoky</t>
  </si>
  <si>
    <t>Mel Knight</t>
  </si>
  <si>
    <t>Leon Pendleton</t>
  </si>
  <si>
    <t>Barry Robinson</t>
  </si>
  <si>
    <t>Dennis Young</t>
  </si>
  <si>
    <t>Grande Prairie-Wapiti</t>
  </si>
  <si>
    <t>Elroy Deimert</t>
  </si>
  <si>
    <t>Terry Dueck</t>
  </si>
  <si>
    <t>Gordon J. Graydon</t>
  </si>
  <si>
    <t>Ivo Noga</t>
  </si>
  <si>
    <t>Ray Stitsen</t>
  </si>
  <si>
    <t>Robert T. Weberg</t>
  </si>
  <si>
    <t>Highwood</t>
  </si>
  <si>
    <t>Leonard Borowski</t>
  </si>
  <si>
    <t>Gunhild Hoogensen</t>
  </si>
  <si>
    <t>Don Tannas</t>
  </si>
  <si>
    <t>Julie Walker</t>
  </si>
  <si>
    <t>Innisfail-Sylvan Lake</t>
  </si>
  <si>
    <t>Eileen Clancy Teslenko</t>
  </si>
  <si>
    <t>Garth Davis</t>
  </si>
  <si>
    <t>Luke Ouellette</t>
  </si>
  <si>
    <t>Lac La Biche-St. Paul</t>
  </si>
  <si>
    <t>Ray Danyluk</t>
  </si>
  <si>
    <t>Vital Ouellette</t>
  </si>
  <si>
    <t>John Williams</t>
  </si>
  <si>
    <t>Sedgewick</t>
  </si>
  <si>
    <t>L.D. Callfas</t>
  </si>
  <si>
    <t>Kurt Hoeberg</t>
  </si>
  <si>
    <t>Murray Sillito</t>
  </si>
  <si>
    <t>Doug Carmichael</t>
  </si>
  <si>
    <t>Graham L. Harle</t>
  </si>
  <si>
    <t>Ernie Clintberg</t>
  </si>
  <si>
    <t>Ralph Eikeland</t>
  </si>
  <si>
    <t>Murray Fuhr</t>
  </si>
  <si>
    <t>Dick Martens</t>
  </si>
  <si>
    <t>John G. Parkes</t>
  </si>
  <si>
    <t>William (Bill) Purdy</t>
  </si>
  <si>
    <t>Ronald Johnson</t>
  </si>
  <si>
    <t>Vern Meek</t>
  </si>
  <si>
    <t>James B. Schleppe</t>
  </si>
  <si>
    <t>R.E. Robert</t>
  </si>
  <si>
    <t>Bob Sarafinchan</t>
  </si>
  <si>
    <t>Loren Yasinski</t>
  </si>
  <si>
    <t>Patrick (Pat) Moore</t>
  </si>
  <si>
    <t>Richard Van Ee</t>
  </si>
  <si>
    <t>Wes Connelly</t>
  </si>
  <si>
    <t>Bill Veitch</t>
  </si>
  <si>
    <t>Joseph A. Vermette</t>
  </si>
  <si>
    <t>Barry Cook</t>
  </si>
  <si>
    <t>Bill Hosford</t>
  </si>
  <si>
    <t>Earl R. Rasmuson</t>
  </si>
  <si>
    <t>Carol Pylypow</t>
  </si>
  <si>
    <t>J.H. Unwin</t>
  </si>
  <si>
    <t>11,452 (22)</t>
  </si>
  <si>
    <t>Calgary-McKnight</t>
  </si>
  <si>
    <t>12,378 (29)</t>
  </si>
  <si>
    <t>Calgary-Millican</t>
  </si>
  <si>
    <t>8,919 (26)</t>
  </si>
  <si>
    <t>9,234 (23)</t>
  </si>
  <si>
    <t>12,502 (52)</t>
  </si>
  <si>
    <t>10,996 (33)</t>
  </si>
  <si>
    <t>16,683 (28)</t>
  </si>
  <si>
    <t>14,005 (29)</t>
  </si>
  <si>
    <t>8,602 (35)</t>
  </si>
  <si>
    <t>9,205 (16)</t>
  </si>
  <si>
    <t>13,247 (50)</t>
  </si>
  <si>
    <t>10,240 (42)</t>
  </si>
  <si>
    <t>Cardston</t>
  </si>
  <si>
    <t>4,667 (13)</t>
  </si>
  <si>
    <t>5,041 (10)</t>
  </si>
  <si>
    <t>Clover Bar</t>
  </si>
  <si>
    <t>10,755 (11)</t>
  </si>
  <si>
    <t xml:space="preserve">Cypress-Redcliff </t>
  </si>
  <si>
    <t>5,141 (3)</t>
  </si>
  <si>
    <t>Drayton Valley</t>
  </si>
  <si>
    <t>12,857 (48)</t>
  </si>
  <si>
    <t>18,454 (42)</t>
  </si>
  <si>
    <t>8,591 (19)</t>
  </si>
  <si>
    <t>9,670 (4)</t>
  </si>
  <si>
    <t>4,444 (15)</t>
  </si>
  <si>
    <t>4,755 (29)</t>
  </si>
  <si>
    <t>10,135 (10)</t>
  </si>
  <si>
    <t>4,722 (15)</t>
  </si>
  <si>
    <t>8,719 (19)</t>
  </si>
  <si>
    <t>8,033 (14)</t>
  </si>
  <si>
    <t>8,090 (32)</t>
  </si>
  <si>
    <t>10,048 (9)</t>
  </si>
  <si>
    <t>10,441 (25)</t>
  </si>
  <si>
    <t>11,400 (20)</t>
  </si>
  <si>
    <t>10,086 (11)</t>
  </si>
  <si>
    <t>9,461 (30)</t>
  </si>
  <si>
    <t>10,528 (22)</t>
  </si>
  <si>
    <t>9,908 (16)</t>
  </si>
  <si>
    <t>14,670 (27)</t>
  </si>
  <si>
    <t>8,247 (30)</t>
  </si>
  <si>
    <t>10,869 (21)</t>
  </si>
  <si>
    <t>9,134 (17)</t>
  </si>
  <si>
    <t>11,536 (14)</t>
  </si>
  <si>
    <t>9,545 (18)</t>
  </si>
  <si>
    <t>H. Murphy</t>
  </si>
  <si>
    <t>D.J. MacNeil</t>
  </si>
  <si>
    <t>G.E. Cruickshank</t>
  </si>
  <si>
    <t>A.G. Andrews</t>
  </si>
  <si>
    <t>Lucien Boudreau</t>
  </si>
  <si>
    <t>O. St. Germain</t>
  </si>
  <si>
    <t>A.S. McRae</t>
  </si>
  <si>
    <t>J.P. Morissey</t>
  </si>
  <si>
    <t>Charles Cockroft</t>
  </si>
  <si>
    <t>A.L. Sanders</t>
  </si>
  <si>
    <t>H.A. Blair</t>
  </si>
  <si>
    <t>Sturgeon</t>
  </si>
  <si>
    <t>Hon. J.R. Love</t>
  </si>
  <si>
    <t>L. Robbins</t>
  </si>
  <si>
    <t>United Front</t>
  </si>
  <si>
    <t>G.G. Fowler</t>
  </si>
  <si>
    <t>Wm. E. Hayes</t>
  </si>
  <si>
    <t>Donald MacLeod</t>
  </si>
  <si>
    <t>R.C. Johnson</t>
  </si>
  <si>
    <t>G.J. Hope</t>
  </si>
  <si>
    <t>J.M. Dechene</t>
  </si>
  <si>
    <t>G.J. Bryan</t>
  </si>
  <si>
    <t>M.J. Brennan</t>
  </si>
  <si>
    <t>James Hanson</t>
  </si>
  <si>
    <t>Hon. J.J. MacLellan</t>
  </si>
  <si>
    <t>B.L. Cooke</t>
  </si>
  <si>
    <t>Chas. Gordon</t>
  </si>
  <si>
    <t>M.H. Penish</t>
  </si>
  <si>
    <t>J.L. McPherson</t>
  </si>
  <si>
    <t>A.P. Hunter</t>
  </si>
  <si>
    <t>Hon. R.G. Reid</t>
  </si>
  <si>
    <t>Wm. Halina</t>
  </si>
  <si>
    <t>A.E. Williams</t>
  </si>
  <si>
    <t>Victoria</t>
  </si>
  <si>
    <t>Samuel Calvert</t>
  </si>
  <si>
    <t>C.F. Connolly</t>
  </si>
  <si>
    <t>Fred Strashok</t>
  </si>
  <si>
    <t>V. Kupchenko</t>
  </si>
  <si>
    <t>Peter Milne</t>
  </si>
  <si>
    <t>H.L. Coursier</t>
  </si>
  <si>
    <t>Robt. Smallwood</t>
  </si>
  <si>
    <t xml:space="preserve">Warner </t>
  </si>
  <si>
    <t>F.S. Leffingwell</t>
  </si>
  <si>
    <t>S.E. Low</t>
  </si>
  <si>
    <t>H.C. Moir</t>
  </si>
  <si>
    <t>W. Stevens</t>
  </si>
  <si>
    <t>R.H. Inglis</t>
  </si>
  <si>
    <t>A.E. Bolton</t>
  </si>
  <si>
    <t>Whitford</t>
  </si>
  <si>
    <t>M. Novakowski</t>
  </si>
  <si>
    <t>Isidore Goresky</t>
  </si>
  <si>
    <t>A.S. Shandro</t>
  </si>
  <si>
    <t>Neil Crawford</t>
  </si>
  <si>
    <t>Henry Woo</t>
  </si>
  <si>
    <t>Julian Koziak</t>
  </si>
  <si>
    <t>Ian Reid</t>
  </si>
  <si>
    <t>Nigel Pengelly</t>
  </si>
  <si>
    <t>Norm Weiss</t>
  </si>
  <si>
    <t>Larry Shaben</t>
  </si>
  <si>
    <t>Dick Johnston</t>
  </si>
  <si>
    <t>John Gogo</t>
  </si>
  <si>
    <t>Bud Miller</t>
  </si>
  <si>
    <t>Jim Horsman</t>
  </si>
  <si>
    <t>Al (Boomer) Adair</t>
  </si>
  <si>
    <t>Fred Bradley</t>
  </si>
  <si>
    <t>Jack Campbell</t>
  </si>
  <si>
    <t>Marvin Moore</t>
  </si>
  <si>
    <t>Myrna Fyfe</t>
  </si>
  <si>
    <t>Bob Bogle</t>
  </si>
  <si>
    <t>Connie Osterman</t>
  </si>
  <si>
    <t>John S. Batiuk</t>
  </si>
  <si>
    <t>Tom Lysons</t>
  </si>
  <si>
    <t>Lilas  I. Lysne</t>
  </si>
  <si>
    <t>Jeff Newland</t>
  </si>
  <si>
    <t>Ronald Williams</t>
  </si>
  <si>
    <t>West Yellowhead</t>
  </si>
  <si>
    <t>Lyle Benson</t>
  </si>
  <si>
    <t>Noel Lapierre</t>
  </si>
  <si>
    <t>Ivan J. Strang</t>
  </si>
  <si>
    <t>Wetaskiwin-Camrose</t>
  </si>
  <si>
    <t>LeRoy Johnson</t>
  </si>
  <si>
    <t>Stewart Larkin</t>
  </si>
  <si>
    <t>Ben Lussier</t>
  </si>
  <si>
    <t>Philip Penrod</t>
  </si>
  <si>
    <t>Whitecourt-Ste. Anne</t>
  </si>
  <si>
    <t>Derril Butler</t>
  </si>
  <si>
    <t>Wade Franko</t>
  </si>
  <si>
    <t>George Vanderburg</t>
  </si>
  <si>
    <t>Communist</t>
  </si>
  <si>
    <t>Independent Liberal</t>
  </si>
  <si>
    <t>Earle Cunningham</t>
  </si>
  <si>
    <t>Chauncey Featherstone</t>
  </si>
  <si>
    <t>6,359(19)</t>
  </si>
  <si>
    <t>Stettler</t>
  </si>
  <si>
    <t>6,695 (15)</t>
  </si>
  <si>
    <t>12,592 (8)</t>
  </si>
  <si>
    <t>6,695 (21)</t>
  </si>
  <si>
    <t>8,823 (9)</t>
  </si>
  <si>
    <t>Vegreville</t>
  </si>
  <si>
    <t>9,119 (27)</t>
  </si>
  <si>
    <t>Vermilion-Viking</t>
  </si>
  <si>
    <t>19,5</t>
  </si>
  <si>
    <t>6,416 (25)</t>
  </si>
  <si>
    <t>12,2</t>
  </si>
  <si>
    <t>5,917 (19)</t>
  </si>
  <si>
    <t>12,055 (15)</t>
  </si>
  <si>
    <t xml:space="preserve">Wetaskiwin-Leduc </t>
  </si>
  <si>
    <t>12,340 (26)</t>
  </si>
  <si>
    <t>Whitecourt</t>
  </si>
  <si>
    <t>7,765 (33)</t>
  </si>
  <si>
    <t xml:space="preserve">Al Strom </t>
  </si>
  <si>
    <t xml:space="preserve">Lorne Taylor </t>
  </si>
  <si>
    <t>Dolly Brown</t>
  </si>
  <si>
    <t xml:space="preserve">Keith Burger </t>
  </si>
  <si>
    <t xml:space="preserve">Brad Janishewski </t>
  </si>
  <si>
    <t xml:space="preserve">Tom Thurber </t>
  </si>
  <si>
    <t xml:space="preserve">Ed Wilhite </t>
  </si>
  <si>
    <t xml:space="preserve">Roger Nelson </t>
  </si>
  <si>
    <t xml:space="preserve">Steve Osborne </t>
  </si>
  <si>
    <t xml:space="preserve">Stan Schumacher </t>
  </si>
  <si>
    <t xml:space="preserve">Sheila Maxwell-Marks </t>
  </si>
  <si>
    <t xml:space="preserve">Hartmann Nagel </t>
  </si>
  <si>
    <t>Adam Germain</t>
  </si>
  <si>
    <t>John Croken</t>
  </si>
  <si>
    <t xml:space="preserve">Walter Paszkowski </t>
  </si>
  <si>
    <t xml:space="preserve">Christine Potts </t>
  </si>
  <si>
    <t xml:space="preserve">Herb Wohlgemuth </t>
  </si>
  <si>
    <t xml:space="preserve">Dwight Logan </t>
  </si>
  <si>
    <t xml:space="preserve">Trish Wright </t>
  </si>
  <si>
    <t xml:space="preserve">Rusti-Ann Blanke </t>
  </si>
  <si>
    <t xml:space="preserve">Marg Elliot </t>
  </si>
  <si>
    <t xml:space="preserve">Don Tannas </t>
  </si>
  <si>
    <t>Daryl J. Beck</t>
  </si>
  <si>
    <t xml:space="preserve">Norm Bjornson </t>
  </si>
  <si>
    <t xml:space="preserve">George Flake </t>
  </si>
  <si>
    <t xml:space="preserve">Len Scott </t>
  </si>
  <si>
    <t xml:space="preserve">Gary Severtson </t>
  </si>
  <si>
    <t xml:space="preserve">Reg Stotz </t>
  </si>
  <si>
    <t>Eugene P. Houle</t>
  </si>
  <si>
    <t xml:space="preserve">Paul Langevin </t>
  </si>
  <si>
    <t xml:space="preserve">John Trefanenko </t>
  </si>
  <si>
    <t>Doug Chitwood</t>
  </si>
  <si>
    <t xml:space="preserve">Judy Gordon </t>
  </si>
  <si>
    <t xml:space="preserve">R. Ryan Handley </t>
  </si>
  <si>
    <t xml:space="preserve">Rolf Pritchard </t>
  </si>
  <si>
    <t xml:space="preserve">Ed Whiteside </t>
  </si>
  <si>
    <t>Larry Bogart</t>
  </si>
  <si>
    <t xml:space="preserve">Terry Kirkland </t>
  </si>
  <si>
    <t xml:space="preserve">Jeff Lambert </t>
  </si>
  <si>
    <t xml:space="preserve">Don Sparrow </t>
  </si>
  <si>
    <t>Patricia A. (Pat) Bunn</t>
  </si>
  <si>
    <t xml:space="preserve">Larry Conley </t>
  </si>
  <si>
    <t xml:space="preserve">Ken Nicol </t>
  </si>
  <si>
    <t>Michael Dietrich</t>
  </si>
  <si>
    <t xml:space="preserve">Clint Dunford </t>
  </si>
  <si>
    <t xml:space="preserve">Jason Kempt </t>
  </si>
  <si>
    <t xml:space="preserve">Jacqueline Preyde </t>
  </si>
  <si>
    <t>Donna L. Graham</t>
  </si>
  <si>
    <t xml:space="preserve">Rod Lachmuth </t>
  </si>
  <si>
    <t>Marcel Guay</t>
  </si>
  <si>
    <t xml:space="preserve">Rob Renner </t>
  </si>
  <si>
    <t xml:space="preserve">Garth Vallely </t>
  </si>
  <si>
    <t xml:space="preserve">Bob Wanner </t>
  </si>
  <si>
    <t xml:space="preserve">Dennis Combs </t>
  </si>
  <si>
    <t xml:space="preserve">Donna Gole </t>
  </si>
  <si>
    <t xml:space="preserve">Ruth Scott </t>
  </si>
  <si>
    <t>Elmer Cardinal</t>
  </si>
  <si>
    <t xml:space="preserve">Brian Dewar </t>
  </si>
  <si>
    <t xml:space="preserve">Gary Friedel </t>
  </si>
  <si>
    <t>Ed Kary</t>
  </si>
  <si>
    <t>Susan Aris</t>
  </si>
  <si>
    <t xml:space="preserve">David Coutts </t>
  </si>
  <si>
    <t xml:space="preserve">Mike Dawson </t>
  </si>
  <si>
    <t xml:space="preserve">Ernie Patterson </t>
  </si>
  <si>
    <t xml:space="preserve">Robert (Bob) Hodgins </t>
  </si>
  <si>
    <t xml:space="preserve">Halvar Jonson </t>
  </si>
  <si>
    <t xml:space="preserve">Harold Kenney </t>
  </si>
  <si>
    <t xml:space="preserve">Bernice Luce </t>
  </si>
  <si>
    <t>Tony Connelly</t>
  </si>
  <si>
    <t xml:space="preserve">Stockwell Day </t>
  </si>
  <si>
    <t>Katherine Fisher</t>
  </si>
  <si>
    <t>Linda Kaiser-Putzenberger</t>
  </si>
  <si>
    <t xml:space="preserve">Michael Roth </t>
  </si>
  <si>
    <t>Ken Arnold</t>
  </si>
  <si>
    <t xml:space="preserve">Victor Doerksen </t>
  </si>
  <si>
    <t xml:space="preserve">Malcolm Reville </t>
  </si>
  <si>
    <t xml:space="preserve">Don Sinclair </t>
  </si>
  <si>
    <t xml:space="preserve">Randy Thorsteinson </t>
  </si>
  <si>
    <t xml:space="preserve">Nick Taylor </t>
  </si>
  <si>
    <t xml:space="preserve">Geoff Toane </t>
  </si>
  <si>
    <t xml:space="preserve">Robert J. Tomkins </t>
  </si>
  <si>
    <t xml:space="preserve">Steve Zarusky </t>
  </si>
  <si>
    <t xml:space="preserve">Drew Ludington </t>
  </si>
  <si>
    <t xml:space="preserve">Ty Lund </t>
  </si>
  <si>
    <t xml:space="preserve">Roxanne V. Prior </t>
  </si>
  <si>
    <t>John Booth</t>
  </si>
  <si>
    <t xml:space="preserve">Len Bracko </t>
  </si>
  <si>
    <t xml:space="preserve">Dick Fowler </t>
  </si>
  <si>
    <t xml:space="preserve">Gordon C. Rever </t>
  </si>
  <si>
    <t xml:space="preserve">Doug Fulford </t>
  </si>
  <si>
    <t xml:space="preserve">Jim Gurnett </t>
  </si>
  <si>
    <t xml:space="preserve">Lorne Hoff </t>
  </si>
  <si>
    <t>Randy T. Fritz</t>
  </si>
  <si>
    <t xml:space="preserve">Steve Jacobs </t>
  </si>
  <si>
    <t xml:space="preserve">Norm Kluthe </t>
  </si>
  <si>
    <t xml:space="preserve">Colleen Soetaert </t>
  </si>
  <si>
    <t>Lois Burger</t>
  </si>
  <si>
    <t xml:space="preserve">Laurence Johnson </t>
  </si>
  <si>
    <t xml:space="preserve">Gary Morton </t>
  </si>
  <si>
    <t xml:space="preserve">Albert Schatzke </t>
  </si>
  <si>
    <t xml:space="preserve">Stan Woloshyn </t>
  </si>
  <si>
    <t>Doug Blatter</t>
  </si>
  <si>
    <t>12,615 (16)</t>
  </si>
  <si>
    <t>11,898 (25)</t>
  </si>
  <si>
    <t>12,904 (10)</t>
  </si>
  <si>
    <t>8,553 (9)</t>
  </si>
  <si>
    <t>8,028 (18)</t>
  </si>
  <si>
    <t>6,528 (18)</t>
  </si>
  <si>
    <t>5,230 (19)</t>
  </si>
  <si>
    <t>4,421 (24)</t>
  </si>
  <si>
    <t>8,764 (22)</t>
  </si>
  <si>
    <t>8,222 (23)</t>
  </si>
  <si>
    <t>5,956 (10)</t>
  </si>
  <si>
    <t>5,147 (24)</t>
  </si>
  <si>
    <t>6,116(33)</t>
  </si>
  <si>
    <t>11,714 (29)</t>
  </si>
  <si>
    <t>7,812 (30)</t>
  </si>
  <si>
    <t>6,297 (15)</t>
  </si>
  <si>
    <t>6,082 (21)</t>
  </si>
  <si>
    <t>5,789 (25)</t>
  </si>
  <si>
    <t>Dorothy Groves</t>
  </si>
  <si>
    <t>Agnes Middleton</t>
  </si>
  <si>
    <t>Marion Conroy</t>
  </si>
  <si>
    <t>W.A. Atkinson</t>
  </si>
  <si>
    <t>Jan Lakeman</t>
  </si>
  <si>
    <t>F.C. Jamieson</t>
  </si>
  <si>
    <t>G.L. King</t>
  </si>
  <si>
    <t>J.C.M. Marshall</t>
  </si>
  <si>
    <t>Walter Morrish</t>
  </si>
  <si>
    <t>James East</t>
  </si>
  <si>
    <t>Emily L. Fitzsimon</t>
  </si>
  <si>
    <t>J.W. Findlay</t>
  </si>
  <si>
    <t>Elsie Wright</t>
  </si>
  <si>
    <t>Economic Reconstruction</t>
  </si>
  <si>
    <t>Carl E. Berg</t>
  </si>
  <si>
    <t>S.S. Bowcott</t>
  </si>
  <si>
    <t>A. Farmilo</t>
  </si>
  <si>
    <t>D.M. Ramsay</t>
  </si>
  <si>
    <t>Sidney Parsons</t>
  </si>
  <si>
    <t>G.H. Van Allen</t>
  </si>
  <si>
    <t>J.S. Cowper</t>
  </si>
  <si>
    <t>Chris. Pattinson</t>
  </si>
  <si>
    <t>Empress</t>
  </si>
  <si>
    <t>David Lush</t>
  </si>
  <si>
    <t>W.C. Smith</t>
  </si>
  <si>
    <t>K.A. Pollock</t>
  </si>
  <si>
    <t>J.C. Buckley</t>
  </si>
  <si>
    <t>V.S. Kimpton</t>
  </si>
  <si>
    <t>T.S. Hughes</t>
  </si>
  <si>
    <t>J.S. McKenzie</t>
  </si>
  <si>
    <t>W.J. Thomson</t>
  </si>
  <si>
    <t>L.A. Giroux</t>
  </si>
  <si>
    <t>R.A. Pelletier</t>
  </si>
  <si>
    <t>E.E. Requier</t>
  </si>
  <si>
    <t>W.W. Cross</t>
  </si>
  <si>
    <t>W.H. Stringer</t>
  </si>
  <si>
    <t>Ronald Pye</t>
  </si>
  <si>
    <t>A.A. Stonehouse</t>
  </si>
  <si>
    <t>F.J.S. Sissons</t>
  </si>
  <si>
    <t>P.W. Pratt</t>
  </si>
  <si>
    <t>M.C. McKeen</t>
  </si>
  <si>
    <t xml:space="preserve">Ernest Jolly </t>
  </si>
  <si>
    <t>A.P. Mitchell</t>
  </si>
  <si>
    <t>Hans. E. Wight</t>
  </si>
  <si>
    <t>Robt. Barrowman</t>
  </si>
  <si>
    <t>Andrew Smeaton</t>
  </si>
  <si>
    <t>G.W. Green</t>
  </si>
  <si>
    <t>Progressive Conservative</t>
  </si>
  <si>
    <t>Western Canada Concept</t>
  </si>
  <si>
    <t>Alberta Reform Movement</t>
  </si>
  <si>
    <t>10,108 (20)</t>
  </si>
  <si>
    <t xml:space="preserve">Highwood </t>
  </si>
  <si>
    <t>9,096 (39)</t>
  </si>
  <si>
    <t>Innisfail</t>
  </si>
  <si>
    <t>7,224 (41)</t>
  </si>
  <si>
    <t>Lacombe</t>
  </si>
  <si>
    <t>6,698 (24)</t>
  </si>
  <si>
    <t>6,829 (9)</t>
  </si>
  <si>
    <t>.</t>
  </si>
  <si>
    <t>10,136 (18)</t>
  </si>
  <si>
    <t>10,434 (26)</t>
  </si>
  <si>
    <t>4,912 (7)</t>
  </si>
  <si>
    <t>5,356 (13)</t>
  </si>
  <si>
    <t>Macleod</t>
  </si>
  <si>
    <t>6,607 (28)</t>
  </si>
  <si>
    <t>15,766 (49)</t>
  </si>
  <si>
    <t>8,253 (12)</t>
  </si>
  <si>
    <t>Frank Appleby</t>
  </si>
  <si>
    <t>Peter Opryshko</t>
  </si>
  <si>
    <t>Floyd Johnson</t>
  </si>
  <si>
    <t>David Wallis</t>
  </si>
  <si>
    <t>Glenn Miller</t>
  </si>
  <si>
    <t>John Younie</t>
  </si>
  <si>
    <t>Gerard Amerongen</t>
  </si>
  <si>
    <t>J.A. Delisle</t>
  </si>
  <si>
    <t>J.W. Hugil</t>
  </si>
  <si>
    <t>C.W. Robinson</t>
  </si>
  <si>
    <t>Wm. Gibson</t>
  </si>
  <si>
    <t>N.V. Buchannan</t>
  </si>
  <si>
    <t>M.E. Von Amerongen</t>
  </si>
  <si>
    <t>Hon. Geo. Hoadley</t>
  </si>
  <si>
    <t>J.H. Walker</t>
  </si>
  <si>
    <t>Lorne Proudfoot</t>
  </si>
  <si>
    <t>J.V. Follett</t>
  </si>
  <si>
    <t>J.V.H. Milvain</t>
  </si>
  <si>
    <t>Hon. H.W. Allen</t>
  </si>
  <si>
    <t>J.E. Basarab</t>
  </si>
  <si>
    <t>H.G. Thunell</t>
  </si>
  <si>
    <t>Wm. Tomyn</t>
  </si>
  <si>
    <t>Robt. C. Black</t>
  </si>
  <si>
    <t>J.W. Robinson</t>
  </si>
  <si>
    <t>F.H. Dunstan</t>
  </si>
  <si>
    <t>Frank R. Falconer</t>
  </si>
  <si>
    <t>H.H. Dakin</t>
  </si>
  <si>
    <t>Luc Lebel</t>
  </si>
  <si>
    <t>G.H. Webster</t>
  </si>
  <si>
    <t>H.W. McGill</t>
  </si>
  <si>
    <t>H.S. Patterson</t>
  </si>
  <si>
    <t>A.C. MacKay</t>
  </si>
  <si>
    <t>J. O'Sullivan</t>
  </si>
  <si>
    <t>T. Vickers</t>
  </si>
  <si>
    <t>F.H. White</t>
  </si>
  <si>
    <t>Hon. V.W. Smith</t>
  </si>
  <si>
    <t>S.M. Westvick</t>
  </si>
  <si>
    <t>R. Christie</t>
  </si>
  <si>
    <t>Christian Hein</t>
  </si>
  <si>
    <t>S.T. Bigelow</t>
  </si>
  <si>
    <t>8,069 (56)</t>
  </si>
  <si>
    <t>13,668 (45)</t>
  </si>
  <si>
    <t>14,235 (20)</t>
  </si>
  <si>
    <t>12,420 (27)</t>
  </si>
  <si>
    <t>14,643 (21)</t>
  </si>
  <si>
    <t>9,034 (53)</t>
  </si>
  <si>
    <t>14,184 (29)</t>
  </si>
  <si>
    <t>11,760 (19)</t>
  </si>
  <si>
    <t>8,695 (28)</t>
  </si>
  <si>
    <t>7,762 (18)</t>
  </si>
  <si>
    <t>11,272 (36)</t>
  </si>
  <si>
    <t>10,859 (71)</t>
  </si>
  <si>
    <t>17,261 (18)</t>
  </si>
  <si>
    <t>12,120 (28)</t>
  </si>
  <si>
    <t>16,342 (18)</t>
  </si>
  <si>
    <t>14,064 (23)</t>
  </si>
  <si>
    <t>15,077 (13)</t>
  </si>
  <si>
    <t>9,958 (16)</t>
  </si>
  <si>
    <t>11,912 (31)</t>
  </si>
  <si>
    <t>10,783 (32)</t>
  </si>
  <si>
    <t>10,849 (43)</t>
  </si>
  <si>
    <t>10,146 (28)</t>
  </si>
  <si>
    <t>10,062 (43)</t>
  </si>
  <si>
    <t>12,050 (23)</t>
  </si>
  <si>
    <t>Ross Adshead</t>
  </si>
  <si>
    <t>Laurie Lang</t>
  </si>
  <si>
    <t>Mike Pietramala</t>
  </si>
  <si>
    <t>Sean Tisdall</t>
  </si>
  <si>
    <t>Reuben Bauer</t>
  </si>
  <si>
    <t>Patrick Conlin</t>
  </si>
  <si>
    <t>Mo Elsalhy</t>
  </si>
  <si>
    <t>Mark Norris</t>
  </si>
  <si>
    <t>13,056 (41)</t>
  </si>
  <si>
    <t>Lance Burns</t>
  </si>
  <si>
    <t>Aaron Campbell</t>
  </si>
  <si>
    <t>Amanda Doyle</t>
  </si>
  <si>
    <t>Maurice Tougas</t>
  </si>
  <si>
    <t>10,748 (51)</t>
  </si>
  <si>
    <t>Aman Gill</t>
  </si>
  <si>
    <t>Cameron Johnson</t>
  </si>
  <si>
    <t>Eric Stieglitz</t>
  </si>
  <si>
    <t>Nathan Taylor</t>
  </si>
  <si>
    <t>12,049 (50)</t>
  </si>
  <si>
    <t>Naresh Bhardwaj</t>
  </si>
  <si>
    <t>Weslyn Mather</t>
  </si>
  <si>
    <t>Lloyd Nelson</t>
  </si>
  <si>
    <t>Charles Relland</t>
  </si>
  <si>
    <t>10,440 (44)</t>
  </si>
  <si>
    <t>David Edgar</t>
  </si>
  <si>
    <t>Fred Horne</t>
  </si>
  <si>
    <t>John Lackey</t>
  </si>
  <si>
    <t>Donna Martyn</t>
  </si>
  <si>
    <t>David W. Power</t>
  </si>
  <si>
    <t>15,699 (56)</t>
  </si>
  <si>
    <t>Anita Ashmore</t>
  </si>
  <si>
    <t>R. J. (Bob) Ewart</t>
  </si>
  <si>
    <t>Jason Devine</t>
  </si>
  <si>
    <t>Brendan Dunphy</t>
  </si>
  <si>
    <t>Alan Schoonover</t>
  </si>
  <si>
    <t>Calgary-Egmont</t>
  </si>
  <si>
    <t>Shawn Christie</t>
  </si>
  <si>
    <t>Denis Herard</t>
  </si>
  <si>
    <t>Bradley R. Lang</t>
  </si>
  <si>
    <t>Wayne Lenhardt</t>
  </si>
  <si>
    <t>Calgary-Elbow</t>
  </si>
  <si>
    <t>Ralph Klein</t>
  </si>
  <si>
    <t>Monier Rahall</t>
  </si>
  <si>
    <t>Harold Swanson</t>
  </si>
  <si>
    <t>Mathew Zachariah</t>
  </si>
  <si>
    <t>Calgary-Fish Creek</t>
  </si>
  <si>
    <t>Marc Doll</t>
  </si>
  <si>
    <t>Heather Forsyth</t>
  </si>
  <si>
    <t>Ryan Todd</t>
  </si>
  <si>
    <t>Calgary-Foothills</t>
  </si>
  <si>
    <t>Jon Adams</t>
  </si>
  <si>
    <t>Harry B. Chase</t>
  </si>
  <si>
    <t>Pat Nelson</t>
  </si>
  <si>
    <t>Calgary-Fort</t>
  </si>
  <si>
    <t>Michael Alvarez-Toye</t>
  </si>
  <si>
    <t>Wayne Cao</t>
  </si>
  <si>
    <t>Metro Peter Demchynski</t>
  </si>
  <si>
    <t>Steve Leskiw</t>
  </si>
  <si>
    <t>Greg Stevens</t>
  </si>
  <si>
    <t>Ernie Isley</t>
  </si>
  <si>
    <t>Neil Webber</t>
  </si>
  <si>
    <t>Tom Sindlinger</t>
  </si>
  <si>
    <t>Dennis Anderson</t>
  </si>
  <si>
    <t>Bill Payne</t>
  </si>
  <si>
    <t>John Zaozirny</t>
  </si>
  <si>
    <t>Hugh L. Planche</t>
  </si>
  <si>
    <t>Eric Musgreave</t>
  </si>
  <si>
    <t>David Carter</t>
  </si>
  <si>
    <t>Ed Oman</t>
  </si>
  <si>
    <t>Peter Lougheed</t>
  </si>
  <si>
    <t>John Thompson</t>
  </si>
  <si>
    <t>Henry Kroeger</t>
  </si>
  <si>
    <t>Alan Hyland</t>
  </si>
  <si>
    <t>Shirley Cripps</t>
  </si>
  <si>
    <t>Horst Schmid</t>
  </si>
  <si>
    <t>15,628 (17)</t>
  </si>
  <si>
    <t>Wm. H. Shield</t>
  </si>
  <si>
    <t>J.W. McDonald</t>
  </si>
  <si>
    <t>C.S. Blanchard</t>
  </si>
  <si>
    <t>W.J. Ellison</t>
  </si>
  <si>
    <t>Malcolm MacGougan</t>
  </si>
  <si>
    <t>Geo. Clark</t>
  </si>
  <si>
    <t>H.G. Curlett</t>
  </si>
  <si>
    <t>Harvey Bossenberry</t>
  </si>
  <si>
    <t>Hon. J.E. Brownlee</t>
  </si>
  <si>
    <t xml:space="preserve">G.W. Smith </t>
  </si>
  <si>
    <t>Wm. E. Payne</t>
  </si>
  <si>
    <t>James Lees</t>
  </si>
  <si>
    <t>Daniel Glockzin</t>
  </si>
  <si>
    <t>Jos. Stobbs</t>
  </si>
  <si>
    <t>R. Sudworth</t>
  </si>
  <si>
    <t>Bill Diachuk</t>
  </si>
  <si>
    <t>Tom Chambers</t>
  </si>
  <si>
    <t>Rollie Cook</t>
  </si>
  <si>
    <t>Lou Hyndman</t>
  </si>
  <si>
    <t>Al Hiebert</t>
  </si>
  <si>
    <t>David King</t>
  </si>
  <si>
    <t>Les Young</t>
  </si>
  <si>
    <t>Labour</t>
  </si>
  <si>
    <t>Edmonton</t>
  </si>
  <si>
    <t>Grande Prairie</t>
  </si>
  <si>
    <t>Clarence Smith</t>
  </si>
  <si>
    <t>Vern Hoff</t>
  </si>
  <si>
    <t>Beaver River</t>
  </si>
  <si>
    <t>J.E. Cook</t>
  </si>
  <si>
    <t>R.E. Ansley</t>
  </si>
  <si>
    <t>Lacombe-Stettler</t>
  </si>
  <si>
    <t>Douglas R. Chitwood</t>
  </si>
  <si>
    <t>Lorenzo Fiorito</t>
  </si>
  <si>
    <t>Judy Gordon</t>
  </si>
  <si>
    <t>Doug McDavid</t>
  </si>
  <si>
    <t>Leduc</t>
  </si>
  <si>
    <t>Joyce Assen</t>
  </si>
  <si>
    <t>Albert Klapstein</t>
  </si>
  <si>
    <t>Leilani O'Malley</t>
  </si>
  <si>
    <t>Lethbridge-East</t>
  </si>
  <si>
    <t>Ron Carroll</t>
  </si>
  <si>
    <t>Spirit River-Fairview</t>
  </si>
  <si>
    <t>G.A. Forster</t>
  </si>
  <si>
    <t>J.L. Newman</t>
  </si>
  <si>
    <t>Daniel Morkeberg</t>
  </si>
  <si>
    <t>Geo. C. Wagner</t>
  </si>
  <si>
    <t>Hon. Irene Parlby</t>
  </si>
  <si>
    <t xml:space="preserve">D.C. Breton </t>
  </si>
  <si>
    <t>W.D.L. Hardie</t>
  </si>
  <si>
    <t>Hon. O.L. McPherson</t>
  </si>
  <si>
    <t>J.A. Wingblade</t>
  </si>
  <si>
    <t>F.C. Moyer</t>
  </si>
  <si>
    <t>W.G. Southern</t>
  </si>
  <si>
    <t>Gerald O'Connor</t>
  </si>
  <si>
    <t>D.M. Duggan</t>
  </si>
  <si>
    <t>S.A.G. Barnes</t>
  </si>
  <si>
    <t>3,029 (0)</t>
  </si>
  <si>
    <t>3,245 (0)</t>
  </si>
  <si>
    <t>2,972 (127)</t>
  </si>
  <si>
    <t>301,957 (7,163)</t>
  </si>
  <si>
    <t>3,500 (113)</t>
  </si>
  <si>
    <t>5,165 (64)</t>
  </si>
  <si>
    <t>5,776 (222)</t>
  </si>
  <si>
    <t>Calgary-Cross</t>
  </si>
  <si>
    <t>Yvonne Fritz</t>
  </si>
  <si>
    <t>Keith Jones</t>
  </si>
  <si>
    <t>Ramiro Mora</t>
  </si>
  <si>
    <t>Calgary-Currie</t>
  </si>
  <si>
    <t xml:space="preserve">J. Bruce Miller </t>
  </si>
  <si>
    <t>Garth Mundle</t>
  </si>
  <si>
    <t>Pat Murray</t>
  </si>
  <si>
    <t>Cardston-Chief Mountain</t>
  </si>
  <si>
    <t>Chinook</t>
  </si>
  <si>
    <t>Edmonton-Avonmore</t>
  </si>
  <si>
    <t>Edmonton-Beverly-Belmont</t>
  </si>
  <si>
    <t>Edmonton-Highlands-Beverly</t>
  </si>
  <si>
    <t>Edmonton-Mayfield</t>
  </si>
  <si>
    <t>Edmonton-Roper</t>
  </si>
  <si>
    <t>Bonnyville</t>
  </si>
  <si>
    <t>Bow Valley</t>
  </si>
  <si>
    <t>Clover Bar -Fort Saskatchewan</t>
  </si>
  <si>
    <t>Drumheller</t>
  </si>
  <si>
    <t>Olds-Didsbury</t>
  </si>
  <si>
    <t>Taber-Warner</t>
  </si>
  <si>
    <t xml:space="preserve"> 10,131 (26)</t>
  </si>
  <si>
    <t>Three Hills-Airdrie</t>
  </si>
  <si>
    <t>Vermilion-LIoydminster</t>
  </si>
  <si>
    <t>T.B. MacKay</t>
  </si>
  <si>
    <t>Clarence H. Tade</t>
  </si>
  <si>
    <t xml:space="preserve">F. Falconer </t>
  </si>
  <si>
    <t>A. McLeod</t>
  </si>
  <si>
    <t>Lucien Maynard</t>
  </si>
  <si>
    <t>Walter Allen</t>
  </si>
  <si>
    <t>David Nelson</t>
  </si>
  <si>
    <t>J.M. Wheatley</t>
  </si>
  <si>
    <t>John Mackintosh</t>
  </si>
  <si>
    <t>F. Anderson</t>
  </si>
  <si>
    <t>Edith H. Gostick</t>
  </si>
  <si>
    <t>O.G. Devenish</t>
  </si>
  <si>
    <t>W. Little</t>
  </si>
  <si>
    <t>J. Irwin</t>
  </si>
  <si>
    <t>H.C. Farthing</t>
  </si>
  <si>
    <t>R.H. Weir</t>
  </si>
  <si>
    <t>P. Lenihan</t>
  </si>
  <si>
    <t>R.W. Watson</t>
  </si>
  <si>
    <t>C.F. Jamieson</t>
  </si>
  <si>
    <t>R.H. Parkyn</t>
  </si>
  <si>
    <t>John Irwin</t>
  </si>
  <si>
    <t>Edith H. Costick</t>
  </si>
  <si>
    <t>J. W. Hugil</t>
  </si>
  <si>
    <t>W.N. Chant</t>
  </si>
  <si>
    <t>M.G. Christie</t>
  </si>
  <si>
    <t xml:space="preserve">S. Savage </t>
  </si>
  <si>
    <t>N.E. Tanner</t>
  </si>
  <si>
    <t>G.L. Stringham</t>
  </si>
  <si>
    <t>D.O. Wight</t>
  </si>
  <si>
    <t>Cochrane</t>
  </si>
  <si>
    <t>Wm. Laut</t>
  </si>
  <si>
    <t>R.M. McCool</t>
  </si>
  <si>
    <t>J.A. Tweedle</t>
  </si>
  <si>
    <t>Coronation</t>
  </si>
  <si>
    <t>G.L. MacLachlan</t>
  </si>
  <si>
    <t>C.C. Wager</t>
  </si>
  <si>
    <t>Robt. Densmore</t>
  </si>
  <si>
    <t>A. W. Flamme</t>
  </si>
  <si>
    <t>R.C. Black</t>
  </si>
  <si>
    <t>Hon. P.E. Baker</t>
  </si>
  <si>
    <t>J.H. Duncan</t>
  </si>
  <si>
    <t>A.B. Claypool</t>
  </si>
  <si>
    <t>A. Sheline</t>
  </si>
  <si>
    <t>A.S. Gough</t>
  </si>
  <si>
    <t>Herbert Ingrey</t>
  </si>
  <si>
    <t>M. Clarke</t>
  </si>
  <si>
    <t>D. McDonald</t>
  </si>
  <si>
    <t>W.R. Howson</t>
  </si>
  <si>
    <t>W.S. Hall</t>
  </si>
  <si>
    <t>D.B. Mullen</t>
  </si>
  <si>
    <t>Hon. J.F. Lymburn</t>
  </si>
  <si>
    <t>O.A. Kennedy</t>
  </si>
  <si>
    <t>7,573 (26)</t>
  </si>
  <si>
    <t>John S. Webb</t>
  </si>
  <si>
    <t>A.J.E. Liesemer</t>
  </si>
  <si>
    <t>Airdrie-Chestermere</t>
  </si>
  <si>
    <t>Athabasca-Redwater</t>
  </si>
  <si>
    <t>Barrhead-Morinville-Westlock</t>
  </si>
  <si>
    <t>Battle River-Wainwright</t>
  </si>
  <si>
    <t>Calgary-Hays</t>
  </si>
  <si>
    <t>Calgary-Mackay</t>
  </si>
  <si>
    <t>Calgary-Nose Hill</t>
  </si>
  <si>
    <t>Drumheller-Stettler</t>
  </si>
  <si>
    <t>Dunvegan-Central Peace</t>
  </si>
  <si>
    <t>Edmonton-Decore</t>
  </si>
  <si>
    <t>Edmonton-Highlands-Norwood</t>
  </si>
  <si>
    <t>Foothills-Rocky View</t>
  </si>
  <si>
    <t>Fort McMurray-Wood Buffalo</t>
  </si>
  <si>
    <t>Fort Saskatchewan-Vegreville</t>
  </si>
  <si>
    <t>Lacombe-Ponoka</t>
  </si>
  <si>
    <t>Leduc-Beaumont-Devon</t>
  </si>
  <si>
    <t>Strathcona</t>
  </si>
  <si>
    <t>Hector G. Goudreau</t>
  </si>
  <si>
    <t>Dale Lueken</t>
  </si>
  <si>
    <t>Leon R. Pendleton</t>
  </si>
  <si>
    <t>Lanny Portsmouth</t>
  </si>
  <si>
    <t>Don Thompson</t>
  </si>
  <si>
    <t>8,261(46)</t>
  </si>
  <si>
    <t>John Burke</t>
  </si>
  <si>
    <t>Bradley Gaida</t>
  </si>
  <si>
    <t>Jerry Gautreau</t>
  </si>
  <si>
    <t>Bob Lefurgey</t>
  </si>
  <si>
    <t>Grant Massie</t>
  </si>
  <si>
    <t>Angela Scully</t>
  </si>
  <si>
    <t>Nicole Belland</t>
  </si>
  <si>
    <t>Luke De Smet</t>
  </si>
  <si>
    <t>Leonard Fish</t>
  </si>
  <si>
    <t>Sean Whelan</t>
  </si>
  <si>
    <t>Melissa Cambridge</t>
  </si>
  <si>
    <t>Chris Foote</t>
  </si>
  <si>
    <t>Ian McDougall</t>
  </si>
  <si>
    <t>8,034 (65)</t>
  </si>
  <si>
    <t>11,970 (53)</t>
  </si>
  <si>
    <t>11,844 (44)</t>
  </si>
  <si>
    <t>Alan Fiebich</t>
  </si>
  <si>
    <t>Carl Haugen</t>
  </si>
  <si>
    <t>Peggy Kirkeby</t>
  </si>
  <si>
    <t>11,916 (41)</t>
  </si>
  <si>
    <t>Doug Griffiths</t>
  </si>
  <si>
    <t>Len Legault</t>
  </si>
  <si>
    <t>Gordon Rogers</t>
  </si>
  <si>
    <t>Robin Skitteral</t>
  </si>
  <si>
    <t>Orest Werezak</t>
  </si>
  <si>
    <t>9,853 (32)</t>
  </si>
  <si>
    <t>Shane Gervais</t>
  </si>
  <si>
    <t>Lloyd Mildon</t>
  </si>
  <si>
    <t>Denise Ogonoski</t>
  </si>
  <si>
    <t>5,686 (28)</t>
  </si>
  <si>
    <t>Jennifer Banks</t>
  </si>
  <si>
    <t>James D. Istvanffy</t>
  </si>
  <si>
    <t>Marie Picken</t>
  </si>
  <si>
    <t>12,650 (78)</t>
  </si>
  <si>
    <t xml:space="preserve">Elizabeth K Fielding </t>
  </si>
  <si>
    <t>Cliff Hesby</t>
  </si>
  <si>
    <t>Nadine Hunka</t>
  </si>
  <si>
    <t>Grant Neufeld</t>
  </si>
  <si>
    <t>Carl Schwartz</t>
  </si>
  <si>
    <t>Terry Taylor</t>
  </si>
  <si>
    <t>7,730 (50)</t>
  </si>
  <si>
    <t>Separation Party</t>
  </si>
  <si>
    <t>Alberta Party</t>
  </si>
  <si>
    <t>Raleigh Dehaney</t>
  </si>
  <si>
    <t>Gordon Huth</t>
  </si>
  <si>
    <t>Jeanie Keebler</t>
  </si>
  <si>
    <t>Ryan Richardson</t>
  </si>
  <si>
    <t>6,533 (30)</t>
  </si>
  <si>
    <t>Ken Mazeroll</t>
  </si>
  <si>
    <t>Dave Taylor</t>
  </si>
  <si>
    <t>Kim Warnke</t>
  </si>
  <si>
    <t>11,087 (58)</t>
  </si>
  <si>
    <t>Brad Berard</t>
  </si>
  <si>
    <t>Bonnie-Jean Collins</t>
  </si>
  <si>
    <t>Bill Harvey</t>
  </si>
  <si>
    <t>Rick Michalenko</t>
  </si>
  <si>
    <t>Paul Vargis</t>
  </si>
  <si>
    <t>8,332 (59)</t>
  </si>
  <si>
    <t>David Crutcher</t>
  </si>
  <si>
    <t>Christopher Dovey</t>
  </si>
  <si>
    <t>Michael Queenan</t>
  </si>
  <si>
    <t>George Read</t>
  </si>
  <si>
    <t>11,189 (51)</t>
  </si>
  <si>
    <t>Lloyd Blimke</t>
  </si>
  <si>
    <t>Diana-Lynn Brooks</t>
  </si>
  <si>
    <t>Stephen Brown</t>
  </si>
  <si>
    <t>Trevor Grover</t>
  </si>
  <si>
    <t>Becky Kelley</t>
  </si>
  <si>
    <t xml:space="preserve">Allison Roth </t>
  </si>
  <si>
    <t>13,517 (93)</t>
  </si>
  <si>
    <t>Tore Badenduck</t>
  </si>
  <si>
    <t>Mike Kuipers</t>
  </si>
  <si>
    <t>Eric Leavitt</t>
  </si>
  <si>
    <t>Chris Sealy</t>
  </si>
  <si>
    <t>11,809 (40)</t>
  </si>
  <si>
    <t>Malcolm Forster</t>
  </si>
  <si>
    <t>Stephen Jenuth</t>
  </si>
  <si>
    <t>Len Webber</t>
  </si>
  <si>
    <t>Vincent S. Jansen-Van Doorn</t>
  </si>
  <si>
    <t>10,250 (23)</t>
  </si>
  <si>
    <t>Tyler Charkie</t>
  </si>
  <si>
    <t>Gerry Hart</t>
  </si>
  <si>
    <t>Leo Ollenberger</t>
  </si>
  <si>
    <t>Elizabeth A. Thomas</t>
  </si>
  <si>
    <t>Travis P. Chase</t>
  </si>
  <si>
    <t>7,681 (88)</t>
  </si>
  <si>
    <t>Larry R. Heather</t>
  </si>
  <si>
    <t>Holly Heffernan</t>
  </si>
  <si>
    <t>Ernest McCutcheon</t>
  </si>
  <si>
    <t>Avalon Roberts</t>
  </si>
  <si>
    <t>Evan Sklarski</t>
  </si>
  <si>
    <t>12,410 (59)</t>
  </si>
  <si>
    <t>Bernie Amell</t>
  </si>
  <si>
    <t>Sharon L. Howe</t>
  </si>
  <si>
    <t>Art Johnston</t>
  </si>
  <si>
    <t>Rachel Weinfeld</t>
  </si>
  <si>
    <t>8,659 (31)</t>
  </si>
  <si>
    <t>Ryan Boucher</t>
  </si>
  <si>
    <t>Tariq Khan</t>
  </si>
  <si>
    <t>Matt Koczkur</t>
  </si>
  <si>
    <t>Al Pollock</t>
  </si>
  <si>
    <t>Dave Rodney</t>
  </si>
  <si>
    <t>10,589 (44)</t>
  </si>
  <si>
    <t>Shawn Hubbard</t>
  </si>
  <si>
    <t>Paul Martin</t>
  </si>
  <si>
    <t>David McTavish</t>
  </si>
  <si>
    <t>9,925 (49)</t>
  </si>
  <si>
    <t>Sean Brocklesby</t>
  </si>
  <si>
    <t>Ina Given</t>
  </si>
  <si>
    <t>Darshan S. Kang</t>
  </si>
  <si>
    <t>7,328 (64)</t>
  </si>
  <si>
    <t>Cyril Collingwood</t>
  </si>
  <si>
    <t>Kevin Colton</t>
  </si>
  <si>
    <t>Arthur Danielson</t>
  </si>
  <si>
    <t>Jason Nishiyama</t>
  </si>
  <si>
    <t>6,478 (31)</t>
  </si>
  <si>
    <t>Ryan Cassell</t>
  </si>
  <si>
    <t>John Donovan</t>
  </si>
  <si>
    <t>David Swann</t>
  </si>
  <si>
    <t>13,435 (84)</t>
  </si>
  <si>
    <t>Brent Best</t>
  </si>
  <si>
    <t>Aileen L. Machell</t>
  </si>
  <si>
    <t>Susan Stratton</t>
  </si>
  <si>
    <t>10,112 (59)</t>
  </si>
  <si>
    <t>Bob Brunet</t>
  </si>
  <si>
    <t>Jenell Friesen</t>
  </si>
  <si>
    <t xml:space="preserve">Charlie Bryant </t>
  </si>
  <si>
    <t xml:space="preserve">Ron Hierath </t>
  </si>
  <si>
    <t xml:space="preserve">Ken Rose </t>
  </si>
  <si>
    <t xml:space="preserve">Lawrence Lein </t>
  </si>
  <si>
    <t xml:space="preserve">George Shenton </t>
  </si>
  <si>
    <t xml:space="preserve">Peter Smits </t>
  </si>
  <si>
    <t xml:space="preserve">Gordon Twigg </t>
  </si>
  <si>
    <t xml:space="preserve">Ed Stelmach </t>
  </si>
  <si>
    <t xml:space="preserve">Jerry Wilde </t>
  </si>
  <si>
    <t xml:space="preserve">Greg Michaud </t>
  </si>
  <si>
    <t xml:space="preserve">Steve West </t>
  </si>
  <si>
    <t xml:space="preserve">Robert (Butch) Fischer </t>
  </si>
  <si>
    <t xml:space="preserve">Evangéline Forcier </t>
  </si>
  <si>
    <t xml:space="preserve">Tom A. Samuel </t>
  </si>
  <si>
    <t xml:space="preserve">Dale Trefz </t>
  </si>
  <si>
    <t>Jerry J. Doyle</t>
  </si>
  <si>
    <t xml:space="preserve">Fiona Fowler Cleary </t>
  </si>
  <si>
    <t xml:space="preserve">Mario Houle </t>
  </si>
  <si>
    <t xml:space="preserve">Garry M. Klewchuk </t>
  </si>
  <si>
    <t xml:space="preserve">Duco Van Binsbergen </t>
  </si>
  <si>
    <t xml:space="preserve">Henry Neumann </t>
  </si>
  <si>
    <t xml:space="preserve">Bob Prestage </t>
  </si>
  <si>
    <t xml:space="preserve">Ken Rostad </t>
  </si>
  <si>
    <t>Walter Bllznicenko</t>
  </si>
  <si>
    <t xml:space="preserve">Earle Cunningham </t>
  </si>
  <si>
    <t xml:space="preserve">Connie Oskoboiny </t>
  </si>
  <si>
    <t>Bruce Miller</t>
  </si>
  <si>
    <t>Walter Schachenhofer</t>
  </si>
  <si>
    <t>13,106 (85)</t>
  </si>
  <si>
    <t>Manjit Dhaliwal</t>
  </si>
  <si>
    <t>David Dowling</t>
  </si>
  <si>
    <t>Delmar Hunt</t>
  </si>
  <si>
    <t>Keith Turnbull</t>
  </si>
  <si>
    <t>14,042 (79)</t>
  </si>
  <si>
    <t>Dale W. Ferris</t>
  </si>
  <si>
    <t>Jason Manzevich</t>
  </si>
  <si>
    <t>Terry Martiniuk</t>
  </si>
  <si>
    <t>9,668 (55)</t>
  </si>
  <si>
    <t>Don J. Corse</t>
  </si>
  <si>
    <t>Bill Kostiw</t>
  </si>
  <si>
    <t>Peter Mihailuk</t>
  </si>
  <si>
    <t>Leo Piquette</t>
  </si>
  <si>
    <t>Bill Deacon</t>
  </si>
  <si>
    <t>Ed Fisher</t>
  </si>
  <si>
    <t>Betty Ann Stimson</t>
  </si>
  <si>
    <t>Herb Brent</t>
  </si>
  <si>
    <t>Mary Lou Ehrenholz</t>
  </si>
  <si>
    <t>Ferne Nutt</t>
  </si>
  <si>
    <t>Thomas J. Tucker</t>
  </si>
  <si>
    <t>Martha Andrews</t>
  </si>
  <si>
    <t>Tom Musgrove</t>
  </si>
  <si>
    <t>Bud Olson</t>
  </si>
  <si>
    <t>Vanore Voaklander</t>
  </si>
  <si>
    <t>Douglas Attfield</t>
  </si>
  <si>
    <t xml:space="preserve"> GENERAL ELECTION-Monday, March 20, 1989</t>
  </si>
  <si>
    <t>Athabasca-Wabasca</t>
  </si>
  <si>
    <t xml:space="preserve">Mike Cardinal </t>
  </si>
  <si>
    <t>Ian Hopfe</t>
  </si>
  <si>
    <t>David Klassen</t>
  </si>
  <si>
    <t>O.L. McPherson</t>
  </si>
  <si>
    <t>L.H. Stack</t>
  </si>
  <si>
    <t>Jas. Hartley</t>
  </si>
  <si>
    <t>W.H. Shield</t>
  </si>
  <si>
    <t>C.T. Schiebout</t>
  </si>
  <si>
    <t>Hector Lang</t>
  </si>
  <si>
    <t>J.L. Robinson</t>
  </si>
  <si>
    <t>I. Bullivant</t>
  </si>
  <si>
    <t>Nanton-Claresholm</t>
  </si>
  <si>
    <t>H.O. Haslam</t>
  </si>
  <si>
    <t>G.B. Walker</t>
  </si>
  <si>
    <t>C.T. Milnes</t>
  </si>
  <si>
    <t>S. Wyatt</t>
  </si>
  <si>
    <t>Wm. Morrison</t>
  </si>
  <si>
    <t>A.S. Dick</t>
  </si>
  <si>
    <t>V.E. Hessell</t>
  </si>
  <si>
    <t>A.H. Mann</t>
  </si>
  <si>
    <t>Hon. F.S. Grisdale</t>
  </si>
  <si>
    <t>Wm. H.A. Thomas</t>
  </si>
  <si>
    <t xml:space="preserve"> 8,441 (25) </t>
  </si>
  <si>
    <t>Athabasca</t>
  </si>
  <si>
    <t>Barry Pashak</t>
  </si>
  <si>
    <t>Cypress</t>
  </si>
  <si>
    <t xml:space="preserve">Edson </t>
  </si>
  <si>
    <t>Lethbridge East</t>
  </si>
  <si>
    <t xml:space="preserve">Liberal </t>
  </si>
  <si>
    <t>D.M. Dechene</t>
  </si>
  <si>
    <t>J.P.L. Joly</t>
  </si>
  <si>
    <t xml:space="preserve">H.A. Blair </t>
  </si>
  <si>
    <t>A.B. Clark</t>
  </si>
  <si>
    <t>W.H. Wallace</t>
  </si>
  <si>
    <t>Donald Macleod</t>
  </si>
  <si>
    <t>Geo. J. Bryan</t>
  </si>
  <si>
    <t>S.A. Carson</t>
  </si>
  <si>
    <t>John Kuzek</t>
  </si>
  <si>
    <t>J.J. MacLellan</t>
  </si>
  <si>
    <t>J.E. Evanson</t>
  </si>
  <si>
    <t>Vergreville</t>
  </si>
  <si>
    <t>Harry A. White</t>
  </si>
  <si>
    <t>Robt. B. Hall</t>
  </si>
  <si>
    <t>Peter Miskiw</t>
  </si>
  <si>
    <t xml:space="preserve">S.W. Bahlay </t>
  </si>
  <si>
    <t xml:space="preserve">E. Olendy </t>
  </si>
  <si>
    <t>E.A. Pitman</t>
  </si>
  <si>
    <t>S.R. Bowerman</t>
  </si>
  <si>
    <t>R.W. Risinger</t>
  </si>
  <si>
    <t xml:space="preserve">Whitford </t>
  </si>
  <si>
    <t xml:space="preserve">Isidore Goresky </t>
  </si>
  <si>
    <t>Geo. Szkwarok</t>
  </si>
  <si>
    <t>S. Suwala</t>
  </si>
  <si>
    <t>Rudolph Hennig</t>
  </si>
  <si>
    <t xml:space="preserve">Fred C. Moyer </t>
  </si>
  <si>
    <t>Fred C. Moyer</t>
  </si>
  <si>
    <t>Donald Cameron</t>
  </si>
  <si>
    <t xml:space="preserve">Medicine Hat </t>
  </si>
  <si>
    <t>J .R. Love</t>
  </si>
  <si>
    <t>J.R. Love</t>
  </si>
  <si>
    <t xml:space="preserve">J. Mackintosh </t>
  </si>
  <si>
    <t>L.P. Schooling</t>
  </si>
  <si>
    <t>R.M. McCooI</t>
  </si>
  <si>
    <t>E.A. Mantz</t>
  </si>
  <si>
    <t xml:space="preserve">J.R. Mackie </t>
  </si>
  <si>
    <t>M.J. Connor</t>
  </si>
  <si>
    <t>John W. Frame</t>
  </si>
  <si>
    <t>Mrs. Jean H. Field</t>
  </si>
  <si>
    <t>E.E. Sparks</t>
  </si>
  <si>
    <t>Geo. L. Stringham</t>
  </si>
  <si>
    <t>C.Y. Weaver</t>
  </si>
  <si>
    <t>Mike Cardinal</t>
  </si>
  <si>
    <t>Curtis Gunderson</t>
  </si>
  <si>
    <t>Tony Mercredi</t>
  </si>
  <si>
    <t>Dean Patriquin</t>
  </si>
  <si>
    <t/>
  </si>
  <si>
    <t>Robert Alford</t>
  </si>
  <si>
    <t>Ralph Chalifoux</t>
  </si>
  <si>
    <t>Glenn Laboucan</t>
  </si>
  <si>
    <t>David Crowe</t>
  </si>
  <si>
    <t>Mark Dickerson</t>
  </si>
  <si>
    <t>Brent Johner</t>
  </si>
  <si>
    <t>Bonnie Laing</t>
  </si>
  <si>
    <t>Ronnie Shapka</t>
  </si>
  <si>
    <t>Terri-Lynn Bradford</t>
  </si>
  <si>
    <t>Gary Dickson</t>
  </si>
  <si>
    <t>Ralph Holt</t>
  </si>
  <si>
    <t>D. Roberts</t>
  </si>
  <si>
    <t>E.P. Foster</t>
  </si>
  <si>
    <t>SUMMARY OF RESULTS BY ELECTORAL DIVISION</t>
  </si>
  <si>
    <t>Joseph Yanchula</t>
  </si>
  <si>
    <t>Joe Hill</t>
  </si>
  <si>
    <t>Gordon Stromberg</t>
  </si>
  <si>
    <t>Allen Eng</t>
  </si>
  <si>
    <t>Lionel Lizee</t>
  </si>
  <si>
    <t>Lethbridge West</t>
  </si>
  <si>
    <t xml:space="preserve">Lloydminster </t>
  </si>
  <si>
    <t>Ponoka</t>
  </si>
  <si>
    <t>Red Deer</t>
  </si>
  <si>
    <t>Vinay Dey</t>
  </si>
  <si>
    <t>R. Chick Hurst</t>
  </si>
  <si>
    <t>Brian Huskins</t>
  </si>
  <si>
    <t>Wyatt McIntyre</t>
  </si>
  <si>
    <t>Brian Slater</t>
  </si>
  <si>
    <t>Wm. Sharpe</t>
  </si>
  <si>
    <t xml:space="preserve">Colin Piquette </t>
  </si>
  <si>
    <t>Al Wurfel</t>
  </si>
  <si>
    <t>Lesser Slave Lake</t>
  </si>
  <si>
    <t>Doris Bannister</t>
  </si>
  <si>
    <t>Pearl Calahasen</t>
  </si>
  <si>
    <t>Rick Noel</t>
  </si>
  <si>
    <t>Calgary-Bow</t>
  </si>
  <si>
    <t>Margaret (Peggy) Askin</t>
  </si>
  <si>
    <t>Jeff Bayliss</t>
  </si>
  <si>
    <t>Alana DeLong</t>
  </si>
  <si>
    <t>Kelly McDonnell</t>
  </si>
  <si>
    <t>Jan Triska</t>
  </si>
  <si>
    <t>Calgary-Buffalo</t>
  </si>
  <si>
    <t>Harvey Cenaiko</t>
  </si>
  <si>
    <t>Brian Edy</t>
  </si>
  <si>
    <t>Neil McKinnon</t>
  </si>
  <si>
    <t>Dave Schwartz</t>
  </si>
  <si>
    <t>Archie Baldwin</t>
  </si>
  <si>
    <t>Dick Fowler</t>
  </si>
  <si>
    <t>Cheryl Wharton</t>
  </si>
  <si>
    <t>Victor Chrapko</t>
  </si>
  <si>
    <t>John Drobot</t>
  </si>
  <si>
    <t>Brian C. Downey</t>
  </si>
  <si>
    <t>Frank Pickering</t>
  </si>
  <si>
    <t>Dan Fitze</t>
  </si>
  <si>
    <t>Jim Heron</t>
  </si>
  <si>
    <t>John Torringa</t>
  </si>
  <si>
    <t>Patrick (Pat) Flanagan</t>
  </si>
  <si>
    <t>Charlene Vickers</t>
  </si>
  <si>
    <t>Peter Burch</t>
  </si>
  <si>
    <t>Fred Mertz</t>
  </si>
  <si>
    <t>Poul Wesch</t>
  </si>
  <si>
    <t>Derek Fox</t>
  </si>
  <si>
    <t>Gordon Miller</t>
  </si>
  <si>
    <t>Frederick G. Paasche</t>
  </si>
  <si>
    <t>Greg Michaud</t>
  </si>
  <si>
    <t>Willy Kelch</t>
  </si>
  <si>
    <t>Joe Vermette</t>
  </si>
  <si>
    <t>Leo Seguin</t>
  </si>
  <si>
    <t xml:space="preserve">Harvey Ball </t>
  </si>
  <si>
    <t>Jerry Doyle</t>
  </si>
  <si>
    <t>Sharron Johnstone</t>
  </si>
  <si>
    <t>George Carrier</t>
  </si>
  <si>
    <t>Don Sparrow</t>
  </si>
  <si>
    <t>Jurgen Preugschas</t>
  </si>
  <si>
    <t>Gwen E. Symington</t>
  </si>
  <si>
    <t xml:space="preserve">Simon Waquan </t>
  </si>
  <si>
    <t xml:space="preserve">Emil Zachkewich </t>
  </si>
  <si>
    <t xml:space="preserve">Bruce A. Jackson </t>
  </si>
  <si>
    <t xml:space="preserve">Larry Zima </t>
  </si>
  <si>
    <t xml:space="preserve">Dianne Anderson </t>
  </si>
  <si>
    <t xml:space="preserve">Kristopher Dietrich </t>
  </si>
  <si>
    <t xml:space="preserve">Gus Mattheis </t>
  </si>
  <si>
    <t xml:space="preserve">Steven Milner </t>
  </si>
  <si>
    <t>Larry Sakaluk</t>
  </si>
  <si>
    <t>Patrick John Hudson</t>
  </si>
  <si>
    <t>Alan Livingston</t>
  </si>
  <si>
    <t>Rob Van Walleghem</t>
  </si>
  <si>
    <t>Israel Lachovsky</t>
  </si>
  <si>
    <t>Rebecca Matiowsky</t>
  </si>
  <si>
    <t>Steven Yu</t>
  </si>
  <si>
    <t>Keith Hart</t>
  </si>
  <si>
    <t xml:space="preserve">Jocelyn Burgener </t>
  </si>
  <si>
    <t>Mark Waters</t>
  </si>
  <si>
    <t xml:space="preserve">Alain Horchower </t>
  </si>
  <si>
    <t xml:space="preserve">Dale Muti </t>
  </si>
  <si>
    <t xml:space="preserve">Barry Pashak </t>
  </si>
  <si>
    <t xml:space="preserve">Lera G. Shirley </t>
  </si>
  <si>
    <t>Linda Fritz</t>
  </si>
  <si>
    <t xml:space="preserve">Les Kaluzny </t>
  </si>
  <si>
    <t xml:space="preserve">Dick Nichols </t>
  </si>
  <si>
    <t xml:space="preserve">Ken Sahil </t>
  </si>
  <si>
    <t xml:space="preserve">Eileen Clancy Teslenko </t>
  </si>
  <si>
    <t xml:space="preserve">Miel S.R. Gabriel </t>
  </si>
  <si>
    <t xml:space="preserve">Bruce Hansen </t>
  </si>
  <si>
    <t>Madeleine King</t>
  </si>
  <si>
    <t xml:space="preserve">Ralph Klein </t>
  </si>
  <si>
    <t xml:space="preserve">Steve Tobler </t>
  </si>
  <si>
    <t xml:space="preserve">Roy Carey </t>
  </si>
  <si>
    <t xml:space="preserve">Heather Forsyth </t>
  </si>
  <si>
    <t xml:space="preserve">Darlene Holt </t>
  </si>
  <si>
    <t xml:space="preserve">Kerin Spaargaren </t>
  </si>
  <si>
    <t xml:space="preserve">Anna Novikov </t>
  </si>
  <si>
    <t xml:space="preserve">Frances Wright </t>
  </si>
  <si>
    <t>Sol Candel</t>
  </si>
  <si>
    <t xml:space="preserve">Brendan Dunphy </t>
  </si>
  <si>
    <t xml:space="preserve">Dianne Mirosh </t>
  </si>
  <si>
    <t xml:space="preserve">Noreen Murphy </t>
  </si>
  <si>
    <t xml:space="preserve">Stuart Van Der Lee </t>
  </si>
  <si>
    <t xml:space="preserve">John Vrskovy </t>
  </si>
  <si>
    <t>Ida Bugmann</t>
  </si>
  <si>
    <t xml:space="preserve">Jim Dinning </t>
  </si>
  <si>
    <t xml:space="preserve">Jack Driscoll </t>
  </si>
  <si>
    <t xml:space="preserve">Peter Hope </t>
  </si>
  <si>
    <t xml:space="preserve">Catherine Rose </t>
  </si>
  <si>
    <t>Maureen Doram</t>
  </si>
  <si>
    <t xml:space="preserve">A. Giga </t>
  </si>
  <si>
    <t xml:space="preserve">Sylvia Lilley </t>
  </si>
  <si>
    <t xml:space="preserve">Brian R. Newman </t>
  </si>
  <si>
    <t xml:space="preserve">Harry Sohal </t>
  </si>
  <si>
    <t>R. Gerald Eherer</t>
  </si>
  <si>
    <t>Jim Gurnett</t>
  </si>
  <si>
    <t>James Albers</t>
  </si>
  <si>
    <t>Marie Laing</t>
  </si>
  <si>
    <t>Cathy Greco</t>
  </si>
  <si>
    <t>Tom Sigurdson</t>
  </si>
  <si>
    <t>Ed W. Ewasiuk</t>
  </si>
  <si>
    <t>Gary Kump</t>
  </si>
  <si>
    <t>Daryl Robb</t>
  </si>
  <si>
    <t>Bonny Royce</t>
  </si>
  <si>
    <t>Aldo De Luca</t>
  </si>
  <si>
    <t>Christie Mjolsness</t>
  </si>
  <si>
    <t>Mary Molloy</t>
  </si>
  <si>
    <t>William Roberts</t>
  </si>
  <si>
    <t>John Belzerowski</t>
  </si>
  <si>
    <t>Robin Boodle</t>
  </si>
  <si>
    <t>Laurence Decore</t>
  </si>
  <si>
    <t>Hal Annett</t>
  </si>
  <si>
    <t>Nancy Betkowski</t>
  </si>
  <si>
    <t>George Millar</t>
  </si>
  <si>
    <t>Bettie Hewes</t>
  </si>
  <si>
    <t>Chris Tomaschuk</t>
  </si>
  <si>
    <t>Cathy Wyatt</t>
  </si>
  <si>
    <t>Ziad N. Jaber</t>
  </si>
  <si>
    <t>Ken Kozak</t>
  </si>
  <si>
    <t>Allen Wasnea</t>
  </si>
  <si>
    <t xml:space="preserve">Joan Majeski </t>
  </si>
  <si>
    <t>William A. (Bill) Mullen</t>
  </si>
  <si>
    <t>Gerry Gibeault</t>
  </si>
  <si>
    <t>Bas Roopnarine</t>
  </si>
  <si>
    <t>Murray Scambler</t>
  </si>
  <si>
    <t>Luis C. Baptista</t>
  </si>
  <si>
    <t>Dan Papirnik</t>
  </si>
  <si>
    <t>Doug Main</t>
  </si>
  <si>
    <t>Jim Selby</t>
  </si>
  <si>
    <t>Nadene Thomas</t>
  </si>
  <si>
    <t>Jack Scott</t>
  </si>
  <si>
    <t>Nao Fernando</t>
  </si>
  <si>
    <t>James Carbery</t>
  </si>
  <si>
    <t>Norman Weiss</t>
  </si>
  <si>
    <t>Bob Elliott</t>
  </si>
  <si>
    <t>Murray Gauvreau</t>
  </si>
  <si>
    <t>Irv Macklin</t>
  </si>
  <si>
    <t>Evelyn Vardalas</t>
  </si>
  <si>
    <t>Janis Belgum</t>
  </si>
  <si>
    <t>Don Dearle</t>
  </si>
  <si>
    <t>Bruce Jackson</t>
  </si>
  <si>
    <t>Larry Whaley</t>
  </si>
  <si>
    <t>Ron Moore</t>
  </si>
  <si>
    <t>Cliff Reid</t>
  </si>
  <si>
    <t>Roger Young</t>
  </si>
  <si>
    <t>Pearl M. Calahasen</t>
  </si>
  <si>
    <t>Philip G.S. Lukken</t>
  </si>
  <si>
    <t>Denise C. Wahlstrom</t>
  </si>
  <si>
    <t>John Boras</t>
  </si>
  <si>
    <t>Sylvia A. Campbell</t>
  </si>
  <si>
    <t xml:space="preserve">John Gogo </t>
  </si>
  <si>
    <t>Joyce Green</t>
  </si>
  <si>
    <t>Rhonda Ruston</t>
  </si>
  <si>
    <t>Keith Ford</t>
  </si>
  <si>
    <t>Elzien Schopman</t>
  </si>
  <si>
    <t xml:space="preserve">Doug Cherry </t>
  </si>
  <si>
    <t>Gordon E. Swaters</t>
  </si>
  <si>
    <t>Mike Dawson</t>
  </si>
  <si>
    <t>Leroy Fjordbotten</t>
  </si>
  <si>
    <t>Darrell Piehl</t>
  </si>
  <si>
    <t>Wally Regehr</t>
  </si>
  <si>
    <t>Garth Vallely</t>
  </si>
  <si>
    <t>Roy Brassard</t>
  </si>
  <si>
    <t>Tom Monto</t>
  </si>
  <si>
    <t>Ray Young</t>
  </si>
  <si>
    <t>Adele Gale Boucher</t>
  </si>
  <si>
    <t>Erich Wahl</t>
  </si>
  <si>
    <t>Mike Cooper</t>
  </si>
  <si>
    <t>Stan Stoklosa</t>
  </si>
  <si>
    <t>Doug Hart</t>
  </si>
  <si>
    <t>Ervan Stobbe</t>
  </si>
  <si>
    <t>Gerry Clayton</t>
  </si>
  <si>
    <t>Bernie Fritze</t>
  </si>
  <si>
    <t>Cory Lanterman</t>
  </si>
  <si>
    <t>John Oldring</t>
  </si>
  <si>
    <t>Linda Ross</t>
  </si>
  <si>
    <t>Chris Ewasiuk</t>
  </si>
  <si>
    <t>Dennis Holowaychuk</t>
  </si>
  <si>
    <t>Steve Zarusky</t>
  </si>
  <si>
    <t>Dolly (Martin) Brown</t>
  </si>
  <si>
    <t>Bob Paston</t>
  </si>
  <si>
    <t>John Convey</t>
  </si>
  <si>
    <t>Peter Elzinga</t>
  </si>
  <si>
    <t>Duane Dutka</t>
  </si>
  <si>
    <t>Roy Housworth</t>
  </si>
  <si>
    <t>Bill Termeer</t>
  </si>
  <si>
    <t>Chris Harwood</t>
  </si>
  <si>
    <t>Louise Rogers</t>
  </si>
  <si>
    <t>Dale Apostal</t>
  </si>
  <si>
    <t>Doug Horner</t>
  </si>
  <si>
    <t>Colleen Soetaert</t>
  </si>
  <si>
    <t>Stony Plain</t>
  </si>
  <si>
    <t>Monika Cappis</t>
  </si>
  <si>
    <t>Stephen Lindop</t>
  </si>
  <si>
    <t>Stan Woloshyn</t>
  </si>
  <si>
    <t>Strathmore-Brooks</t>
  </si>
  <si>
    <t>Don MacFarlane</t>
  </si>
  <si>
    <t>Rudy Martens</t>
  </si>
  <si>
    <t>Barry Morishita</t>
  </si>
  <si>
    <t>Lyle Oberg</t>
  </si>
  <si>
    <t>Christopher Sutherland</t>
  </si>
  <si>
    <t>Vegreville-Viking</t>
  </si>
  <si>
    <t>Ross Demkiw</t>
  </si>
  <si>
    <t>Greg Kurulok</t>
  </si>
  <si>
    <t>Ed Stelmach</t>
  </si>
  <si>
    <t>Vermilion-Lloydminster</t>
  </si>
  <si>
    <t>Lloyd Snelgrove</t>
  </si>
  <si>
    <t>Raymond Stone</t>
  </si>
  <si>
    <t>David Tschorn</t>
  </si>
  <si>
    <t>Grant West</t>
  </si>
  <si>
    <t>Wainwright</t>
  </si>
  <si>
    <t>Jerry D. Barber</t>
  </si>
  <si>
    <t>Robert (Butch) Fischer</t>
  </si>
  <si>
    <t xml:space="preserve">12,773 (28) </t>
  </si>
  <si>
    <t xml:space="preserve">10,661 (7) </t>
  </si>
  <si>
    <t xml:space="preserve">11,885 (41) </t>
  </si>
  <si>
    <t xml:space="preserve">10,203 (15) </t>
  </si>
  <si>
    <t xml:space="preserve">11,423 (41) </t>
  </si>
  <si>
    <t xml:space="preserve">15,423 (36) </t>
  </si>
  <si>
    <t xml:space="preserve">17,917 (36) </t>
  </si>
  <si>
    <t xml:space="preserve">11,383 (31) </t>
  </si>
  <si>
    <t>11,728 (24)</t>
  </si>
  <si>
    <t xml:space="preserve">13,484 (30 ) </t>
  </si>
  <si>
    <t xml:space="preserve">14,032 (36) </t>
  </si>
  <si>
    <t xml:space="preserve">12,768 (25) </t>
  </si>
  <si>
    <t xml:space="preserve">9,499 (22) </t>
  </si>
  <si>
    <t xml:space="preserve">11,562 (49) </t>
  </si>
  <si>
    <t xml:space="preserve">11,157 (22) </t>
  </si>
  <si>
    <t xml:space="preserve">14,363 (25) </t>
  </si>
  <si>
    <t>G. V. Pelton</t>
  </si>
  <si>
    <t>J.A. Buchannan</t>
  </si>
  <si>
    <t>Jos. A. Clarke</t>
  </si>
  <si>
    <t>R.D. Tighe</t>
  </si>
  <si>
    <t>Chas. E. Payne</t>
  </si>
  <si>
    <t>C. Pattinson</t>
  </si>
  <si>
    <t>H.S.B. Chamberlain</t>
  </si>
  <si>
    <t>H. W. Allen</t>
  </si>
  <si>
    <t>9,523 (34)</t>
  </si>
  <si>
    <t>10,861 (16)</t>
  </si>
  <si>
    <t>9,744 (7)</t>
  </si>
  <si>
    <t>12,563 (19)</t>
  </si>
  <si>
    <t>11,039 (39)</t>
  </si>
  <si>
    <t>9,431 (26)</t>
  </si>
  <si>
    <t>5,870 (13)</t>
  </si>
  <si>
    <t>13,059 (48)</t>
  </si>
  <si>
    <t>13,062 (60)</t>
  </si>
  <si>
    <t>10,447 (38)</t>
  </si>
  <si>
    <t>10,619 (17)</t>
  </si>
  <si>
    <t>13,905 (32)</t>
  </si>
  <si>
    <t>12,739 (19)</t>
  </si>
  <si>
    <t>13,767 (81)</t>
  </si>
  <si>
    <t>11,730 (15)</t>
  </si>
  <si>
    <t>8,886 (18)</t>
  </si>
  <si>
    <t>13,028 (43)</t>
  </si>
  <si>
    <t>16,675 (36)</t>
  </si>
  <si>
    <t>8,662 (14)</t>
  </si>
  <si>
    <t>9,240 (5)</t>
  </si>
  <si>
    <t>9,171 (18)</t>
  </si>
  <si>
    <t>8,709 (30)</t>
  </si>
  <si>
    <t>9,154 (31)</t>
  </si>
  <si>
    <t>11,219 (17)</t>
  </si>
  <si>
    <t>9,894 (38)</t>
  </si>
  <si>
    <t>15,422 (33)</t>
  </si>
  <si>
    <t>9,800 (9)</t>
  </si>
  <si>
    <t>7,984 (32)</t>
  </si>
  <si>
    <t>10,363 (38)</t>
  </si>
  <si>
    <t>13,414 (51)</t>
  </si>
  <si>
    <t>16,513 (25)</t>
  </si>
  <si>
    <t>18,565 (56)</t>
  </si>
  <si>
    <t>13,827 (30)</t>
  </si>
  <si>
    <t>12,802 (36)</t>
  </si>
  <si>
    <t>14,937 (38)</t>
  </si>
  <si>
    <t>8,664 (16)</t>
  </si>
  <si>
    <t>10,047(28)</t>
  </si>
  <si>
    <t>14,524 (41)</t>
  </si>
  <si>
    <t>12,562 (31)</t>
  </si>
  <si>
    <t>13,833 (6)</t>
  </si>
  <si>
    <t>12,964 (27)</t>
  </si>
  <si>
    <t>10,039 (35)</t>
  </si>
  <si>
    <t>14,987 (21)</t>
  </si>
  <si>
    <t>12,075 (27)</t>
  </si>
  <si>
    <t>10,503 (9)</t>
  </si>
  <si>
    <t>9,989 (44)</t>
  </si>
  <si>
    <t>11,576 (74)</t>
  </si>
  <si>
    <t>11,685 (15)</t>
  </si>
  <si>
    <t>12,214 (24)</t>
  </si>
  <si>
    <t>10,366 (8)</t>
  </si>
  <si>
    <t>17,588 (57)</t>
  </si>
  <si>
    <t>13,754 (66)</t>
  </si>
  <si>
    <t>25,156 (36)</t>
  </si>
  <si>
    <t>16,036 (51)</t>
  </si>
  <si>
    <t>21,390 (32)</t>
  </si>
  <si>
    <t>11,034 (26)</t>
  </si>
  <si>
    <t>10,709 (19)</t>
  </si>
  <si>
    <t>8,965 (31)</t>
  </si>
  <si>
    <t>9,349 (28)</t>
  </si>
  <si>
    <t>12,067 (38)</t>
  </si>
  <si>
    <t>1. Single-member electoral divisions except in Edmonton and Calgary which had six each. Single-member electoral divisions used an 
    alternative, or preferential, voting system wherein electors ranked the candidates in order of preference and votes were transferred 
    if no candidates received a majority of first preferences. Edmonton and Calgary used the Hare system of proportional representation.</t>
  </si>
  <si>
    <t>Political Affiliation</t>
  </si>
  <si>
    <r>
      <t xml:space="preserve">Votes Received </t>
    </r>
    <r>
      <rPr>
        <b/>
        <sz val="8"/>
        <rFont val="Times New Roman"/>
        <family val="1"/>
      </rPr>
      <t>(Note 3)</t>
    </r>
  </si>
  <si>
    <t>3. Bracketed figures ( ) in the Votes Received column represent the total number of rejected and declined ballots.</t>
  </si>
  <si>
    <t>4. Percent Voting = (Votes Received +  declined and rejected ballots) / Eligible Electors.</t>
  </si>
  <si>
    <r>
      <t xml:space="preserve">Percent Voting </t>
    </r>
    <r>
      <rPr>
        <b/>
        <sz val="8"/>
        <rFont val="Times New Roman"/>
        <family val="1"/>
      </rPr>
      <t>(Note 4)</t>
    </r>
  </si>
  <si>
    <t>Robert Wawrzynowski</t>
  </si>
  <si>
    <t>Mark MacGillivray</t>
  </si>
  <si>
    <t>10,889 (35)</t>
  </si>
  <si>
    <t>Robert J. Alford</t>
  </si>
  <si>
    <t>Mark R. Patterson</t>
  </si>
  <si>
    <t>Katie Oppen</t>
  </si>
  <si>
    <t>Michaela Meldrum</t>
  </si>
  <si>
    <t>12,743 (28)</t>
  </si>
  <si>
    <t>Neil Peacock</t>
  </si>
  <si>
    <t>Hank Rahn</t>
  </si>
  <si>
    <t>Georgina Szoke</t>
  </si>
  <si>
    <t>7,743 (25)</t>
  </si>
  <si>
    <t>Gordon Graydon</t>
  </si>
  <si>
    <t>John Hilton-O'Brien</t>
  </si>
  <si>
    <t>Jerry MacDonald</t>
  </si>
  <si>
    <t>Cibylla Rakestraw</t>
  </si>
  <si>
    <t>Allan Webber</t>
  </si>
  <si>
    <t>7,892 (22)</t>
  </si>
  <si>
    <t>Lori Czerwinski</t>
  </si>
  <si>
    <t>George Groeneveld</t>
  </si>
  <si>
    <t>Sheelagh Matthews</t>
  </si>
  <si>
    <t>Catherine Whelan Costen</t>
  </si>
  <si>
    <t>Brian Wickhorst</t>
  </si>
  <si>
    <t>10,594 (25)</t>
  </si>
  <si>
    <t>Chris Janke</t>
  </si>
  <si>
    <t>Wilf Tricker</t>
  </si>
  <si>
    <t>11,210 (33)</t>
  </si>
  <si>
    <t>Dickson Broomfield</t>
  </si>
  <si>
    <t>Phil Goebel</t>
  </si>
  <si>
    <t>Oscar Lacombe</t>
  </si>
  <si>
    <t>9,127 (25)</t>
  </si>
  <si>
    <t>Teena Cormack</t>
  </si>
  <si>
    <t>Jim Graves</t>
  </si>
  <si>
    <t>Ed Klop</t>
  </si>
  <si>
    <t>Ray Prins</t>
  </si>
  <si>
    <t>Glen T. Simmonds</t>
  </si>
  <si>
    <t>13,080 (51)</t>
  </si>
  <si>
    <t>David Dalke</t>
  </si>
  <si>
    <t>George Rogers</t>
  </si>
  <si>
    <t xml:space="preserve">Alberta Greens </t>
  </si>
  <si>
    <t>12,914 (38)</t>
  </si>
  <si>
    <t>Jonathan Pleckaitis</t>
  </si>
  <si>
    <t>Valerie Rahn</t>
  </si>
  <si>
    <t>6,010 (29)</t>
  </si>
  <si>
    <t>Rod Fong</t>
  </si>
  <si>
    <t>Erin Matthews</t>
  </si>
  <si>
    <t>Bridget Pastoor</t>
  </si>
  <si>
    <t>12,731 (53)</t>
  </si>
  <si>
    <t>Bal Boora</t>
  </si>
  <si>
    <t>Scott Sawatsky</t>
  </si>
  <si>
    <t>Andrea Sheridan</t>
  </si>
  <si>
    <t>Merle Terlesky</t>
  </si>
  <si>
    <t>11,070 (67)</t>
  </si>
  <si>
    <t>Brian Cook</t>
  </si>
  <si>
    <t>Jay Phin</t>
  </si>
  <si>
    <t>Grant Shaw</t>
  </si>
  <si>
    <t>9,032 (55)</t>
  </si>
  <si>
    <t>George Lyster</t>
  </si>
  <si>
    <t>Joyce Thomas</t>
  </si>
  <si>
    <t>Jim Walker</t>
  </si>
  <si>
    <t>Chris Watts</t>
  </si>
  <si>
    <t>Craig Whitehead</t>
  </si>
  <si>
    <t>9,991 (39)</t>
  </si>
  <si>
    <t>Diana Arnott</t>
  </si>
  <si>
    <t>Scott Cowan</t>
  </si>
  <si>
    <t>Jonathan Lorentzen</t>
  </si>
  <si>
    <t>10,529 (81)</t>
  </si>
  <si>
    <t>Christopher Davies</t>
  </si>
  <si>
    <t>Sarah Henckel-Sutmoller</t>
  </si>
  <si>
    <t>Myrna Kissick</t>
  </si>
  <si>
    <t>Gordon Quantz</t>
  </si>
  <si>
    <t>Brian Vasseur</t>
  </si>
  <si>
    <t>Tony Vonesch</t>
  </si>
  <si>
    <t>12,251 (31)</t>
  </si>
  <si>
    <t>Adam Bourque</t>
  </si>
  <si>
    <t>Garry Checknita</t>
  </si>
  <si>
    <t>Patsy Lindberg</t>
  </si>
  <si>
    <t>Frank Oberle</t>
  </si>
  <si>
    <t>5,253 (18)</t>
  </si>
  <si>
    <t>Steven Bedford</t>
  </si>
  <si>
    <t>Colin Fisher</t>
  </si>
  <si>
    <t>Rand Sisson</t>
  </si>
  <si>
    <t>8,713 (63)</t>
  </si>
  <si>
    <t>Walter Kubanek</t>
  </si>
  <si>
    <t>Judy Milne</t>
  </si>
  <si>
    <t>Jeff Sloychuk</t>
  </si>
  <si>
    <t>11,964 (46)</t>
  </si>
  <si>
    <t>Bruce Hutton</t>
  </si>
  <si>
    <t>Jennifer Isaac</t>
  </si>
  <si>
    <t>Anthony Jones</t>
  </si>
  <si>
    <t>Susan M. Scott</t>
  </si>
  <si>
    <t>Ed Wilhite</t>
  </si>
  <si>
    <t>10,249 (40)</t>
  </si>
  <si>
    <t>Conrad Bitangcol</t>
  </si>
  <si>
    <t>Jack Flaherty</t>
  </si>
  <si>
    <t>Travis Thompson</t>
  </si>
  <si>
    <t>15,188 (26)</t>
  </si>
  <si>
    <t>Gordon Barrett</t>
  </si>
  <si>
    <t>Cobra Labonte</t>
  </si>
  <si>
    <t>Lynn Lau</t>
  </si>
  <si>
    <t>Tim Sloan</t>
  </si>
  <si>
    <t>15,144 (23)</t>
  </si>
  <si>
    <t>Ray Boudreau</t>
  </si>
  <si>
    <t>Glen Blaylock</t>
  </si>
  <si>
    <t>13,610 (51)</t>
  </si>
  <si>
    <t>Marilyn Burns</t>
  </si>
  <si>
    <t>Bill Fraser</t>
  </si>
  <si>
    <t>Fred Lindsay</t>
  </si>
  <si>
    <t>Ruth Yanor</t>
  </si>
  <si>
    <t>12,538 (44)</t>
  </si>
  <si>
    <t>Thomas Elchuk</t>
  </si>
  <si>
    <t>Jon Friel</t>
  </si>
  <si>
    <t>Brian Rembowski</t>
  </si>
  <si>
    <t>Ryan Seto</t>
  </si>
  <si>
    <t>Bruce Stubbs</t>
  </si>
  <si>
    <t>13,997 (71)</t>
  </si>
  <si>
    <t>Jay Kolody</t>
  </si>
  <si>
    <t>Mark D. Ogden</t>
  </si>
  <si>
    <t>9,236 (56)</t>
  </si>
  <si>
    <t>Patricia Thomas</t>
  </si>
  <si>
    <t>David Benoit</t>
  </si>
  <si>
    <t>Ray Stone</t>
  </si>
  <si>
    <t>9,162 (25)</t>
  </si>
  <si>
    <t>Rob Jolly</t>
  </si>
  <si>
    <t>Barry Madsen</t>
  </si>
  <si>
    <t>Monika Schaefer</t>
  </si>
  <si>
    <t>8,208 (28)</t>
  </si>
  <si>
    <t>Keith Elliott</t>
  </si>
  <si>
    <t>Clay Lawson</t>
  </si>
  <si>
    <t>Janice H. Wolter</t>
  </si>
  <si>
    <t>11,302 (41)</t>
  </si>
  <si>
    <t>David Dow</t>
  </si>
  <si>
    <t>George Higgerty</t>
  </si>
  <si>
    <t>Leah Redmond</t>
  </si>
  <si>
    <t>9,619 (51)</t>
  </si>
  <si>
    <t>Chris Delucé</t>
  </si>
  <si>
    <t xml:space="preserve">Blaine Desjardine </t>
  </si>
  <si>
    <t xml:space="preserve">Jean Munn </t>
  </si>
  <si>
    <t xml:space="preserve">Hung Pham </t>
  </si>
  <si>
    <t xml:space="preserve">Keong Yap </t>
  </si>
  <si>
    <t>George Clark</t>
  </si>
  <si>
    <t xml:space="preserve">Bob Hawkesworth </t>
  </si>
  <si>
    <t xml:space="preserve">Jonathan Horlick </t>
  </si>
  <si>
    <t xml:space="preserve">Bruce Jackman </t>
  </si>
  <si>
    <t xml:space="preserve">Alberta Scraba </t>
  </si>
  <si>
    <t>Wendy Charlton</t>
  </si>
  <si>
    <t xml:space="preserve">Tom Dixon </t>
  </si>
  <si>
    <t xml:space="preserve">Joyce Gregson </t>
  </si>
  <si>
    <t xml:space="preserve">Richard Magnus </t>
  </si>
  <si>
    <t xml:space="preserve">Michael O'Malley </t>
  </si>
  <si>
    <t xml:space="preserve">Paul Colver </t>
  </si>
  <si>
    <t xml:space="preserve">David Grant </t>
  </si>
  <si>
    <t xml:space="preserve">Paul George Rasporich </t>
  </si>
  <si>
    <t xml:space="preserve">Harley Torgerson </t>
  </si>
  <si>
    <t xml:space="preserve">Ray Harris </t>
  </si>
  <si>
    <t xml:space="preserve">Gary Mar </t>
  </si>
  <si>
    <t xml:space="preserve">Albert Sole </t>
  </si>
  <si>
    <t xml:space="preserve">Jason Ness </t>
  </si>
  <si>
    <t xml:space="preserve">Ken Nielsen </t>
  </si>
  <si>
    <t xml:space="preserve">Bill Walker </t>
  </si>
  <si>
    <t>Santo Esposito</t>
  </si>
  <si>
    <t xml:space="preserve">Sharon Kimmel </t>
  </si>
  <si>
    <t xml:space="preserve">Mike Sawyer </t>
  </si>
  <si>
    <t xml:space="preserve">Murray Smith </t>
  </si>
  <si>
    <t>Danny Dalla-Longa</t>
  </si>
  <si>
    <t xml:space="preserve">Nabil (Ben) Hantes </t>
  </si>
  <si>
    <t xml:space="preserve">Ron Leigh </t>
  </si>
  <si>
    <t xml:space="preserve">Phil Morin </t>
  </si>
  <si>
    <t xml:space="preserve">Sharon Whitehead </t>
  </si>
  <si>
    <t>Ken Alyluia</t>
  </si>
  <si>
    <t xml:space="preserve">Dennis Clark </t>
  </si>
  <si>
    <t xml:space="preserve">Lucia Hoff </t>
  </si>
  <si>
    <t xml:space="preserve">Leslie M. Jackson </t>
  </si>
  <si>
    <t xml:space="preserve">Marie Laing </t>
  </si>
  <si>
    <t xml:space="preserve">Gene Zwozdesky </t>
  </si>
  <si>
    <t>Ed Ewasiuk</t>
  </si>
  <si>
    <t xml:space="preserve">Brian Hlus </t>
  </si>
  <si>
    <t xml:space="preserve">Ria Kinzel </t>
  </si>
  <si>
    <t xml:space="preserve">Julius E. Yankowsky </t>
  </si>
  <si>
    <t>Michael Henry</t>
  </si>
  <si>
    <t xml:space="preserve">Kay Hurtig </t>
  </si>
  <si>
    <t xml:space="preserve">Ric Johnsen </t>
  </si>
  <si>
    <t xml:space="preserve">John R. Lakusta </t>
  </si>
  <si>
    <t xml:space="preserve">Carol Lena Pylypow </t>
  </si>
  <si>
    <t xml:space="preserve">Clayton Leigh Van Horne </t>
  </si>
  <si>
    <t xml:space="preserve">Wes Warren </t>
  </si>
  <si>
    <t xml:space="preserve">John Wheelwright </t>
  </si>
  <si>
    <t xml:space="preserve">Rhonda Day </t>
  </si>
  <si>
    <t xml:space="preserve">Gerry Gibeault </t>
  </si>
  <si>
    <t xml:space="preserve">Bas Roopnarine </t>
  </si>
  <si>
    <t xml:space="preserve">Ken Way </t>
  </si>
  <si>
    <t xml:space="preserve">Laurence Decore </t>
  </si>
  <si>
    <t xml:space="preserve">Greg Reimer </t>
  </si>
  <si>
    <t xml:space="preserve">Linda Sikora </t>
  </si>
  <si>
    <t>Trevor Blinston</t>
  </si>
  <si>
    <t xml:space="preserve">Gwen Harris </t>
  </si>
  <si>
    <t xml:space="preserve">Paula Johnsen </t>
  </si>
  <si>
    <t xml:space="preserve">Pat Nelson </t>
  </si>
  <si>
    <t xml:space="preserve">Howard Sapers </t>
  </si>
  <si>
    <t xml:space="preserve">Arlene Young </t>
  </si>
  <si>
    <t>Lorraine Crawford</t>
  </si>
  <si>
    <t xml:space="preserve">David H. Friesen </t>
  </si>
  <si>
    <t xml:space="preserve">Bettie Hewes </t>
  </si>
  <si>
    <t xml:space="preserve">David J. Parker </t>
  </si>
  <si>
    <t xml:space="preserve">Roni Shapka </t>
  </si>
  <si>
    <t xml:space="preserve">John Szumlas </t>
  </si>
  <si>
    <t xml:space="preserve">Alice Hanson </t>
  </si>
  <si>
    <t xml:space="preserve">Cliff Kinzel </t>
  </si>
  <si>
    <t xml:space="preserve">Ron Liepert </t>
  </si>
  <si>
    <t>George Grant</t>
  </si>
  <si>
    <t xml:space="preserve">Tony Kallal </t>
  </si>
  <si>
    <t xml:space="preserve">Peter Sekulic </t>
  </si>
  <si>
    <t xml:space="preserve">Tom Sigurdson </t>
  </si>
  <si>
    <t>Annie Anderson</t>
  </si>
  <si>
    <t xml:space="preserve">Lynn Faulder </t>
  </si>
  <si>
    <t xml:space="preserve">Lance White </t>
  </si>
  <si>
    <t>Denis Gautier-Villon</t>
  </si>
  <si>
    <t xml:space="preserve">Henry Mah </t>
  </si>
  <si>
    <t xml:space="preserve">Grant Mitchell </t>
  </si>
  <si>
    <t xml:space="preserve">Pat Simpson </t>
  </si>
  <si>
    <t>Norm Case</t>
  </si>
  <si>
    <t xml:space="preserve">Margo Cochlan </t>
  </si>
  <si>
    <t xml:space="preserve">Karen Leibovici </t>
  </si>
  <si>
    <t xml:space="preserve">William (Bill) Mullen </t>
  </si>
  <si>
    <t xml:space="preserve">Laurie Pushor </t>
  </si>
  <si>
    <t xml:space="preserve">Laat Bhinder </t>
  </si>
  <si>
    <t xml:space="preserve">Raymond Boyko </t>
  </si>
  <si>
    <t xml:space="preserve">Ken Kozak </t>
  </si>
  <si>
    <t xml:space="preserve">Don Massey </t>
  </si>
  <si>
    <t xml:space="preserve">W. Bill Pidruchney </t>
  </si>
  <si>
    <t xml:space="preserve">Mary D. Romach </t>
  </si>
  <si>
    <t xml:space="preserve">Alan Cruikshank </t>
  </si>
  <si>
    <t xml:space="preserve">Ray Martin </t>
  </si>
  <si>
    <t xml:space="preserve">Fay Orr </t>
  </si>
  <si>
    <t xml:space="preserve">Maury Shapka </t>
  </si>
  <si>
    <t xml:space="preserve">Sine Chadi </t>
  </si>
  <si>
    <t xml:space="preserve">Allan Gwynn </t>
  </si>
  <si>
    <t xml:space="preserve">Christie Mjolsness </t>
  </si>
  <si>
    <t>Olive Dickason</t>
  </si>
  <si>
    <t xml:space="preserve">Myles Evely </t>
  </si>
  <si>
    <t xml:space="preserve">Brenda Platzer </t>
  </si>
  <si>
    <t xml:space="preserve">Percy Wickman </t>
  </si>
  <si>
    <t xml:space="preserve">David Wozney </t>
  </si>
  <si>
    <t xml:space="preserve">Patrick Ellis </t>
  </si>
  <si>
    <t xml:space="preserve">Don Grimble </t>
  </si>
  <si>
    <t xml:space="preserve">Elizabeth Paschen </t>
  </si>
  <si>
    <t xml:space="preserve">Naomi Rankin </t>
  </si>
  <si>
    <t xml:space="preserve">E. Benjamin Toane </t>
  </si>
  <si>
    <t xml:space="preserve">Al Zariwny </t>
  </si>
  <si>
    <t>Daniel Aitken</t>
  </si>
  <si>
    <t xml:space="preserve">Dave Hancock </t>
  </si>
  <si>
    <t xml:space="preserve">Mike Percy </t>
  </si>
  <si>
    <t xml:space="preserve">Richard Shelford </t>
  </si>
  <si>
    <t xml:space="preserve">Robert Wilde </t>
  </si>
  <si>
    <t>Paula Andrews</t>
  </si>
  <si>
    <t xml:space="preserve">Brian Evans </t>
  </si>
  <si>
    <t xml:space="preserve">Brian L. Horejsi </t>
  </si>
  <si>
    <t xml:space="preserve">Ginger (V.M.)Sheets-Revitt </t>
  </si>
  <si>
    <t xml:space="preserve">Dale W. Harris </t>
  </si>
  <si>
    <t xml:space="preserve">Adam Hauch </t>
  </si>
  <si>
    <t xml:space="preserve">Ken Kowalski </t>
  </si>
  <si>
    <t xml:space="preserve">Leonard Stahl </t>
  </si>
  <si>
    <t xml:space="preserve">Harold E. Wharton </t>
  </si>
  <si>
    <t>Agathe Gaulin</t>
  </si>
  <si>
    <t xml:space="preserve">Ernie Isley </t>
  </si>
  <si>
    <t xml:space="preserve">Leo Vasseur </t>
  </si>
  <si>
    <t>Peter Hansen</t>
  </si>
  <si>
    <t xml:space="preserve">Reuben Huber </t>
  </si>
  <si>
    <t xml:space="preserve">Richard Knutson </t>
  </si>
  <si>
    <t xml:space="preserve">Lyle Oberg </t>
  </si>
  <si>
    <t xml:space="preserve">Kurt Gesell </t>
  </si>
  <si>
    <t xml:space="preserve">W. H. (Skip) Gordon </t>
  </si>
  <si>
    <t xml:space="preserve">Rob Splane </t>
  </si>
  <si>
    <t>James Ridley</t>
  </si>
  <si>
    <t xml:space="preserve">Lloyd B. Robinson </t>
  </si>
  <si>
    <t>3. Percent Voting = (Votes Received +  declined and rejected ballots) / Eligible Electors.</t>
  </si>
  <si>
    <r>
      <t xml:space="preserve">1 member per electoral division </t>
    </r>
    <r>
      <rPr>
        <b/>
        <sz val="8"/>
        <rFont val="Times New Roman"/>
        <family val="1"/>
      </rPr>
      <t xml:space="preserve"> (Note 1)</t>
    </r>
  </si>
  <si>
    <t>1. Single-member electoral divisions; plurality victory</t>
  </si>
  <si>
    <t>Ted Paszek</t>
  </si>
  <si>
    <t>Joan Cowling</t>
  </si>
  <si>
    <t>Bill McCutcheon</t>
  </si>
  <si>
    <t>Dan Backs</t>
  </si>
  <si>
    <t>Jerry Waldern</t>
  </si>
  <si>
    <t>David Davis Swan</t>
  </si>
  <si>
    <t>Dave Wereschuk</t>
  </si>
  <si>
    <t>Adrian C. Janssens</t>
  </si>
  <si>
    <t>Roly Thomas</t>
  </si>
  <si>
    <t>Tom Erhart</t>
  </si>
  <si>
    <t>Jim Prentice</t>
  </si>
  <si>
    <t>Doug Rae</t>
  </si>
  <si>
    <t>Tom Gorman</t>
  </si>
  <si>
    <t>Noel Jantzie</t>
  </si>
  <si>
    <t>Dean Biollo</t>
  </si>
  <si>
    <t>Tom Schepens</t>
  </si>
  <si>
    <t>Byron L. Chenger</t>
  </si>
  <si>
    <t>Len Curle</t>
  </si>
  <si>
    <t>George Francom</t>
  </si>
  <si>
    <t>Gordon Ekelund</t>
  </si>
  <si>
    <t>Jack Ramsay</t>
  </si>
  <si>
    <t>Ralph Tate</t>
  </si>
  <si>
    <t>J.A. (Jim) Watson</t>
  </si>
  <si>
    <t>Cynthia Cunningham</t>
  </si>
  <si>
    <t>Steve Pinchak</t>
  </si>
  <si>
    <t>Lavera Gladys Creasy</t>
  </si>
  <si>
    <t>Walt Buck</t>
  </si>
  <si>
    <t>Ken Robinson</t>
  </si>
  <si>
    <t>Barry Shandro</t>
  </si>
  <si>
    <t>Lew Toole</t>
  </si>
  <si>
    <t>Lawrence Dublenko</t>
  </si>
  <si>
    <t>Phil J. Gibeau</t>
  </si>
  <si>
    <t>Gordon Reid</t>
  </si>
  <si>
    <t>Ron Williams</t>
  </si>
  <si>
    <t>Peter Hope</t>
  </si>
  <si>
    <t>Norman A. Stanger</t>
  </si>
  <si>
    <t>Karl R. Badke</t>
  </si>
  <si>
    <t>Michael Brings</t>
  </si>
  <si>
    <t>Horst A. Schmid</t>
  </si>
  <si>
    <t>Mike Walker</t>
  </si>
  <si>
    <t>Bette Davies</t>
  </si>
  <si>
    <t>Joe Kovacs</t>
  </si>
  <si>
    <t>Pat Sembaliuk</t>
  </si>
  <si>
    <t>Jim Shinkaruk</t>
  </si>
  <si>
    <t>Dave Draginda</t>
  </si>
  <si>
    <t>Tony Falcone</t>
  </si>
  <si>
    <t>Martin Robbert</t>
  </si>
  <si>
    <t>Douglas Haydock</t>
  </si>
  <si>
    <t>Mary Lemessurier</t>
  </si>
  <si>
    <t>Fred Marshall</t>
  </si>
  <si>
    <t>Hugh W. Burgess</t>
  </si>
  <si>
    <t>Herb Lang</t>
  </si>
  <si>
    <t>Lou Peterson</t>
  </si>
  <si>
    <t>Alice Elaine Moody</t>
  </si>
  <si>
    <t>C.A. Douglas Ringrose</t>
  </si>
  <si>
    <t>Randy Morse</t>
  </si>
  <si>
    <t>Naseer Chaudhary</t>
  </si>
  <si>
    <t>Cec Garfin</t>
  </si>
  <si>
    <t>Todd R.C. Ross</t>
  </si>
  <si>
    <t>Michael P. Astle</t>
  </si>
  <si>
    <t>Vair Clendenning</t>
  </si>
  <si>
    <t>Curtis Long</t>
  </si>
  <si>
    <t>Patrick Reid</t>
  </si>
  <si>
    <t>Bowden John Zachara</t>
  </si>
  <si>
    <t>R. (Bob) Genis-Bell</t>
  </si>
  <si>
    <t>Norm Kyle</t>
  </si>
  <si>
    <t>Muriel Stanley-Venne</t>
  </si>
  <si>
    <t>Phil Lister</t>
  </si>
  <si>
    <t>Dick Mather</t>
  </si>
  <si>
    <t>Mike Pawlus</t>
  </si>
  <si>
    <t>David R. Long</t>
  </si>
  <si>
    <t>James Carson</t>
  </si>
  <si>
    <t>Dexter B. Dombro</t>
  </si>
  <si>
    <t>Peter Schneider</t>
  </si>
  <si>
    <t>Shane Gordon Venner</t>
  </si>
  <si>
    <t>Ben Beinert</t>
  </si>
  <si>
    <t>Tony Higgins</t>
  </si>
  <si>
    <t>Walter Stack</t>
  </si>
  <si>
    <t>Eric Wolfman</t>
  </si>
  <si>
    <t>Shane Davis</t>
  </si>
  <si>
    <t>Norman A. Weiss</t>
  </si>
  <si>
    <t>Bernie Desrosiers</t>
  </si>
  <si>
    <t>Andy Haugen</t>
  </si>
  <si>
    <t>Harry Alger</t>
  </si>
  <si>
    <t>Bill Bohdan</t>
  </si>
  <si>
    <t>Norman Kientz</t>
  </si>
  <si>
    <t>Murray Meszaros</t>
  </si>
  <si>
    <t>George Conway-Brown</t>
  </si>
  <si>
    <t>Jack Lynass</t>
  </si>
  <si>
    <t>Tony Mazurkewich</t>
  </si>
  <si>
    <t>Raymond C. Reckseidler</t>
  </si>
  <si>
    <t>Ken Ling</t>
  </si>
  <si>
    <t>Ron A. Moore</t>
  </si>
  <si>
    <t>Bert Dube</t>
  </si>
  <si>
    <t>Sylvia Campbell</t>
  </si>
  <si>
    <t>Nora Galenzoski</t>
  </si>
  <si>
    <t>Douglas Pitt</t>
  </si>
  <si>
    <t>Ed Webking</t>
  </si>
  <si>
    <t>Dean Oseen</t>
  </si>
  <si>
    <t>Christina Tomaschuk</t>
  </si>
  <si>
    <t>Cliff Wright</t>
  </si>
  <si>
    <t>Doug Cherry</t>
  </si>
  <si>
    <t>Laurie Fiedler</t>
  </si>
  <si>
    <t>Ed Shimek</t>
  </si>
  <si>
    <t>David J. Carter</t>
  </si>
  <si>
    <t>Stan Chmelyk</t>
  </si>
  <si>
    <t>Elmer Knutson</t>
  </si>
  <si>
    <t>Joe (Little Joe) Kessler</t>
  </si>
  <si>
    <t>Anna Pidruchney</t>
  </si>
  <si>
    <t>Warren Bloomquist</t>
  </si>
  <si>
    <t>Pat Byers</t>
  </si>
  <si>
    <t>Bruce Beck</t>
  </si>
  <si>
    <t>Donald Campbell</t>
  </si>
  <si>
    <t>Brian Flewwelling</t>
  </si>
  <si>
    <t>Elvin Janzen</t>
  </si>
  <si>
    <t>Connie Barnaby</t>
  </si>
  <si>
    <t xml:space="preserve"> John Oldring</t>
  </si>
  <si>
    <t>Denis Bobocel</t>
  </si>
  <si>
    <t>13,849 (17)</t>
  </si>
  <si>
    <t>9,370 (30)</t>
  </si>
  <si>
    <t>11,373 (44)</t>
  </si>
  <si>
    <t>9,049 (25)</t>
  </si>
  <si>
    <t>8,596 (17)</t>
  </si>
  <si>
    <t>6,868 (22)</t>
  </si>
  <si>
    <t>8,806 (13)</t>
  </si>
  <si>
    <t>5,549 (15)</t>
  </si>
  <si>
    <t>5,866 (6)</t>
  </si>
  <si>
    <t>9,608 (49)</t>
  </si>
  <si>
    <t>9,921 (30)</t>
  </si>
  <si>
    <t>9,198 (14)</t>
  </si>
  <si>
    <t>8,623 (18)</t>
  </si>
  <si>
    <t>6,902 (27)</t>
  </si>
  <si>
    <t>11,287 (26)</t>
  </si>
  <si>
    <t>11,047 (6)</t>
  </si>
  <si>
    <t>6,949 (26)</t>
  </si>
  <si>
    <t>9,472 (30)</t>
  </si>
  <si>
    <t>8,583 (18)</t>
  </si>
  <si>
    <t>8,740 (27)</t>
  </si>
  <si>
    <t>6,661 (25)</t>
  </si>
  <si>
    <t>7,358 (12)</t>
  </si>
  <si>
    <t>12,102 (36)</t>
  </si>
  <si>
    <t>10,185 (34)</t>
  </si>
  <si>
    <t>12,435 (25)</t>
  </si>
  <si>
    <t>10,882 (23)</t>
  </si>
  <si>
    <t>10,590 (52)</t>
  </si>
  <si>
    <t>Ernie Jamison</t>
  </si>
  <si>
    <t>Grant Notley</t>
  </si>
  <si>
    <t>C.W. Springford</t>
  </si>
  <si>
    <t>Norman B. James</t>
  </si>
  <si>
    <t>Grant Bergman</t>
  </si>
  <si>
    <t>George L. Richardson</t>
  </si>
  <si>
    <t>Ken Richmond</t>
  </si>
  <si>
    <t>Three Hills</t>
  </si>
  <si>
    <t>Lloydminster</t>
  </si>
  <si>
    <t>F.M. Baker</t>
  </si>
  <si>
    <t>8,399 (12)</t>
  </si>
  <si>
    <t>5,453 (27)</t>
  </si>
  <si>
    <t>12,501 (27)</t>
  </si>
  <si>
    <t>11,941(26)</t>
  </si>
  <si>
    <t>6,337 (15)</t>
  </si>
  <si>
    <t>7,735 (31)</t>
  </si>
  <si>
    <t>8,579 (22)</t>
  </si>
  <si>
    <t>18,008 (38)</t>
  </si>
  <si>
    <t>10,845 (18)</t>
  </si>
  <si>
    <t>8,322 (28)</t>
  </si>
  <si>
    <t>6,783 (18)</t>
  </si>
  <si>
    <t>7,942 (16)</t>
  </si>
  <si>
    <t>19,438 (49)</t>
  </si>
  <si>
    <t>8,690 (15)</t>
  </si>
  <si>
    <t>9,750 (13)</t>
  </si>
  <si>
    <t>6,803 (32)</t>
  </si>
  <si>
    <t>7,796 (38)</t>
  </si>
  <si>
    <t>23,725 (50)</t>
  </si>
  <si>
    <t>6,866 (18)</t>
  </si>
  <si>
    <t>7,588 (39)</t>
  </si>
  <si>
    <t>17,081 (14)</t>
  </si>
  <si>
    <t>9,558 (24)</t>
  </si>
  <si>
    <t>11,191 (30)</t>
  </si>
  <si>
    <t>8,440 (18)</t>
  </si>
  <si>
    <t>7,463 (23)</t>
  </si>
  <si>
    <t>7,428 (12)</t>
  </si>
  <si>
    <t>20,200 (69)</t>
  </si>
  <si>
    <t>8,963 (44)</t>
  </si>
  <si>
    <t>7,342 (16)</t>
  </si>
  <si>
    <t>Edmonton-Parkallen</t>
  </si>
  <si>
    <t>15,351 (48)</t>
  </si>
  <si>
    <t>Nick Taylor</t>
  </si>
  <si>
    <t>Ken Sahil</t>
  </si>
  <si>
    <t>Vernon Cook</t>
  </si>
  <si>
    <t>Grace Johner</t>
  </si>
  <si>
    <t>Wayne Stewart</t>
  </si>
  <si>
    <t>Hub Blanchet</t>
  </si>
  <si>
    <t>Darryl Hawkins</t>
  </si>
  <si>
    <t>Mara Vogel</t>
  </si>
  <si>
    <t>Rory Cory</t>
  </si>
  <si>
    <t>Amar Singh</t>
  </si>
  <si>
    <t>Diane Danielson</t>
  </si>
  <si>
    <t>Christopher Dick</t>
  </si>
  <si>
    <t>Neeraj Varma</t>
  </si>
  <si>
    <t>Gordon Christie</t>
  </si>
  <si>
    <t>Patricia Ennis</t>
  </si>
  <si>
    <t>Jason Nicholas</t>
  </si>
  <si>
    <t>Jason Ness</t>
  </si>
  <si>
    <t>John Schmale</t>
  </si>
  <si>
    <t>Frank Bruseker</t>
  </si>
  <si>
    <t>Jeff Pattinson</t>
  </si>
  <si>
    <t>Doug Picken</t>
  </si>
  <si>
    <t>Greg Greene</t>
  </si>
  <si>
    <t>Doral Johnson</t>
  </si>
  <si>
    <t>Jon Havelock</t>
  </si>
  <si>
    <t>Sharon Howe</t>
  </si>
  <si>
    <t>Shawn Keown</t>
  </si>
  <si>
    <t>Michael Roth</t>
  </si>
  <si>
    <t>Almas Walden</t>
  </si>
  <si>
    <t>Joel Ashworth</t>
  </si>
  <si>
    <t>Mike Bressers</t>
  </si>
  <si>
    <t>Dirk Huysman</t>
  </si>
  <si>
    <t xml:space="preserve">Carrol Jaques </t>
  </si>
  <si>
    <t>Murray Smith</t>
  </si>
  <si>
    <t>Paul Adams</t>
  </si>
  <si>
    <t>Craig Chandler</t>
  </si>
  <si>
    <t>Rudy Rogers</t>
  </si>
  <si>
    <t>Andy Chichak</t>
  </si>
  <si>
    <t>Bill Finn</t>
  </si>
  <si>
    <t>Doug Smith</t>
  </si>
  <si>
    <t>Bill Stephenson</t>
  </si>
  <si>
    <t>Johanne Tardif</t>
  </si>
  <si>
    <t>Lynn Faulder</t>
  </si>
  <si>
    <t>Alex McEachern</t>
  </si>
  <si>
    <t>Ihor Broda</t>
  </si>
  <si>
    <t>Dave Friesen</t>
  </si>
  <si>
    <t>Peter Johnsen</t>
  </si>
  <si>
    <t>Calgary-East</t>
  </si>
  <si>
    <t>Moe Amery</t>
  </si>
  <si>
    <t>Giorgio Cattabeni</t>
  </si>
  <si>
    <t>W.R. King</t>
  </si>
  <si>
    <t>I.M. McCune</t>
  </si>
  <si>
    <t>Acadia</t>
  </si>
  <si>
    <t>United Farmers of Alberta</t>
  </si>
  <si>
    <t>F.W. Beynon</t>
  </si>
  <si>
    <t>P.J. Enzenauer</t>
  </si>
  <si>
    <t>Norman McClellan</t>
  </si>
  <si>
    <t>Gaye Metz</t>
  </si>
  <si>
    <t>Ken Nicol</t>
  </si>
  <si>
    <t>Mark Ogden</t>
  </si>
  <si>
    <t>Lethbridge-West</t>
  </si>
  <si>
    <t>Clint Dunford</t>
  </si>
  <si>
    <t>Mark Sandilands</t>
  </si>
  <si>
    <t>Brian Stewart</t>
  </si>
  <si>
    <t>Leslie Vaala</t>
  </si>
  <si>
    <t>Little Bow</t>
  </si>
  <si>
    <t>Andrea Enes</t>
  </si>
  <si>
    <t>Jon Koch</t>
  </si>
  <si>
    <t>Arij Langstraat</t>
  </si>
  <si>
    <t>Barry McFarland</t>
  </si>
  <si>
    <t>Livingstone-Macleod</t>
  </si>
  <si>
    <t>David Coutts</t>
  </si>
  <si>
    <t>Larry Lybbert</t>
  </si>
  <si>
    <t>Ernie Patterson</t>
  </si>
  <si>
    <t>James Tweedie</t>
  </si>
  <si>
    <t>Medicine Hat</t>
  </si>
  <si>
    <t>Karen Charlton</t>
  </si>
  <si>
    <t>7,384 (26)</t>
  </si>
  <si>
    <t>11,240 (12)</t>
  </si>
  <si>
    <t>6,290 (21)</t>
  </si>
  <si>
    <t>6,812 (15)</t>
  </si>
  <si>
    <t>10,395 (12)</t>
  </si>
  <si>
    <t>6,681 (35)</t>
  </si>
  <si>
    <t>7,093 (27)</t>
  </si>
  <si>
    <t>8,555 (17)</t>
  </si>
  <si>
    <t>5,899 (26)</t>
  </si>
  <si>
    <t>6,190(11)</t>
  </si>
  <si>
    <t>11,611 (12)</t>
  </si>
  <si>
    <t>7,148 (21)</t>
  </si>
  <si>
    <t>10,450 (28)</t>
  </si>
  <si>
    <t>7,457 (11)</t>
  </si>
  <si>
    <t>Calgary-Glenmore</t>
  </si>
  <si>
    <t>Michael Broadhurst</t>
  </si>
  <si>
    <t>James S. Kohut</t>
  </si>
  <si>
    <t>Ron Stevens</t>
  </si>
  <si>
    <t>Jennifer Stewart</t>
  </si>
  <si>
    <t>Calgary-Lougheed</t>
  </si>
  <si>
    <t>Marlene Graham</t>
  </si>
  <si>
    <t>Pete Montgomery</t>
  </si>
  <si>
    <t>Marc Power</t>
  </si>
  <si>
    <t>Calgary-McCall</t>
  </si>
  <si>
    <t>Rory M. Cory</t>
  </si>
  <si>
    <t xml:space="preserve"> </t>
  </si>
  <si>
    <t>Darryl Elvers</t>
  </si>
  <si>
    <t>John Phillips</t>
  </si>
  <si>
    <t>Shiraz Shariff</t>
  </si>
  <si>
    <t>Preet Sihota</t>
  </si>
  <si>
    <t>Calgary-Montrose</t>
  </si>
  <si>
    <t>Art Danielson</t>
  </si>
  <si>
    <t>Hung Pham</t>
  </si>
  <si>
    <t>Robert Scobel</t>
  </si>
  <si>
    <t>Calgary-Mountain View</t>
  </si>
  <si>
    <t>Mark Hlady</t>
  </si>
  <si>
    <t>Keith Purdy</t>
  </si>
  <si>
    <t>Jennifer Spencer</t>
  </si>
  <si>
    <t>Calgary-North Hill</t>
  </si>
  <si>
    <t>Darryl G. Hawkins</t>
  </si>
  <si>
    <t>Darcy Kraus</t>
  </si>
  <si>
    <t>Richard Magnus</t>
  </si>
  <si>
    <t>Christine McGregor</t>
  </si>
  <si>
    <t>Calgary-North West</t>
  </si>
  <si>
    <t>Paul Allard</t>
  </si>
  <si>
    <t xml:space="preserve">14,726 (23) </t>
  </si>
  <si>
    <t xml:space="preserve">16,602 (60) </t>
  </si>
  <si>
    <t xml:space="preserve">14,763 (27) </t>
  </si>
  <si>
    <t xml:space="preserve">12,467 (29) </t>
  </si>
  <si>
    <t xml:space="preserve">11,468 (25) </t>
  </si>
  <si>
    <t xml:space="preserve">9,252 (39) </t>
  </si>
  <si>
    <t xml:space="preserve">8,821 (17)  </t>
  </si>
  <si>
    <t>Philip Lister</t>
  </si>
  <si>
    <t>Jake Johnson</t>
  </si>
  <si>
    <t>A.J. Hooke</t>
  </si>
  <si>
    <t>Gordon Wright</t>
  </si>
  <si>
    <t>GENERAL ELECTION-Tuesday, June 15, 1993</t>
  </si>
  <si>
    <t xml:space="preserve">83 Members </t>
  </si>
  <si>
    <t>GENERAL ELECTION-Tuesday, March 11, 1997</t>
  </si>
  <si>
    <t>GENERAL ELECTION-Monday, March 12, 2001</t>
  </si>
  <si>
    <t>GENERAL ELECTION-Tuesday, May 8, 1986</t>
  </si>
  <si>
    <t>GENERAL ELECTION-Tuesday, November 2, 1982</t>
  </si>
  <si>
    <t>Smoky River</t>
  </si>
  <si>
    <t>7,026 (8)</t>
  </si>
  <si>
    <t>14,567 (12)</t>
  </si>
  <si>
    <t>St. Paul</t>
  </si>
  <si>
    <t>William Hamilton</t>
  </si>
  <si>
    <t>10,519 (35)</t>
  </si>
  <si>
    <t>Gleichen</t>
  </si>
  <si>
    <t>Peter Trynchy</t>
  </si>
  <si>
    <t>Alexandra</t>
  </si>
  <si>
    <t>George Klimiuk</t>
  </si>
  <si>
    <t>Al Iafolla</t>
  </si>
  <si>
    <t>Al Barnhill</t>
  </si>
  <si>
    <t>Ilona Boyce</t>
  </si>
  <si>
    <t>GENERAL ELECTION-Monday, March 3, 2008</t>
  </si>
  <si>
    <t>Rob Anderson</t>
  </si>
  <si>
    <t>David Brandreth</t>
  </si>
  <si>
    <t>Wildrose Alliance Party</t>
  </si>
  <si>
    <t>Bryan Young</t>
  </si>
  <si>
    <t>Jeff Johnson</t>
  </si>
  <si>
    <t>Phyllis Penchuk</t>
  </si>
  <si>
    <t>Zrinko R. Amerl</t>
  </si>
  <si>
    <t>Dan Cunin</t>
  </si>
  <si>
    <t>Patricia Robertson</t>
  </si>
  <si>
    <t>Daniel Evans</t>
  </si>
  <si>
    <t>Kenneth R. Kowalski</t>
  </si>
  <si>
    <t>Rodney M. Olstad</t>
  </si>
  <si>
    <t>Leslie I. Penny</t>
  </si>
  <si>
    <t>11,831 (46)</t>
  </si>
  <si>
    <t>William Munsey</t>
  </si>
  <si>
    <t>Horst Schreiber</t>
  </si>
  <si>
    <t>9,580 (39)</t>
  </si>
  <si>
    <t>11,008 (15)</t>
  </si>
  <si>
    <t>14,978 (21)</t>
  </si>
  <si>
    <t>10,142 (129)</t>
  </si>
  <si>
    <t>Jennifer Brown</t>
  </si>
  <si>
    <t>Genia Leskiw</t>
  </si>
  <si>
    <t>Jason Sloychuk</t>
  </si>
  <si>
    <t>Justin Yaassoub</t>
  </si>
  <si>
    <t>Greg Flanagan</t>
  </si>
  <si>
    <t>Barry J. Holizki</t>
  </si>
  <si>
    <t>Teale Phelps Bondaroff</t>
  </si>
  <si>
    <t>Len Skowronski</t>
  </si>
  <si>
    <t>Randy Weeks</t>
  </si>
  <si>
    <t>Sean Chu</t>
  </si>
  <si>
    <t>Antoni (Tony) Grochowski</t>
  </si>
  <si>
    <t>Robert Lawrence</t>
  </si>
  <si>
    <t>Stephen Ricketts</t>
  </si>
  <si>
    <t>9,385 (103)</t>
  </si>
  <si>
    <t>14,808 (36)</t>
  </si>
  <si>
    <t>5,874 (26)</t>
  </si>
  <si>
    <t>Shelina N. Hassanali</t>
  </si>
  <si>
    <t>Ron I. Reinhold</t>
  </si>
  <si>
    <t>Arthur Kent</t>
  </si>
  <si>
    <t>Graham Mackenzie</t>
  </si>
  <si>
    <t>Kenneth J.P. Mazeroll</t>
  </si>
  <si>
    <t>7,047 (18)</t>
  </si>
  <si>
    <t>Ross Cameron</t>
  </si>
  <si>
    <t>Bonnie Collins</t>
  </si>
  <si>
    <t>Chris Dovey</t>
  </si>
  <si>
    <t>8,510 (48)</t>
  </si>
  <si>
    <t>Jonathan Denis</t>
  </si>
  <si>
    <t>Cathie Williams</t>
  </si>
  <si>
    <t>12,417 (69)</t>
  </si>
  <si>
    <t>Craig Cheffins</t>
  </si>
  <si>
    <t>Barry Erskine</t>
  </si>
  <si>
    <t>Dale Nelson</t>
  </si>
  <si>
    <t>Alison Redford</t>
  </si>
  <si>
    <t>Jonathon Sheffield</t>
  </si>
  <si>
    <t>Garnet G. Wilcox</t>
  </si>
  <si>
    <t>12,213 (65)</t>
  </si>
  <si>
    <t>14,568 (30)</t>
  </si>
  <si>
    <t>Jamie Buchan</t>
  </si>
  <si>
    <t>Kerry T. Fraser</t>
  </si>
  <si>
    <t>Laura Shutiak</t>
  </si>
  <si>
    <t>13,162 (28)</t>
  </si>
  <si>
    <t>Ian D. Groll</t>
  </si>
  <si>
    <t>Kevin Legare</t>
  </si>
  <si>
    <t>Mike Robinson</t>
  </si>
  <si>
    <t>Stephanie Sundberg</t>
  </si>
  <si>
    <t>Travis Chase</t>
  </si>
  <si>
    <t>Julie Hrdlicka</t>
  </si>
  <si>
    <t>Carole Oliver</t>
  </si>
  <si>
    <t>8,277 (24)</t>
  </si>
  <si>
    <t>Arden Duncan Bonokoski</t>
  </si>
  <si>
    <t>Ryan Sadler</t>
  </si>
  <si>
    <t>12,701 (37)</t>
  </si>
  <si>
    <t>Keely Bruce</t>
  </si>
  <si>
    <t>Devin Cassidy</t>
  </si>
  <si>
    <t>Tyler Kinch</t>
  </si>
  <si>
    <t>Bill Kurtze</t>
  </si>
  <si>
    <t>12,850 (16)</t>
  </si>
  <si>
    <t>Derrick Jacobson</t>
  </si>
  <si>
    <t>G. Keith Laurie</t>
  </si>
  <si>
    <t>Clint Marko</t>
  </si>
  <si>
    <t>13,692 (28)</t>
  </si>
  <si>
    <t>Daena Diduck</t>
  </si>
  <si>
    <t>Rob Gregory</t>
  </si>
  <si>
    <t>Tianna Melnyk</t>
  </si>
  <si>
    <t>Ryan Smith</t>
  </si>
  <si>
    <t>Teresa Woo-Paw</t>
  </si>
  <si>
    <t>12,908 (54)</t>
  </si>
  <si>
    <t>Heather Brocklesby</t>
  </si>
  <si>
    <t>Ina K. Given</t>
  </si>
  <si>
    <t>9,642 (38)</t>
  </si>
  <si>
    <t>Said Abdulbaki</t>
  </si>
  <si>
    <t>Manmeet Bhullar</t>
  </si>
  <si>
    <t>Al Brown</t>
  </si>
  <si>
    <t>Fred Clemens</t>
  </si>
  <si>
    <t>Michael Embaie</t>
  </si>
  <si>
    <t>Ron Leech</t>
  </si>
  <si>
    <t>Juliet Burgess</t>
  </si>
  <si>
    <t>Leah Lawrence</t>
  </si>
  <si>
    <t>13,756 (53)</t>
  </si>
  <si>
    <t>7,625 (55)</t>
  </si>
  <si>
    <t>John Chan</t>
  </si>
  <si>
    <t>Kyle Fawcett</t>
  </si>
  <si>
    <t>Kevin Maloney</t>
  </si>
  <si>
    <t>Jane Morgan</t>
  </si>
  <si>
    <t>Jim Wright</t>
  </si>
  <si>
    <t>11,171 (37)</t>
  </si>
  <si>
    <t>Collin Anderson</t>
  </si>
  <si>
    <t>Lindsay Blackett</t>
  </si>
  <si>
    <t>Dale M. D'Silva</t>
  </si>
  <si>
    <t>Chris Jukes</t>
  </si>
  <si>
    <t>18,209 (43)</t>
  </si>
  <si>
    <t>Nick Burman</t>
  </si>
  <si>
    <t>John A. Murdoch</t>
  </si>
  <si>
    <t>Tristan Ridley</t>
  </si>
  <si>
    <t>9,313 (27)</t>
  </si>
  <si>
    <t>Jenn Carlson</t>
  </si>
  <si>
    <t>Richard P. Dur</t>
  </si>
  <si>
    <t>Jennifer Saunders</t>
  </si>
  <si>
    <t>12,061 (43)</t>
  </si>
  <si>
    <t>Jennifer Diakiw</t>
  </si>
  <si>
    <t>Brennan Lytle</t>
  </si>
  <si>
    <t>Sean Maw</t>
  </si>
  <si>
    <t>Tim Stock-Bateman</t>
  </si>
  <si>
    <t>Harry Chase</t>
  </si>
  <si>
    <t>14,591 (73)</t>
  </si>
  <si>
    <t>Bob Babcock</t>
  </si>
  <si>
    <t>Beth Gignac</t>
  </si>
  <si>
    <t>17,568 (33)</t>
  </si>
  <si>
    <t>William Turner</t>
  </si>
  <si>
    <t>9,505 (14)</t>
  </si>
  <si>
    <t>Manuel Martinez</t>
  </si>
  <si>
    <t>Richard (Dick) Mastel</t>
  </si>
  <si>
    <t>Len Mitzel</t>
  </si>
  <si>
    <t>Bright Pryde</t>
  </si>
  <si>
    <t>8,904 (32)</t>
  </si>
  <si>
    <t>Norma Block</t>
  </si>
  <si>
    <t>Diana McQueen</t>
  </si>
  <si>
    <t>Dean Schmale</t>
  </si>
  <si>
    <t>10,097 (31)</t>
  </si>
  <si>
    <t>Amanda Bolton</t>
  </si>
  <si>
    <t>Tom Dooley</t>
  </si>
  <si>
    <t>Jack Hayden</t>
  </si>
  <si>
    <t>10,140 (28)</t>
  </si>
  <si>
    <t>Nathan Macklin</t>
  </si>
  <si>
    <t>Bob Woken</t>
  </si>
  <si>
    <t>7,976 (46)</t>
  </si>
  <si>
    <t>Brian Dell</t>
  </si>
  <si>
    <t>Dawit Isaac</t>
  </si>
  <si>
    <t>Robin Porteous</t>
  </si>
  <si>
    <t>Frédérique Pivot</t>
  </si>
  <si>
    <t>10,552 (23)</t>
  </si>
  <si>
    <t>Michael Brown</t>
  </si>
  <si>
    <t>Doug Elniski</t>
  </si>
  <si>
    <t>Jim Kane</t>
  </si>
  <si>
    <t>11,154 (39)</t>
  </si>
  <si>
    <t>Ali Haymour</t>
  </si>
  <si>
    <t>Bob Reckhow</t>
  </si>
  <si>
    <t>13,887 (49)</t>
  </si>
  <si>
    <t>Deron Bilous</t>
  </si>
  <si>
    <t>Bill Donahue</t>
  </si>
  <si>
    <t>James Iverson</t>
  </si>
  <si>
    <t>Margaret Saunter</t>
  </si>
  <si>
    <t>11,210 (78)</t>
  </si>
  <si>
    <t>Trey Capnerhust</t>
  </si>
  <si>
    <t>Sid Sadik</t>
  </si>
  <si>
    <t>Janice Sarich</t>
  </si>
  <si>
    <t>10,014 (27)</t>
  </si>
  <si>
    <t>Paul J. Boos</t>
  </si>
  <si>
    <t>Krista Leddy</t>
  </si>
  <si>
    <t>Cheryl Ullah</t>
  </si>
  <si>
    <t>10,932 (62)</t>
  </si>
  <si>
    <t>Arlene Chapman</t>
  </si>
  <si>
    <t>Heather Klimchuk</t>
  </si>
  <si>
    <t>Elden Van Hauwaert</t>
  </si>
  <si>
    <t>11538 (38)</t>
  </si>
  <si>
    <t>David Dorward</t>
  </si>
  <si>
    <t>Dave Zylstra</t>
  </si>
  <si>
    <t>13,988 (53)</t>
  </si>
  <si>
    <t>Travis Loewen</t>
  </si>
  <si>
    <t>Mohamed Maie</t>
  </si>
  <si>
    <t>9,330 (12)</t>
  </si>
  <si>
    <t>Odette Boily</t>
  </si>
  <si>
    <t>Sandeep (Deep) Dhir</t>
  </si>
  <si>
    <t>Phil Gamache</t>
  </si>
  <si>
    <t>Rick Murti</t>
  </si>
  <si>
    <t>Peter Sandhu</t>
  </si>
  <si>
    <t>11,473 (24)</t>
  </si>
  <si>
    <t>Kristine Jassman</t>
  </si>
  <si>
    <t>Bridget Stirling</t>
  </si>
  <si>
    <t>Bryan Wyrostok</t>
  </si>
  <si>
    <t>David Xiao</t>
  </si>
  <si>
    <t>14,658 (7)</t>
  </si>
  <si>
    <t>Debbie Cavaliere</t>
  </si>
  <si>
    <t>Richard Guyon</t>
  </si>
  <si>
    <t>Pascal Ryffel</t>
  </si>
  <si>
    <t>Raj Sherman</t>
  </si>
  <si>
    <t>11,260 (38)</t>
  </si>
  <si>
    <t>Stephen Anderson</t>
  </si>
  <si>
    <t>Glen Argan</t>
  </si>
  <si>
    <t>13,504 (90)</t>
  </si>
  <si>
    <t>Christina Gray</t>
  </si>
  <si>
    <t>David A. Hrushka</t>
  </si>
  <si>
    <t>Robert Leddy</t>
  </si>
  <si>
    <t>10,832 (24)</t>
  </si>
  <si>
    <t>Wendy Andrews</t>
  </si>
  <si>
    <t>Erica Bullwinkle</t>
  </si>
  <si>
    <t>Kyle Van Hauwaert</t>
  </si>
  <si>
    <t>Cameron Wakefield</t>
  </si>
  <si>
    <t>14,761 (16)</t>
  </si>
  <si>
    <t>Mike Butler</t>
  </si>
  <si>
    <t>Katherine Wyrostok</t>
  </si>
  <si>
    <t>12,297 (41)</t>
  </si>
  <si>
    <t>T.J. Keil</t>
  </si>
  <si>
    <t>Rachel Notley</t>
  </si>
  <si>
    <t>Tim Vant</t>
  </si>
  <si>
    <t>11,885 (62)</t>
  </si>
  <si>
    <t>Nancy A. Cavanaugh</t>
  </si>
  <si>
    <t>Valerie Kennedy</t>
  </si>
  <si>
    <t>20,617 (92)</t>
  </si>
  <si>
    <t>Larry Ashmore</t>
  </si>
  <si>
    <t>Ted Morton</t>
  </si>
  <si>
    <t>Ricardo de Menezes</t>
  </si>
  <si>
    <t>Joseph McMaster</t>
  </si>
  <si>
    <t>Ross Jacobs</t>
  </si>
  <si>
    <t>Mel Kraley</t>
  </si>
  <si>
    <t>Reginald (Reg) Normore</t>
  </si>
  <si>
    <t>7,127 (25)</t>
  </si>
  <si>
    <t>Clayton Marsden</t>
  </si>
  <si>
    <t>Ryan Scheie</t>
  </si>
  <si>
    <t>Earl J. Woods</t>
  </si>
  <si>
    <t>14,296 (50)</t>
  </si>
  <si>
    <t>Todd Loewen</t>
  </si>
  <si>
    <t>Neil R.M. Peacock</t>
  </si>
  <si>
    <t>Rebecca Villebrun</t>
  </si>
  <si>
    <t>8,024 (31)</t>
  </si>
  <si>
    <t>Manuela Campbell</t>
  </si>
  <si>
    <t>Wayne Drysdale</t>
  </si>
  <si>
    <t>Augustine Ebinu</t>
  </si>
  <si>
    <t>Art Proctor</t>
  </si>
  <si>
    <t>7,714 (17)</t>
  </si>
  <si>
    <t>John Barrett</t>
  </si>
  <si>
    <t>Carolyn Boulton</t>
  </si>
  <si>
    <t>Daniel W. Doherty</t>
  </si>
  <si>
    <t>Stan Shedd</t>
  </si>
  <si>
    <t>11,849 (34)</t>
  </si>
  <si>
    <t>Tophie Davies</t>
  </si>
  <si>
    <t>Wayne Edmondson</t>
  </si>
  <si>
    <t>Lisa Grant</t>
  </si>
  <si>
    <t>Anthony Haggarty</t>
  </si>
  <si>
    <t>11,090 (40)</t>
  </si>
  <si>
    <t>Alex Broadbent</t>
  </si>
  <si>
    <t>Della Drury</t>
  </si>
  <si>
    <t>9,157 (63)</t>
  </si>
  <si>
    <t>Joe Anglin</t>
  </si>
  <si>
    <t>Steven P. Bradshaw</t>
  </si>
  <si>
    <t>Daniel Friesen</t>
  </si>
  <si>
    <t>Edith McPhedran</t>
  </si>
  <si>
    <t>14,099 (23)</t>
  </si>
  <si>
    <t>Lisa Erickson</t>
  </si>
  <si>
    <t>Sharon Maclise</t>
  </si>
  <si>
    <t>13,934 (54)</t>
  </si>
  <si>
    <t>Steve Noskey</t>
  </si>
  <si>
    <t>Bonnie Raho</t>
  </si>
  <si>
    <t>Habby Sharkawi</t>
  </si>
  <si>
    <t>5,192 (19)</t>
  </si>
  <si>
    <t>Helen McMenamin</t>
  </si>
  <si>
    <t>Tom Moffat</t>
  </si>
  <si>
    <t>12,024 (58)</t>
  </si>
  <si>
    <t>Matthew Fox</t>
  </si>
  <si>
    <t>James Moore</t>
  </si>
  <si>
    <t>Brennan Tilley</t>
  </si>
  <si>
    <t>Greg Weadick</t>
  </si>
  <si>
    <t>11,450 (39)</t>
  </si>
  <si>
    <t>Kevin Kinahan</t>
  </si>
  <si>
    <t>Duane Petluk</t>
  </si>
  <si>
    <t>Marie Read</t>
  </si>
  <si>
    <t>Everett Tanis</t>
  </si>
  <si>
    <t>8,870 (22)</t>
  </si>
  <si>
    <t>Evan Berger</t>
  </si>
  <si>
    <t>Phil Burpee</t>
  </si>
  <si>
    <t>Bryan Hunt</t>
  </si>
  <si>
    <t>Mike Judd</t>
  </si>
  <si>
    <t>John W. McLeod</t>
  </si>
  <si>
    <t>9,406 (51)</t>
  </si>
  <si>
    <t>Karen Kraus</t>
  </si>
  <si>
    <t>Clint Rabb</t>
  </si>
  <si>
    <t>10,528 (51)</t>
  </si>
  <si>
    <t>Andy Davies</t>
  </si>
  <si>
    <t>Curt Engel</t>
  </si>
  <si>
    <t>Kate Haddow</t>
  </si>
  <si>
    <t>12,233 (4)</t>
  </si>
  <si>
    <t>Adele Boucher Rymhs</t>
  </si>
  <si>
    <t>George Beinert</t>
  </si>
  <si>
    <t>5,052 (20)</t>
  </si>
  <si>
    <t>Richard Farrand</t>
  </si>
  <si>
    <t>Urs Lehner</t>
  </si>
  <si>
    <t>Shawn Nielsen</t>
  </si>
  <si>
    <t>Rueben Tschetter</t>
  </si>
  <si>
    <t>8,138 (32)</t>
  </si>
  <si>
    <t>Evan Bedford</t>
  </si>
  <si>
    <t>Teresa Bryanton</t>
  </si>
  <si>
    <t>Cal Dallas</t>
  </si>
  <si>
    <t>Diane Kubanek</t>
  </si>
  <si>
    <t>12,708 (48)</t>
  </si>
  <si>
    <t>Jennifer Ripley</t>
  </si>
  <si>
    <t>Jorge Sousa</t>
  </si>
  <si>
    <t>Fanie Van Heerden</t>
  </si>
  <si>
    <t>9,933 (40)</t>
  </si>
  <si>
    <t>Ken Allred</t>
  </si>
  <si>
    <t>Katy Campbell</t>
  </si>
  <si>
    <t>Ross Vincent</t>
  </si>
  <si>
    <t>15,536 (67)</t>
  </si>
  <si>
    <t>Katharine Hay</t>
  </si>
  <si>
    <t>Rick Hoines</t>
  </si>
  <si>
    <t>14,748 (32)</t>
  </si>
  <si>
    <t>Allen West</t>
  </si>
  <si>
    <t>15,402 (70)</t>
  </si>
  <si>
    <t>Shelina Brown</t>
  </si>
  <si>
    <t>Sandy Pariseau</t>
  </si>
  <si>
    <t>Nora Shea</t>
  </si>
  <si>
    <t>13,359 (36)</t>
  </si>
  <si>
    <t>Kate Harrington</t>
  </si>
  <si>
    <t>Denny Holmwood</t>
  </si>
  <si>
    <t>Dave Quest</t>
  </si>
  <si>
    <t>15,035 (59)</t>
  </si>
  <si>
    <t>Chris Bayford</t>
  </si>
  <si>
    <t>Arno Doerksen</t>
  </si>
  <si>
    <t>Amanda H. Shehata</t>
  </si>
  <si>
    <t>Brian Stokes</t>
  </si>
  <si>
    <t>10,224 (37)</t>
  </si>
  <si>
    <t>Ngaio Hotte</t>
  </si>
  <si>
    <t>Wendy Myshak</t>
  </si>
  <si>
    <t>Robert Sawatzky</t>
  </si>
  <si>
    <t>8,685 (14)</t>
  </si>
  <si>
    <t>Robin Campbell</t>
  </si>
  <si>
    <t>Lisa Higgerty</t>
  </si>
  <si>
    <t>Ken Kuzminski</t>
  </si>
  <si>
    <t>Scott Pickett</t>
  </si>
  <si>
    <t>7,814 (27)</t>
  </si>
  <si>
    <t>Tyler Knelsen</t>
  </si>
  <si>
    <t>Midge Lambert</t>
  </si>
  <si>
    <t>Sarah E. Mowat</t>
  </si>
  <si>
    <t>Verlyn Olson</t>
  </si>
  <si>
    <t>11,726 (37)</t>
  </si>
  <si>
    <t>Link Byfield</t>
  </si>
  <si>
    <t>Mike Gray</t>
  </si>
  <si>
    <t>9,932 (45)</t>
  </si>
  <si>
    <t>12,631 (38)</t>
  </si>
  <si>
    <t>12,046 (71)</t>
  </si>
  <si>
    <t>950,363 (3,414)</t>
  </si>
  <si>
    <t>Alberta Green Party</t>
  </si>
  <si>
    <t>Dunvegan-Central Peace-Notley</t>
  </si>
  <si>
    <r>
      <t xml:space="preserve">Electoral Division          </t>
    </r>
    <r>
      <rPr>
        <b/>
        <sz val="8"/>
        <rFont val="Times New Roman"/>
        <family val="1"/>
      </rPr>
      <t>(Note 1)</t>
    </r>
  </si>
  <si>
    <t>Carole Carby</t>
  </si>
  <si>
    <t>Kelly Hudson</t>
  </si>
  <si>
    <t>8,820 (48)</t>
  </si>
  <si>
    <t>Donald G. Bissell</t>
  </si>
  <si>
    <t>Darryl Boisson</t>
  </si>
  <si>
    <t>Steve Kaz</t>
  </si>
  <si>
    <t>Steven Townsend</t>
  </si>
  <si>
    <t>7,193 (24)</t>
  </si>
  <si>
    <t>Ron Casey</t>
  </si>
  <si>
    <t>Tom Copithorne</t>
  </si>
  <si>
    <t>Peter Helfrich</t>
  </si>
  <si>
    <t>Jamie Kleinsteuber</t>
  </si>
  <si>
    <t>15,858 (135)</t>
  </si>
  <si>
    <t>Evergreen Party</t>
  </si>
  <si>
    <t>Trudy Grebenstein</t>
  </si>
  <si>
    <t>Maureen Kubinec</t>
  </si>
  <si>
    <t>Leslie Penny</t>
  </si>
  <si>
    <t>16,652 (52)</t>
  </si>
  <si>
    <t>Amber Greenleese</t>
  </si>
  <si>
    <t>Dave Nelson</t>
  </si>
  <si>
    <t>Terry Zawalski</t>
  </si>
  <si>
    <t>15,421 (87)</t>
  </si>
  <si>
    <t>Roy Doonanco</t>
  </si>
  <si>
    <t>Hubert Rodden</t>
  </si>
  <si>
    <t>Calgary-Acadia</t>
  </si>
  <si>
    <t>Alana S. DeLong</t>
  </si>
  <si>
    <t>Antoni Grochowski</t>
  </si>
  <si>
    <t>Nicole Hankel</t>
  </si>
  <si>
    <t>Richard Jones</t>
  </si>
  <si>
    <t>Nick Lepora</t>
  </si>
  <si>
    <t>14,990 (117)</t>
  </si>
  <si>
    <t>Tim Dyck</t>
  </si>
  <si>
    <t>Ellen Phillips</t>
  </si>
  <si>
    <t>Stephanie Shewchuk</t>
  </si>
  <si>
    <t>14,815 (72)</t>
  </si>
  <si>
    <t>Mike Blanchard</t>
  </si>
  <si>
    <t>Rebecca Eras</t>
  </si>
  <si>
    <t>Jamie Lall</t>
  </si>
  <si>
    <t>Cory Mack Wilson</t>
  </si>
  <si>
    <t>11,430 (176)</t>
  </si>
  <si>
    <t>Reinaldo Contreras</t>
  </si>
  <si>
    <t>Happy Mann</t>
  </si>
  <si>
    <t>Narita Sherman</t>
  </si>
  <si>
    <t>11,998 (116)</t>
  </si>
  <si>
    <t>Corrie Adolph</t>
  </si>
  <si>
    <t>Christine Cusanelli</t>
  </si>
  <si>
    <t>Dean N. Halstead</t>
  </si>
  <si>
    <t>Norval Horner</t>
  </si>
  <si>
    <t>Norm Kelly</t>
  </si>
  <si>
    <t>16,444 (127)</t>
  </si>
  <si>
    <t>Ali Abdulbaki</t>
  </si>
  <si>
    <t>Bonnie Devine</t>
  </si>
  <si>
    <t>Robyn Luff</t>
  </si>
  <si>
    <t>Jasbir (Jesse) Minhas</t>
  </si>
  <si>
    <t>13,001 (172)</t>
  </si>
  <si>
    <t>Beena Ashar</t>
  </si>
  <si>
    <t>Greg Clark</t>
  </si>
  <si>
    <t>James Cole</t>
  </si>
  <si>
    <t>Craig Coolahan</t>
  </si>
  <si>
    <t>19,278 (202)</t>
  </si>
  <si>
    <t>Wendelin Fraser</t>
  </si>
  <si>
    <t>Nazir Rahemtulla</t>
  </si>
  <si>
    <t>17,460 (49)</t>
  </si>
  <si>
    <t>Jennifer Carkner</t>
  </si>
  <si>
    <t>Kurt Hansen</t>
  </si>
  <si>
    <t>Dustin Nau</t>
  </si>
  <si>
    <t>15,378 (122)</t>
  </si>
  <si>
    <t>Janice Dixon</t>
  </si>
  <si>
    <t>Jeevan Mangat</t>
  </si>
  <si>
    <t>Don Monroe</t>
  </si>
  <si>
    <t>11,859 (110)</t>
  </si>
  <si>
    <t>Rick Collier</t>
  </si>
  <si>
    <t>Linda Johnson</t>
  </si>
  <si>
    <t>Dan MacAuley</t>
  </si>
  <si>
    <t>20,257 (155)</t>
  </si>
  <si>
    <t>Calgary-Greenway</t>
  </si>
  <si>
    <t>Iqtidar Awan</t>
  </si>
  <si>
    <t>Manmeet S. Bhullar</t>
  </si>
  <si>
    <t>12,090 (108)</t>
  </si>
  <si>
    <t>Calgary-Hawkwood</t>
  </si>
  <si>
    <t>Maria Davis</t>
  </si>
  <si>
    <t>Janet Keeping</t>
  </si>
  <si>
    <t>Jason Luan</t>
  </si>
  <si>
    <t>Ed Torrance</t>
  </si>
  <si>
    <t>Kevin Woron</t>
  </si>
  <si>
    <t>David Yager</t>
  </si>
  <si>
    <t>19,313 (138)</t>
  </si>
  <si>
    <t>Wayne Anderson</t>
  </si>
  <si>
    <t>Brian MacPhee</t>
  </si>
  <si>
    <t>Richard William (Ric) McIver</t>
  </si>
  <si>
    <t>Regina Vergara</t>
  </si>
  <si>
    <t>15,650 (136)</t>
  </si>
  <si>
    <t>Calgary-Klein</t>
  </si>
  <si>
    <t>Roger Gagné</t>
  </si>
  <si>
    <t>Jeremy Nixon</t>
  </si>
  <si>
    <t>16,642 (73)</t>
  </si>
  <si>
    <t>John Carpay</t>
  </si>
  <si>
    <t>Brent Kelly</t>
  </si>
  <si>
    <t>Fred Stenson</t>
  </si>
  <si>
    <t>15,606 (145)</t>
  </si>
  <si>
    <t>Calgary-Mackay-Nose Hill</t>
  </si>
  <si>
    <t>Roy M. Alexander</t>
  </si>
  <si>
    <t>Jason Webster</t>
  </si>
  <si>
    <t>14,211 (69)</t>
  </si>
  <si>
    <t>Grant D. Galpin</t>
  </si>
  <si>
    <t>Muhammad Rasheed</t>
  </si>
  <si>
    <t>Colette Marie Singh</t>
  </si>
  <si>
    <t>Tanveer Taj</t>
  </si>
  <si>
    <t>10,534 (98)</t>
  </si>
  <si>
    <t>Cecilia Low</t>
  </si>
  <si>
    <t>Shane McAllister</t>
  </si>
  <si>
    <t>Christopher McMillan</t>
  </si>
  <si>
    <t>Inshan S. Mohammed</t>
  </si>
  <si>
    <t>17,196 (111)</t>
  </si>
  <si>
    <t>Chris Challis</t>
  </si>
  <si>
    <t>Sandra Jansen</t>
  </si>
  <si>
    <t>Brian Malkinson</t>
  </si>
  <si>
    <t>Troy Millington</t>
  </si>
  <si>
    <t>Robert Prcic</t>
  </si>
  <si>
    <t>18,039 (76)</t>
  </si>
  <si>
    <t>Calgary-Northern Hills</t>
  </si>
  <si>
    <t>Kirstin Morrell</t>
  </si>
  <si>
    <t>Prasad Panda</t>
  </si>
  <si>
    <t>Stephanie Westlund</t>
  </si>
  <si>
    <t>14,880 (100)</t>
  </si>
  <si>
    <t>Farouk Adatia</t>
  </si>
  <si>
    <t>Brandon Beasley</t>
  </si>
  <si>
    <t>Ashley Fairall</t>
  </si>
  <si>
    <t>Jeff Wilson</t>
  </si>
  <si>
    <t>16,291 (117)</t>
  </si>
  <si>
    <t>Brad Carroll</t>
  </si>
  <si>
    <t>Rick Fraser</t>
  </si>
  <si>
    <t>Bill Jarvis</t>
  </si>
  <si>
    <t>Marta Warszynski</t>
  </si>
  <si>
    <t>14,756 (41)</t>
  </si>
  <si>
    <t>Donna Kennedy-Glans</t>
  </si>
  <si>
    <t>Alex McBrien</t>
  </si>
  <si>
    <t>Bruce Payne</t>
  </si>
  <si>
    <t>Jackie Seidel</t>
  </si>
  <si>
    <t>Rob Solinger</t>
  </si>
  <si>
    <t>Carl Svoboda</t>
  </si>
  <si>
    <t>17,643 (83)</t>
  </si>
  <si>
    <t>Andrew Constantinidis</t>
  </si>
  <si>
    <t>Pam Crosby</t>
  </si>
  <si>
    <t>Karen Huggins</t>
  </si>
  <si>
    <t>Ken Hughes</t>
  </si>
  <si>
    <t>Wilson McCutchan</t>
  </si>
  <si>
    <t>Mary I. Nokleby</t>
  </si>
  <si>
    <t>16,342 (117)</t>
  </si>
  <si>
    <t>Gary Bikman</t>
  </si>
  <si>
    <t>Aaron Haugen</t>
  </si>
  <si>
    <t>Patrick Shimbashi</t>
  </si>
  <si>
    <t>11,208 (54)</t>
  </si>
  <si>
    <t>Chestermere-Rocky View</t>
  </si>
  <si>
    <t>Bruce McAllister</t>
  </si>
  <si>
    <t>Sian Ramsden</t>
  </si>
  <si>
    <t>Nathan Salmon</t>
  </si>
  <si>
    <t>17,419 (59)</t>
  </si>
  <si>
    <t>Drew Barnes</t>
  </si>
  <si>
    <t>Jon Mastel</t>
  </si>
  <si>
    <t>13,243 (80)</t>
  </si>
  <si>
    <t>Drayton Valley-Devon</t>
  </si>
  <si>
    <t>Dean Shular</t>
  </si>
  <si>
    <t>Chantel Lillycrop</t>
  </si>
  <si>
    <t>14,248 (56)</t>
  </si>
  <si>
    <t>Andrew Berdahl</t>
  </si>
  <si>
    <t>Aditya (Adi) Rao</t>
  </si>
  <si>
    <t>Cam Roset</t>
  </si>
  <si>
    <t>Rick Strankman</t>
  </si>
  <si>
    <t>15,090 (51)</t>
  </si>
  <si>
    <t>Trey Capnerhurst</t>
  </si>
  <si>
    <t>Chris Heward</t>
  </si>
  <si>
    <t>Don Martin</t>
  </si>
  <si>
    <t>14,238 (50)</t>
  </si>
  <si>
    <t>Alex Bosse</t>
  </si>
  <si>
    <t>David Clark</t>
  </si>
  <si>
    <t>Bev Esslinger</t>
  </si>
  <si>
    <t>Rich Neumann</t>
  </si>
  <si>
    <t>14,915 (119)</t>
  </si>
  <si>
    <t>Jeff Funnell</t>
  </si>
  <si>
    <t>Brian Labelle</t>
  </si>
  <si>
    <t>John Oplanich</t>
  </si>
  <si>
    <t>15,311 (62)</t>
  </si>
  <si>
    <t>Nadine Bailey</t>
  </si>
  <si>
    <t>Akash Khokhar</t>
  </si>
  <si>
    <t>13,937 (102)</t>
  </si>
  <si>
    <t>Ed Ammar</t>
  </si>
  <si>
    <t>Chris Bataluk</t>
  </si>
  <si>
    <t>13,507 (103)</t>
  </si>
  <si>
    <t>Athena Bernal-Born</t>
  </si>
  <si>
    <t>Jennifer Ketsa</t>
  </si>
  <si>
    <t>Jackie Lovely</t>
  </si>
  <si>
    <t>Christopher Tahn</t>
  </si>
  <si>
    <t>Chinwe Okelu</t>
  </si>
  <si>
    <t>13,213 (118)</t>
  </si>
  <si>
    <t>Sue Huff</t>
  </si>
  <si>
    <t>Don Koziak</t>
  </si>
  <si>
    <t>16,169 (125)</t>
  </si>
  <si>
    <t>Linda Carlson</t>
  </si>
  <si>
    <t>David C. Dorward</t>
  </si>
  <si>
    <t>Josipa Petrunic</t>
  </si>
  <si>
    <t>Marlin Schmidt</t>
  </si>
  <si>
    <t>20,327 (145)</t>
  </si>
  <si>
    <t>Wayde Lever</t>
  </si>
  <si>
    <t>Dari Lynn</t>
  </si>
  <si>
    <t>Cam McCormick</t>
  </si>
  <si>
    <t>Keegan Wynychuk</t>
  </si>
  <si>
    <t>12,599 (121)</t>
  </si>
  <si>
    <t>Sam Hachem</t>
  </si>
  <si>
    <t>Jonathan Huckabay</t>
  </si>
  <si>
    <t>Cindy Olsen</t>
  </si>
  <si>
    <t>Peter Rodd</t>
  </si>
  <si>
    <t>Chris Vallee</t>
  </si>
  <si>
    <t>13,729 (78)</t>
  </si>
  <si>
    <t>Mark Wall</t>
  </si>
  <si>
    <t>Nathan Forsyth</t>
  </si>
  <si>
    <t>Peter Janisz</t>
  </si>
  <si>
    <t>15,685 (72)</t>
  </si>
  <si>
    <t>Neil Mather</t>
  </si>
  <si>
    <t>Rick Newcombe</t>
  </si>
  <si>
    <t>14,511 (82)</t>
  </si>
  <si>
    <t>Adam Corsaut</t>
  </si>
  <si>
    <t>Evelinne Teichgraber</t>
  </si>
  <si>
    <t>Judy Wilson</t>
  </si>
  <si>
    <t>12,029 (117)</t>
  </si>
  <si>
    <t>Joanne Autio</t>
  </si>
  <si>
    <t>Sandra Azocar</t>
  </si>
  <si>
    <t>Sohail Quadri</t>
  </si>
  <si>
    <t>14,034 (118)</t>
  </si>
  <si>
    <t>John Corie</t>
  </si>
  <si>
    <t>Arif Khan</t>
  </si>
  <si>
    <t>Lori Sigurdson</t>
  </si>
  <si>
    <t>Timothy Wong</t>
  </si>
  <si>
    <t>Steve Young</t>
  </si>
  <si>
    <t>18,409 (100)</t>
  </si>
  <si>
    <t>Kyle McLeod</t>
  </si>
  <si>
    <t>Melanie Samaroden</t>
  </si>
  <si>
    <t>David Tonner</t>
  </si>
  <si>
    <t>Michael Walters</t>
  </si>
  <si>
    <t>16,451 (81)</t>
  </si>
  <si>
    <t>Edmonton-South West</t>
  </si>
  <si>
    <t>Rudy Arcilla</t>
  </si>
  <si>
    <t>Allan Hunsperger</t>
  </si>
  <si>
    <t>Matt Jeneroux</t>
  </si>
  <si>
    <t>Bryan Peacock</t>
  </si>
  <si>
    <t>15,057 (78)</t>
  </si>
  <si>
    <t>Meagen LaFave</t>
  </si>
  <si>
    <t>Emerson Mayers</t>
  </si>
  <si>
    <t>Terry Noel</t>
  </si>
  <si>
    <t>Ed Ramsden</t>
  </si>
  <si>
    <t>15,175 (108)</t>
  </si>
  <si>
    <t>Ian Crawford</t>
  </si>
  <si>
    <t>Julia Necheff</t>
  </si>
  <si>
    <t>Rick Szostak</t>
  </si>
  <si>
    <t>19,960 (119)</t>
  </si>
  <si>
    <t>Airdrie</t>
  </si>
  <si>
    <t>Joel M. Steacy</t>
  </si>
  <si>
    <t>16,451 (79)</t>
  </si>
  <si>
    <t>Gino Akbari</t>
  </si>
  <si>
    <t>Mandy Melnyk</t>
  </si>
  <si>
    <t>Travis Olson</t>
  </si>
  <si>
    <t>15,255 (106)</t>
  </si>
  <si>
    <t>Fort McMurray-Conklin</t>
  </si>
  <si>
    <t>Doug Faulkner</t>
  </si>
  <si>
    <t>Paul Pomerleau</t>
  </si>
  <si>
    <t>Ted Remenda</t>
  </si>
  <si>
    <t>Don Scott</t>
  </si>
  <si>
    <t>5,287 (23)</t>
  </si>
  <si>
    <t>Mike Allen</t>
  </si>
  <si>
    <t>Amy McBain</t>
  </si>
  <si>
    <t>Denise Woollard</t>
  </si>
  <si>
    <t>7,367 (55)</t>
  </si>
  <si>
    <t>Spencer Dunn</t>
  </si>
  <si>
    <t>Jacquie Fenske</t>
  </si>
  <si>
    <t>Chris Fulmer</t>
  </si>
  <si>
    <t>Matt Levicki</t>
  </si>
  <si>
    <t>16,978 (83)</t>
  </si>
  <si>
    <t>Mary Dahr</t>
  </si>
  <si>
    <t>Everett McDonald</t>
  </si>
  <si>
    <t>Kevin McLean</t>
  </si>
  <si>
    <t>Andrew Muise</t>
  </si>
  <si>
    <t>11,919 (34)</t>
  </si>
  <si>
    <t>Paula Anderson</t>
  </si>
  <si>
    <t>Anthony Barendregt</t>
  </si>
  <si>
    <t>Ethane Jarvis</t>
  </si>
  <si>
    <t>Alya Nazarali</t>
  </si>
  <si>
    <t>12,999 (55)</t>
  </si>
  <si>
    <t>John Barlow</t>
  </si>
  <si>
    <t>Miles Dato</t>
  </si>
  <si>
    <t>Keegan Gibson</t>
  </si>
  <si>
    <t>Danielle Smith</t>
  </si>
  <si>
    <t>19,192 (60)</t>
  </si>
  <si>
    <t>Danielle Klooster</t>
  </si>
  <si>
    <t>Patricia Norman</t>
  </si>
  <si>
    <t>Kerry Towle</t>
  </si>
  <si>
    <t>Les Vidok</t>
  </si>
  <si>
    <t>15,328 (76)</t>
  </si>
  <si>
    <t>Lac La Biche-St. Paul-Two Hills</t>
  </si>
  <si>
    <t>Phil Johnson</t>
  </si>
  <si>
    <t>John Nowak</t>
  </si>
  <si>
    <t>Shayne Saskiw</t>
  </si>
  <si>
    <t>12,788 (75)</t>
  </si>
  <si>
    <t>Steve Christie</t>
  </si>
  <si>
    <t>Rod Fox</t>
  </si>
  <si>
    <t>Tony Jeglum</t>
  </si>
  <si>
    <t>Kyle Michael Morrow</t>
  </si>
  <si>
    <t>14,949 (62)</t>
  </si>
  <si>
    <t>Leduc-Beaumont</t>
  </si>
  <si>
    <t>Jasen Maminski</t>
  </si>
  <si>
    <t>Jennifer Roach</t>
  </si>
  <si>
    <t>David Stasiewich</t>
  </si>
  <si>
    <t>16,418 (98)</t>
  </si>
  <si>
    <t>Rob Miyashiro</t>
  </si>
  <si>
    <t>Kent Prestage</t>
  </si>
  <si>
    <t>16,116 (126)</t>
  </si>
  <si>
    <t>Shannon Phillips</t>
  </si>
  <si>
    <t>David Walters</t>
  </si>
  <si>
    <t>15,849 (147)</t>
  </si>
  <si>
    <t>Ian Donovan</t>
  </si>
  <si>
    <t>John Kolk</t>
  </si>
  <si>
    <t>Bev Muendel-Atherstone</t>
  </si>
  <si>
    <t>12,493 (52)</t>
  </si>
  <si>
    <t>Evan P. Berger</t>
  </si>
  <si>
    <t>Matthew Halton</t>
  </si>
  <si>
    <t>Alex MacDonald</t>
  </si>
  <si>
    <t>Pat Stier</t>
  </si>
  <si>
    <t>17,849 (75)</t>
  </si>
  <si>
    <t>Darren Hirsch</t>
  </si>
  <si>
    <t>Graham Murray</t>
  </si>
  <si>
    <t>Blake Pedersen</t>
  </si>
  <si>
    <t>Dennis Perrier</t>
  </si>
  <si>
    <t>Matthew B. Sandford</t>
  </si>
  <si>
    <t>13,853 (114)</t>
  </si>
  <si>
    <t>Darcy Davis</t>
  </si>
  <si>
    <t>Garth E. Davis</t>
  </si>
  <si>
    <t>Kristie Krezanoski</t>
  </si>
  <si>
    <t>Bruce Rowe</t>
  </si>
  <si>
    <t>18,009 (66)</t>
  </si>
  <si>
    <t>Alan Forsyth</t>
  </si>
  <si>
    <t>Wanda Laurin</t>
  </si>
  <si>
    <t>Remi Tardif</t>
  </si>
  <si>
    <t>7,791 (29)</t>
  </si>
  <si>
    <t>Brent Chalmers</t>
  </si>
  <si>
    <t>Michael Dawe</t>
  </si>
  <si>
    <t>Derrek Seelinger</t>
  </si>
  <si>
    <t>Randy Weins</t>
  </si>
  <si>
    <t>13,251 (30)</t>
  </si>
  <si>
    <t>Jason Chilibeck</t>
  </si>
  <si>
    <t>Serge Gingras</t>
  </si>
  <si>
    <t>Nathan Stephan</t>
  </si>
  <si>
    <t>Lorna S. Watkinson-Zimmer</t>
  </si>
  <si>
    <t>16,166 (88)</t>
  </si>
  <si>
    <t>Rimbey-Rocky Mountain House-</t>
  </si>
  <si>
    <t>Sundre</t>
  </si>
  <si>
    <t>Doreen Broska</t>
  </si>
  <si>
    <t>14,904 (65)</t>
  </si>
  <si>
    <t>Mason Sisson</t>
  </si>
  <si>
    <t>Nicole Bownes</t>
  </si>
  <si>
    <t>Kim Bugeaud</t>
  </si>
  <si>
    <t>James Burrows</t>
  </si>
  <si>
    <t>Stephen Khan</t>
  </si>
  <si>
    <t>Tim Osborne</t>
  </si>
  <si>
    <t>19,494 (89)</t>
  </si>
  <si>
    <t>Dave Anderson</t>
  </si>
  <si>
    <t>James Ford</t>
  </si>
  <si>
    <t>Garnett Genuis</t>
  </si>
  <si>
    <t>Chris Kuchmak</t>
  </si>
  <si>
    <t>Cathy Olesen</t>
  </si>
  <si>
    <t>Lyndsay Pinder</t>
  </si>
  <si>
    <t>19,173 (130)</t>
  </si>
  <si>
    <t>Spruce Grove-St. Albert</t>
  </si>
  <si>
    <t>Chris Austin</t>
  </si>
  <si>
    <t>Travis Hughes</t>
  </si>
  <si>
    <t>J.J. Trudeau</t>
  </si>
  <si>
    <t>19,702 (81)</t>
  </si>
  <si>
    <t>Arlin Biffert</t>
  </si>
  <si>
    <t>Matthew Burnett</t>
  </si>
  <si>
    <t>Kurtis Ewanchuk</t>
  </si>
  <si>
    <t>Ken Lemke</t>
  </si>
  <si>
    <t>Linda Robinson</t>
  </si>
  <si>
    <t>Hal Tagg</t>
  </si>
  <si>
    <t>16,562 (77)</t>
  </si>
  <si>
    <t>Strathcona-Sherwood Park</t>
  </si>
  <si>
    <t>John C. Murray</t>
  </si>
  <si>
    <t>Paul Nemetchek</t>
  </si>
  <si>
    <t>Michael Scott</t>
  </si>
  <si>
    <t>19,118 (92)</t>
  </si>
  <si>
    <t>Brad Bailey</t>
  </si>
  <si>
    <t>Glen Dundas</t>
  </si>
  <si>
    <t>Alex Wychopen</t>
  </si>
  <si>
    <t>Jason Hale</t>
  </si>
  <si>
    <t>14,676 (60)</t>
  </si>
  <si>
    <t>Corina Ganton</t>
  </si>
  <si>
    <t>Danny Hozack</t>
  </si>
  <si>
    <t>Richard Starke</t>
  </si>
  <si>
    <t>Richard Yaceyko</t>
  </si>
  <si>
    <t>12,041 (52)</t>
  </si>
  <si>
    <t>Stuart Taylor</t>
  </si>
  <si>
    <t>Michael Martyna</t>
  </si>
  <si>
    <t>9,853 (56)</t>
  </si>
  <si>
    <t>Owen Chubb</t>
  </si>
  <si>
    <t>Mike Donnelly</t>
  </si>
  <si>
    <t>Trevor Miller</t>
  </si>
  <si>
    <t>14,326 (77)</t>
  </si>
  <si>
    <t>Maryann Chichak</t>
  </si>
  <si>
    <t>Vern Hardman</t>
  </si>
  <si>
    <t>Blue Knox</t>
  </si>
  <si>
    <t>George VanderBurg</t>
  </si>
  <si>
    <t>13,875 (67)</t>
  </si>
  <si>
    <t>9,809 (69)</t>
  </si>
  <si>
    <t>1,290,352 (7822)</t>
  </si>
  <si>
    <t>Kent Hehr</t>
  </si>
  <si>
    <t>Mike McCracken</t>
  </si>
  <si>
    <t>J. Mark Taylor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</si>
  <si>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</si>
  <si>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John Baloun</t>
  </si>
  <si>
    <t>GENERAL ELECTION-Monday, April 23, 2012</t>
  </si>
  <si>
    <t>Athabasca-Sturgeon-Redwater</t>
  </si>
  <si>
    <t>Barb de Groot</t>
  </si>
  <si>
    <t>Rod Loyola</t>
  </si>
  <si>
    <t>Dennis O'Neill</t>
  </si>
  <si>
    <t>Cristina Basualdo</t>
  </si>
  <si>
    <t xml:space="preserve">87 Members </t>
  </si>
  <si>
    <t>Summary of Results by Electoral Division</t>
  </si>
  <si>
    <t>Valid Votes Received</t>
  </si>
  <si>
    <t>Percentage of Votes Polled</t>
  </si>
  <si>
    <t>Names on List of Electors</t>
  </si>
  <si>
    <t>Percentage of Voter Turnout</t>
  </si>
  <si>
    <t>01 Dunvegan-Central Peace-Notley</t>
  </si>
  <si>
    <t>Rhonda Clarke-Gauthier</t>
  </si>
  <si>
    <t>PC</t>
  </si>
  <si>
    <t>WRP</t>
  </si>
  <si>
    <t>Margaret McCuaig-Boyd</t>
  </si>
  <si>
    <t>NDP</t>
  </si>
  <si>
    <t>02 Lesser Slave Lake</t>
  </si>
  <si>
    <t>Danielle Larivee</t>
  </si>
  <si>
    <t>03 Calgary-Acadia</t>
  </si>
  <si>
    <t>Nicholas Borovsky</t>
  </si>
  <si>
    <t>LIB</t>
  </si>
  <si>
    <t>Brandy Payne</t>
  </si>
  <si>
    <t>04 Calgary-Bow</t>
  </si>
  <si>
    <t>Deborah Drever</t>
  </si>
  <si>
    <t>Matt Gaiser</t>
  </si>
  <si>
    <t>Jonathon Himann</t>
  </si>
  <si>
    <t>AP</t>
  </si>
  <si>
    <t>Byron Nelson</t>
  </si>
  <si>
    <t>David Reid</t>
  </si>
  <si>
    <t>GPA</t>
  </si>
  <si>
    <t>05 Calgary-Buffalo</t>
  </si>
  <si>
    <t>Kathleen Ganley</t>
  </si>
  <si>
    <t>David Khan</t>
  </si>
  <si>
    <t>Sabrina Lee Levac</t>
  </si>
  <si>
    <t>Terry Rock</t>
  </si>
  <si>
    <t>Leah Wamboldt</t>
  </si>
  <si>
    <t>06 Calgary-Cross</t>
  </si>
  <si>
    <t>Manjot Singh Gill</t>
  </si>
  <si>
    <t>Rick Hanson</t>
  </si>
  <si>
    <t>Katherine Le Rougetel</t>
  </si>
  <si>
    <t>IND</t>
  </si>
  <si>
    <t>Moiz Mahmood</t>
  </si>
  <si>
    <t>Peter Meic</t>
  </si>
  <si>
    <t>Ricardo Miranda</t>
  </si>
  <si>
    <t>07 Calgary-Currie</t>
  </si>
  <si>
    <t>Nelson Berlin</t>
  </si>
  <si>
    <t>Terry Devries</t>
  </si>
  <si>
    <t>Tony Norman</t>
  </si>
  <si>
    <t>Shelley Wark-Martyn</t>
  </si>
  <si>
    <t>08 Calgary-East</t>
  </si>
  <si>
    <t>Naser Al-Kukhun</t>
  </si>
  <si>
    <t>CP-A</t>
  </si>
  <si>
    <t>Ali Waissi</t>
  </si>
  <si>
    <t>09 Calgary-Elbow</t>
  </si>
  <si>
    <t>Megan Brown</t>
  </si>
  <si>
    <t>Gordon Dirks</t>
  </si>
  <si>
    <t>SC</t>
  </si>
  <si>
    <t>Catherine Welburn</t>
  </si>
  <si>
    <t>10 Calgary-Fish Creek</t>
  </si>
  <si>
    <t>Richard Gotfried</t>
  </si>
  <si>
    <t>Blaine Maller</t>
  </si>
  <si>
    <t>Jill Moreton</t>
  </si>
  <si>
    <t>Martin Owen</t>
  </si>
  <si>
    <t>Allison Wemyss</t>
  </si>
  <si>
    <t>11 Calgary-Foothills</t>
  </si>
  <si>
    <t>Keelan Frey</t>
  </si>
  <si>
    <t>Ali Bin Zahid</t>
  </si>
  <si>
    <t>12 Calgary-Fort</t>
  </si>
  <si>
    <t>Joe Ceci</t>
  </si>
  <si>
    <t>Vic Goosen</t>
  </si>
  <si>
    <t>Andy Bao Nguyen</t>
  </si>
  <si>
    <t>13 Calgary-Glenmore</t>
  </si>
  <si>
    <t>Anam Kazim</t>
  </si>
  <si>
    <t>Chris Kemp-Jackson</t>
  </si>
  <si>
    <t>Terry Lo</t>
  </si>
  <si>
    <t>Dave Waddington</t>
  </si>
  <si>
    <t>14 Calgary-Greenway</t>
  </si>
  <si>
    <t>Devinder Toor</t>
  </si>
  <si>
    <t>15 Calgary-Hawkwood</t>
  </si>
  <si>
    <t>Beth Barberree</t>
  </si>
  <si>
    <t>Michael Connolly</t>
  </si>
  <si>
    <t>Polly Knowlton Cockett</t>
  </si>
  <si>
    <t>Harbaksh Singh Sekhon</t>
  </si>
  <si>
    <t>Jae Shim</t>
  </si>
  <si>
    <t>16 Calgary-Hays</t>
  </si>
  <si>
    <t>Zachary Doyle</t>
  </si>
  <si>
    <t>Carla Drader</t>
  </si>
  <si>
    <t>Shawn Emran</t>
  </si>
  <si>
    <t>Bob Mailloux</t>
  </si>
  <si>
    <t>Ric Mciver</t>
  </si>
  <si>
    <t>17 Calgary-Klein</t>
  </si>
  <si>
    <t>David Gamble</t>
  </si>
  <si>
    <t>18 Calgary-Lougheed</t>
  </si>
  <si>
    <t>Mihai Ion</t>
  </si>
  <si>
    <t>Leila Keith</t>
  </si>
  <si>
    <t>Mark Mantei</t>
  </si>
  <si>
    <t>19 Calgary-Mackay-Nose Hill</t>
  </si>
  <si>
    <t>Sandy Kevin Aberdeen</t>
  </si>
  <si>
    <t>Prab Lashar</t>
  </si>
  <si>
    <t>Kathy Macdonald</t>
  </si>
  <si>
    <t>Karen M. Mcpherson</t>
  </si>
  <si>
    <t>20 Calgary-Mccall</t>
  </si>
  <si>
    <t>Burhan Khan</t>
  </si>
  <si>
    <t>Avinash S Khangura</t>
  </si>
  <si>
    <t>Irfan Sabir</t>
  </si>
  <si>
    <t>Jagdeep Kaur Sahota</t>
  </si>
  <si>
    <t>21 Calgary-Mountain View</t>
  </si>
  <si>
    <t>Marc Andrew Chikinda</t>
  </si>
  <si>
    <t>Terry Wong</t>
  </si>
  <si>
    <t>22 Calgary-North West</t>
  </si>
  <si>
    <t>Chris Blatch</t>
  </si>
  <si>
    <t>Jeff Callaway</t>
  </si>
  <si>
    <t>Neil Marion</t>
  </si>
  <si>
    <t>Karen Mills</t>
  </si>
  <si>
    <t>23 Calgary-Northern Hills</t>
  </si>
  <si>
    <t>Harry Lin</t>
  </si>
  <si>
    <t>24 Calgary-Shaw</t>
  </si>
  <si>
    <t>Alexander Barrow</t>
  </si>
  <si>
    <t>Brad Leishman</t>
  </si>
  <si>
    <t>Evert Smith</t>
  </si>
  <si>
    <t>Graham Sucha</t>
  </si>
  <si>
    <t>25 Calgary-South East</t>
  </si>
  <si>
    <t>Gladwin Gill</t>
  </si>
  <si>
    <t>Brandon Lunty</t>
  </si>
  <si>
    <t>Jordan Mac Isaac</t>
  </si>
  <si>
    <t>Mirical MacDonald</t>
  </si>
  <si>
    <t>26 Calgary-Varsity</t>
  </si>
  <si>
    <t>Susan Billington</t>
  </si>
  <si>
    <t>Pete Helfrich</t>
  </si>
  <si>
    <t>Stephanie McLean</t>
  </si>
  <si>
    <t>Sharon Polsky</t>
  </si>
  <si>
    <t>27 Calgary-West</t>
  </si>
  <si>
    <t>Mike Ellis</t>
  </si>
  <si>
    <t>Gerard Lucyshyn</t>
  </si>
  <si>
    <t>Mizanur Rahman</t>
  </si>
  <si>
    <t>28 Edmonton-Beverly-Clareview</t>
  </si>
  <si>
    <t>Stephanie Diacon</t>
  </si>
  <si>
    <t>Owais Siddiqui</t>
  </si>
  <si>
    <t>Tomi Yellowface</t>
  </si>
  <si>
    <t>29 Edmonton-Calder</t>
  </si>
  <si>
    <t>Andrew Altimas</t>
  </si>
  <si>
    <t>Amit (Sunny) Batra</t>
  </si>
  <si>
    <t>Thomas (Tom) Bradley</t>
  </si>
  <si>
    <t>30 Edmonton-Castle Downs</t>
  </si>
  <si>
    <t>Nicole Goehring</t>
  </si>
  <si>
    <t>Gerrit Roosenboom</t>
  </si>
  <si>
    <t>Todd Ross</t>
  </si>
  <si>
    <t>31 Edmonton-Centre</t>
  </si>
  <si>
    <t>Joe Byram</t>
  </si>
  <si>
    <t>Greg Keating</t>
  </si>
  <si>
    <t>Catherine Keill</t>
  </si>
  <si>
    <t>Rory Joe Koopmans</t>
  </si>
  <si>
    <t>David Shepherd</t>
  </si>
  <si>
    <t>32 Edmonton-Decore</t>
  </si>
  <si>
    <t>Dean R Miller</t>
  </si>
  <si>
    <t>Chris Nielsen</t>
  </si>
  <si>
    <t>Bradley Lawrence Whalen</t>
  </si>
  <si>
    <t>33 Edmonton-Ellerslie</t>
  </si>
  <si>
    <t>Harman Kandola</t>
  </si>
  <si>
    <t>Mike McGowan</t>
  </si>
  <si>
    <t>34 Edmonton-Glenora</t>
  </si>
  <si>
    <t>Sarah Hoffman</t>
  </si>
  <si>
    <t>Karen Sevcik</t>
  </si>
  <si>
    <t>Chris Vilcsak</t>
  </si>
  <si>
    <t>35 Edmonton-Gold Bar</t>
  </si>
  <si>
    <t>Ronald Brochu</t>
  </si>
  <si>
    <t>Justin J James</t>
  </si>
  <si>
    <t>Cristina Stasia</t>
  </si>
  <si>
    <t>36 Edmonton-Highlands-Norwood</t>
  </si>
  <si>
    <t>Jonathan Weiqun Dai</t>
  </si>
  <si>
    <t>Joshua Loeppky</t>
  </si>
  <si>
    <t>Matthew R. Smith</t>
  </si>
  <si>
    <t>37 Edmonton-Manning</t>
  </si>
  <si>
    <t>Gurcharan Garcha</t>
  </si>
  <si>
    <t>Adam Mounzer</t>
  </si>
  <si>
    <t>Atiq Rehman</t>
  </si>
  <si>
    <t>Heather Sweet</t>
  </si>
  <si>
    <t>38 Edmonton-Mcclung</t>
  </si>
  <si>
    <t>Steve Thompson</t>
  </si>
  <si>
    <t>39 Edmonton-Meadowlark</t>
  </si>
  <si>
    <t>Dan Bildhauer</t>
  </si>
  <si>
    <t>Jon Carson</t>
  </si>
  <si>
    <t>Amber Maze</t>
  </si>
  <si>
    <t>Katherine O'Neill</t>
  </si>
  <si>
    <t>40 Edmonton-Mill Creek</t>
  </si>
  <si>
    <t>Harpreet Gill</t>
  </si>
  <si>
    <t>Saqib Raja</t>
  </si>
  <si>
    <t>41 Edmonton-Mill Woods</t>
  </si>
  <si>
    <t>Aura Leddy</t>
  </si>
  <si>
    <t>Roberto Maglalang</t>
  </si>
  <si>
    <t>Baljit Sall</t>
  </si>
  <si>
    <t>42 Edmonton-Riverview</t>
  </si>
  <si>
    <t>Brandon Beringer</t>
  </si>
  <si>
    <t>Sandra Wolf Lange</t>
  </si>
  <si>
    <t>Donna Wilson</t>
  </si>
  <si>
    <t>43 Edmonton-Rutherford</t>
  </si>
  <si>
    <t>Michael Chan</t>
  </si>
  <si>
    <t>Richard Feehan</t>
  </si>
  <si>
    <t>Chris Labossiere</t>
  </si>
  <si>
    <t>Josef Pisa</t>
  </si>
  <si>
    <t>44 Edmonton-South West</t>
  </si>
  <si>
    <t>Thomas Dang</t>
  </si>
  <si>
    <t>Cole Kander</t>
  </si>
  <si>
    <t>Krishna Tailor</t>
  </si>
  <si>
    <t>45 Edmonton-Strathcona</t>
  </si>
  <si>
    <t>Steve Kochan</t>
  </si>
  <si>
    <t>Shelley Wegner</t>
  </si>
  <si>
    <t>46 Edmonton-Whitemud</t>
  </si>
  <si>
    <t>Kathryn Jackson</t>
  </si>
  <si>
    <t>Stephen Mandel</t>
  </si>
  <si>
    <t>Chad Peters</t>
  </si>
  <si>
    <t>Bob Turner</t>
  </si>
  <si>
    <t>47 Airdrie</t>
  </si>
  <si>
    <t>Peter Brown</t>
  </si>
  <si>
    <t>Jeremy Klug</t>
  </si>
  <si>
    <t>Chris Noble</t>
  </si>
  <si>
    <t>Angela Pitt</t>
  </si>
  <si>
    <t>48 Athabasca-Sturgeon-Redwater</t>
  </si>
  <si>
    <t>Colin Piquette</t>
  </si>
  <si>
    <t>49 Banff-Cochrane</t>
  </si>
  <si>
    <t>Scott Wagner</t>
  </si>
  <si>
    <t>Cameron Westhead</t>
  </si>
  <si>
    <t>50 Barrhead-Morinville-Westlock</t>
  </si>
  <si>
    <t>Tristan Turner</t>
  </si>
  <si>
    <t>Glenn van Dijken</t>
  </si>
  <si>
    <t>51 Battle River-Wainwright</t>
  </si>
  <si>
    <t>Gordon Naylor</t>
  </si>
  <si>
    <t>Blake Prior</t>
  </si>
  <si>
    <t>Wes Taylor</t>
  </si>
  <si>
    <t>52 Bonnyville-Cold Lake</t>
  </si>
  <si>
    <t>Craig Copeland</t>
  </si>
  <si>
    <t>Scott Cyr</t>
  </si>
  <si>
    <t>Rob Fox</t>
  </si>
  <si>
    <t>Josalyne Head</t>
  </si>
  <si>
    <t>53 Cardston-Taber-Warner</t>
  </si>
  <si>
    <t>Delbert Bodnarek</t>
  </si>
  <si>
    <t>Brian Brewin</t>
  </si>
  <si>
    <t>Grant Hunter</t>
  </si>
  <si>
    <t>54 Chestermere-Rocky View</t>
  </si>
  <si>
    <t>Leela Sharon Aheer</t>
  </si>
  <si>
    <t>Coral Bliss Taylor</t>
  </si>
  <si>
    <t>Matt Grant</t>
  </si>
  <si>
    <t>Bruce Mcallister</t>
  </si>
  <si>
    <t>William James Pelech</t>
  </si>
  <si>
    <t>55 Cypress-Medicine Hat</t>
  </si>
  <si>
    <t>Eric Musekamp</t>
  </si>
  <si>
    <t>Bob Olson</t>
  </si>
  <si>
    <t>Bev Waege</t>
  </si>
  <si>
    <t>56 Drayton Valley-Devon</t>
  </si>
  <si>
    <t>Connie Jensen</t>
  </si>
  <si>
    <t>Diana J McQueen</t>
  </si>
  <si>
    <t>Jennifer R Roach</t>
  </si>
  <si>
    <t>Mark Smith</t>
  </si>
  <si>
    <t>Katherine Swampy</t>
  </si>
  <si>
    <t>57 Drumheller-Stettler</t>
  </si>
  <si>
    <t>Emily Shannon</t>
  </si>
  <si>
    <t>Melinda Hollis</t>
  </si>
  <si>
    <t>Brian Jean</t>
  </si>
  <si>
    <t>Ariana Mancini</t>
  </si>
  <si>
    <t>Stephen Drover</t>
  </si>
  <si>
    <t>Robin Le Fevre</t>
  </si>
  <si>
    <t>Tany Yao</t>
  </si>
  <si>
    <t>60 Fort Saskatchewan-Vegreville</t>
  </si>
  <si>
    <t>Allison Anderson</t>
  </si>
  <si>
    <t>Derek Christensen</t>
  </si>
  <si>
    <t>Joe Gosselin</t>
  </si>
  <si>
    <t>Jessica Littlewood</t>
  </si>
  <si>
    <t>61 Grande Prairie-Smoky</t>
  </si>
  <si>
    <t>Todd Russell</t>
  </si>
  <si>
    <t>62 Grande Prairie-Wapiti</t>
  </si>
  <si>
    <t>Laila Goodridge</t>
  </si>
  <si>
    <t>Rory Tarant</t>
  </si>
  <si>
    <t>63 Highwood</t>
  </si>
  <si>
    <t>Martin Blake</t>
  </si>
  <si>
    <t>Carrie Fischer</t>
  </si>
  <si>
    <t>Jeremy Fraser</t>
  </si>
  <si>
    <t>Leslie Mahoney</t>
  </si>
  <si>
    <t>Joel Windsor</t>
  </si>
  <si>
    <t>64 Innisfail-Sylvan Lake</t>
  </si>
  <si>
    <t>Don Macintyre</t>
  </si>
  <si>
    <t>65 Lac La Biche-St. Paul-Two Hills</t>
  </si>
  <si>
    <t>Brian Deheer</t>
  </si>
  <si>
    <t>David Hanson</t>
  </si>
  <si>
    <t>Catherine Harder</t>
  </si>
  <si>
    <t>Darrell Younghans</t>
  </si>
  <si>
    <t>66 Lacombe-Ponoka</t>
  </si>
  <si>
    <t>Peter Dewit</t>
  </si>
  <si>
    <t>Ron Orr</t>
  </si>
  <si>
    <t>67 Leduc-Beaumont</t>
  </si>
  <si>
    <t>Shaye Anderson</t>
  </si>
  <si>
    <t>Josh Drozda</t>
  </si>
  <si>
    <t>Bert Hoogewoonink</t>
  </si>
  <si>
    <t>Sharon Smith</t>
  </si>
  <si>
    <t>68 Lethbridge-East</t>
  </si>
  <si>
    <t>Maria  Fitzpatrick</t>
  </si>
  <si>
    <t>Tammy L Perlich</t>
  </si>
  <si>
    <t>Bill West</t>
  </si>
  <si>
    <t>69 Lethbridge-West</t>
  </si>
  <si>
    <t>Ron Bain</t>
  </si>
  <si>
    <t>Sheila Pyne</t>
  </si>
  <si>
    <t>70 Little Bow</t>
  </si>
  <si>
    <t>David Schneider</t>
  </si>
  <si>
    <t>Caleb Van Der Weide</t>
  </si>
  <si>
    <t>71 Livingstone-Macleod</t>
  </si>
  <si>
    <t>Evan P Berger</t>
  </si>
  <si>
    <t>Aileen Burke</t>
  </si>
  <si>
    <t>72 Medicine Hat</t>
  </si>
  <si>
    <t>Jim Black</t>
  </si>
  <si>
    <t>Val Olson</t>
  </si>
  <si>
    <t>David Andrew Phillips</t>
  </si>
  <si>
    <t>Bob Wanner</t>
  </si>
  <si>
    <t>73 Olds-Didsbury-Three Hills</t>
  </si>
  <si>
    <t>Jim Adamchick</t>
  </si>
  <si>
    <t>Wade Bearchell</t>
  </si>
  <si>
    <t>Nathan Cooper</t>
  </si>
  <si>
    <t>Glenn R Norman</t>
  </si>
  <si>
    <t>74 Peace River</t>
  </si>
  <si>
    <t>Sherry Hilton</t>
  </si>
  <si>
    <t>Debbie Jabbour</t>
  </si>
  <si>
    <t>Nathan Steinke</t>
  </si>
  <si>
    <t>75 Red Deer-North</t>
  </si>
  <si>
    <t>S.H. (Buck) Buchanan</t>
  </si>
  <si>
    <t>Krystal Kromm</t>
  </si>
  <si>
    <t>Christine Moore</t>
  </si>
  <si>
    <t>Kim Schreiner</t>
  </si>
  <si>
    <t>76 Red Deer-South</t>
  </si>
  <si>
    <t>William Berry</t>
  </si>
  <si>
    <t>Deborah Checkel</t>
  </si>
  <si>
    <t>Ben Dubois</t>
  </si>
  <si>
    <t>Barb Miller</t>
  </si>
  <si>
    <t>Darcy Mykytyshyn</t>
  </si>
  <si>
    <t>Norman Wiebe</t>
  </si>
  <si>
    <t>77 Rimbey-Rocky Mountain House-Sundre</t>
  </si>
  <si>
    <t>Tammy Coté</t>
  </si>
  <si>
    <t>Jason Nixon</t>
  </si>
  <si>
    <t>Hannah Schlamp</t>
  </si>
  <si>
    <t>78 Sherwood Park</t>
  </si>
  <si>
    <t>Annie McKitrick</t>
  </si>
  <si>
    <t>Linda Osinchuk</t>
  </si>
  <si>
    <t>79 Spruce Grove-St. Albert</t>
  </si>
  <si>
    <t>Brendon Greene</t>
  </si>
  <si>
    <t>Gary Hanna</t>
  </si>
  <si>
    <t>Trevor Horne</t>
  </si>
  <si>
    <t>Reg Lukasik</t>
  </si>
  <si>
    <t>Rus Matichuk</t>
  </si>
  <si>
    <t>Jaye Walter</t>
  </si>
  <si>
    <t>80 St. Albert</t>
  </si>
  <si>
    <t>Bill Alton</t>
  </si>
  <si>
    <t>Shelley Biermanski</t>
  </si>
  <si>
    <t>Trevor Love</t>
  </si>
  <si>
    <t>Marie Renaud</t>
  </si>
  <si>
    <t>81 Stony Plain</t>
  </si>
  <si>
    <t>Erin Babcock</t>
  </si>
  <si>
    <t>Matt Burnett</t>
  </si>
  <si>
    <t>Mike Hanlon</t>
  </si>
  <si>
    <t>Kathy Rondeau</t>
  </si>
  <si>
    <t>Sandy Simmie</t>
  </si>
  <si>
    <t>82 Strathcona-Sherwood Park</t>
  </si>
  <si>
    <t>Estefania Cortes-Vargas</t>
  </si>
  <si>
    <t>Rob Johnson</t>
  </si>
  <si>
    <t>Lynne Kaiser</t>
  </si>
  <si>
    <t>83 Strathmore-Brooks</t>
  </si>
  <si>
    <t>Einar B. Davison</t>
  </si>
  <si>
    <t>Molly Douglass</t>
  </si>
  <si>
    <t>AFP</t>
  </si>
  <si>
    <t>Derek Fildebrandt</t>
  </si>
  <si>
    <t>Lynn MacWilliam</t>
  </si>
  <si>
    <t>Mike Worthington</t>
  </si>
  <si>
    <t>84 Vermilion-Lloydminster</t>
  </si>
  <si>
    <t>Saba Mossagizi</t>
  </si>
  <si>
    <t>85 West Yellowhead</t>
  </si>
  <si>
    <t>Eric Rosendahl</t>
  </si>
  <si>
    <t>86 Wetaskiwin-Camrose</t>
  </si>
  <si>
    <t>Bill Rock</t>
  </si>
  <si>
    <t>87 Whitecourt-Ste. Anne</t>
  </si>
  <si>
    <t>John Bos</t>
  </si>
  <si>
    <t>Oneil Carlier</t>
  </si>
  <si>
    <t>Party Abbreviations:</t>
  </si>
  <si>
    <t>Communist Party - Alberta</t>
  </si>
  <si>
    <t>Green Party of Alberta</t>
  </si>
  <si>
    <t>Independent (no party affiliation)</t>
  </si>
  <si>
    <t>Alberta Liberal Party</t>
  </si>
  <si>
    <t>Alberta New Democratic Party</t>
  </si>
  <si>
    <t>Progressive Conservative Association of Alberta</t>
  </si>
  <si>
    <t>Alberta Social Credit Party</t>
  </si>
  <si>
    <t>Wildrose Party</t>
  </si>
  <si>
    <t>Electoral Division           (note 1)</t>
  </si>
  <si>
    <t>9,605 (19)</t>
  </si>
  <si>
    <t>9,057 (29)</t>
  </si>
  <si>
    <t>15,858 (113)</t>
  </si>
  <si>
    <t>Provincial General Election</t>
  </si>
  <si>
    <t>Polling Date: May 5, 2015</t>
  </si>
  <si>
    <t>16,429 (91)</t>
  </si>
  <si>
    <t>13,305 (162)</t>
  </si>
  <si>
    <t>12,736 (79)</t>
  </si>
  <si>
    <t>18,553 (89)</t>
  </si>
  <si>
    <t>14,054 (93)</t>
  </si>
  <si>
    <t>20,635 (58)</t>
  </si>
  <si>
    <t>18,833 (42)</t>
  </si>
  <si>
    <t>17,761 (65)</t>
  </si>
  <si>
    <t>14,120 (114)</t>
  </si>
  <si>
    <t>21,158 (102)</t>
  </si>
  <si>
    <t>12,477 (71)</t>
  </si>
  <si>
    <t>20,475 (68)</t>
  </si>
  <si>
    <t>17,436 (34)</t>
  </si>
  <si>
    <t>18,286 (219)</t>
  </si>
  <si>
    <t>16,974 (220)</t>
  </si>
  <si>
    <t>16,760 (91)</t>
  </si>
  <si>
    <t>12,730 (151)</t>
  </si>
  <si>
    <t>19,646 (64)</t>
  </si>
  <si>
    <t>19,318 (96)</t>
  </si>
  <si>
    <t>17,376 (122)</t>
  </si>
  <si>
    <t>17,427 (75)</t>
  </si>
  <si>
    <t>23,591 (118)</t>
  </si>
  <si>
    <t>18,881 (106)</t>
  </si>
  <si>
    <t>17,764 (97)</t>
  </si>
  <si>
    <t>16,327 (73)</t>
  </si>
  <si>
    <t>18,151 (42)</t>
  </si>
  <si>
    <t>18,134 (69)</t>
  </si>
  <si>
    <t>16,517 (64)</t>
  </si>
  <si>
    <t>15,508 (68)</t>
  </si>
  <si>
    <t>17,921 (83)</t>
  </si>
  <si>
    <t>18,223 (86)</t>
  </si>
  <si>
    <t>22,282 (112)</t>
  </si>
  <si>
    <t>14,794 (115)</t>
  </si>
  <si>
    <t>17,226 (630)</t>
  </si>
  <si>
    <t>17,001 (85)</t>
  </si>
  <si>
    <t>17,199 (57)</t>
  </si>
  <si>
    <t>16,134 (59)</t>
  </si>
  <si>
    <t>15,310 (77)</t>
  </si>
  <si>
    <t>19,287 (87)</t>
  </si>
  <si>
    <t>17,539 (64)</t>
  </si>
  <si>
    <t>22,700 (102)</t>
  </si>
  <si>
    <t>16,492 (149)</t>
  </si>
  <si>
    <t>22,289 (68)</t>
  </si>
  <si>
    <t>21,379 (103)</t>
  </si>
  <si>
    <t>16,786 (50)</t>
  </si>
  <si>
    <t>19,673 (86)</t>
  </si>
  <si>
    <t>18,314 (59)</t>
  </si>
  <si>
    <t>16,226 (41)</t>
  </si>
  <si>
    <t>11,810 (39)</t>
  </si>
  <si>
    <t>12,267 (18)</t>
  </si>
  <si>
    <t>20,725 (91)</t>
  </si>
  <si>
    <t>15,662 (41)</t>
  </si>
  <si>
    <t>16,974 (34)</t>
  </si>
  <si>
    <t>15,885 (42)</t>
  </si>
  <si>
    <t>6,727 (39)</t>
  </si>
  <si>
    <t>58 Fort McMurray-Conklin</t>
  </si>
  <si>
    <t>59 Fort McMurray-Wood Buffalo</t>
  </si>
  <si>
    <t>9,581 (42)</t>
  </si>
  <si>
    <t>19,553 (88)</t>
  </si>
  <si>
    <t>16,107 (42)</t>
  </si>
  <si>
    <t>17,514 (37)</t>
  </si>
  <si>
    <t>20,707 (76)</t>
  </si>
  <si>
    <t>18,344 (59)</t>
  </si>
  <si>
    <t>12,320 (61)</t>
  </si>
  <si>
    <t>18,207 (61)</t>
  </si>
  <si>
    <t>22,002 (81)</t>
  </si>
  <si>
    <t>18,780 (42)</t>
  </si>
  <si>
    <t>18,779 (145)</t>
  </si>
  <si>
    <t>13,586 (42)</t>
  </si>
  <si>
    <t>18,458 (69)</t>
  </si>
  <si>
    <t>16,245 (57)</t>
  </si>
  <si>
    <t>20,017 (79)</t>
  </si>
  <si>
    <t>9,705 (20)</t>
  </si>
  <si>
    <t>16,923 (58)</t>
  </si>
  <si>
    <t>19,589 (58)</t>
  </si>
  <si>
    <t>16,628 (70)</t>
  </si>
  <si>
    <t>21,835 (112)</t>
  </si>
  <si>
    <t>24,805 (44)</t>
  </si>
  <si>
    <t>22,689 (56)</t>
  </si>
  <si>
    <t>19,213 (66)</t>
  </si>
  <si>
    <t>22,006 (72)</t>
  </si>
  <si>
    <t>16,465 (36)</t>
  </si>
  <si>
    <t>12,534 (55)</t>
  </si>
  <si>
    <t>10,623 (52)</t>
  </si>
  <si>
    <t>17,167 (76)</t>
  </si>
  <si>
    <t>15,159 (79)</t>
  </si>
  <si>
    <t>TOTAL</t>
  </si>
  <si>
    <t>1,488,248 (7156)</t>
  </si>
  <si>
    <t>Wednesday, March 14,1979</t>
  </si>
  <si>
    <t>Robert Blain Logan</t>
  </si>
  <si>
    <t>Alberta Liberal</t>
  </si>
  <si>
    <t>Ernest W. Maser</t>
  </si>
  <si>
    <t>Alberta Social Credit</t>
  </si>
  <si>
    <t>Thomas McArthur</t>
  </si>
  <si>
    <t>Bob Ritchie</t>
  </si>
  <si>
    <t>Morna F. Schechtel</t>
  </si>
  <si>
    <t>David Bouyea</t>
  </si>
  <si>
    <t>Johm V. Murphy</t>
  </si>
  <si>
    <t>Lionel Udenberg</t>
  </si>
  <si>
    <t>Donalk Appleby</t>
  </si>
  <si>
    <t>Edward Stepanik</t>
  </si>
  <si>
    <t>Paul Bartlett</t>
  </si>
  <si>
    <t>Fred Mandeville</t>
  </si>
  <si>
    <t>Brian Nearing</t>
  </si>
  <si>
    <t>Ron Wickson</t>
  </si>
  <si>
    <t>Jim Beale</t>
  </si>
  <si>
    <t>Adela Polancec</t>
  </si>
  <si>
    <t>Clive Scott</t>
  </si>
  <si>
    <t>Communist Party Alberta</t>
  </si>
  <si>
    <t>Lloyd Hamilton</t>
  </si>
  <si>
    <t>Brian Rees</t>
  </si>
  <si>
    <t>Jim Rocker</t>
  </si>
  <si>
    <t>Charles S. Dunkley</t>
  </si>
  <si>
    <t>Marta Coldham</t>
  </si>
  <si>
    <t>Albert Downton</t>
  </si>
  <si>
    <t>Merv Leitch</t>
  </si>
  <si>
    <t>Muriel McCreary</t>
  </si>
  <si>
    <t>William J. Oxendale</t>
  </si>
  <si>
    <t>Patricia (Pat) Sveen</t>
  </si>
  <si>
    <t>Al Green</t>
  </si>
  <si>
    <t>Jerry Sykes</t>
  </si>
  <si>
    <t>Margaret Young</t>
  </si>
  <si>
    <t>Steve G. Arnett</t>
  </si>
  <si>
    <t>Catherine Maureen Fitzpatrick</t>
  </si>
  <si>
    <t>Lorraine Law</t>
  </si>
  <si>
    <t>Stewart Alden McCrae</t>
  </si>
  <si>
    <t>Marg Bogstie</t>
  </si>
  <si>
    <t>Don Howes</t>
  </si>
  <si>
    <t>Doug Murdoch</t>
  </si>
  <si>
    <t>John Sutherland</t>
  </si>
  <si>
    <t>Neil Ellison</t>
  </si>
  <si>
    <t>Ernie (Kaz) Kaszas</t>
  </si>
  <si>
    <t>Ron Chahal</t>
  </si>
  <si>
    <t>Dave Hammond</t>
  </si>
  <si>
    <t>Andy Little</t>
  </si>
  <si>
    <t>Michael J. Parker</t>
  </si>
  <si>
    <t>Jim Richards</t>
  </si>
  <si>
    <t>Jack Dale</t>
  </si>
  <si>
    <t>John Gleason</t>
  </si>
  <si>
    <t>Jerry Melchin</t>
  </si>
  <si>
    <t>Bob Cox</t>
  </si>
  <si>
    <t>Art Dixon</t>
  </si>
  <si>
    <t>Stan Johns</t>
  </si>
  <si>
    <t>John Donnachie</t>
  </si>
  <si>
    <t>Stan Kushner</t>
  </si>
  <si>
    <t>Scott Saville</t>
  </si>
  <si>
    <t>Martin Serediak</t>
  </si>
  <si>
    <t>John J. Jasienczyk</t>
  </si>
  <si>
    <t>Dennis Shupe</t>
  </si>
  <si>
    <t>George R. D. Goulet</t>
  </si>
  <si>
    <t>Harold Gunderson</t>
  </si>
  <si>
    <t>Jacob H. Binnema</t>
  </si>
  <si>
    <t>Frank Cottingham</t>
  </si>
  <si>
    <t>Independent Christian</t>
  </si>
  <si>
    <t>Art Bunney</t>
  </si>
  <si>
    <t>John R. Shores</t>
  </si>
  <si>
    <t>R.A. Sorenson</t>
  </si>
  <si>
    <t>AlbertaNew Democratic Party</t>
  </si>
  <si>
    <t>Rosemarie M. Buchanan</t>
  </si>
  <si>
    <t>B. G. Jacobs</t>
  </si>
  <si>
    <t>Paul Shaw</t>
  </si>
  <si>
    <t>Sheila Noonan</t>
  </si>
  <si>
    <t>John W. Oberg</t>
  </si>
  <si>
    <t>Arlie Reil</t>
  </si>
  <si>
    <t xml:space="preserve">Alan M. F. Dunn </t>
  </si>
  <si>
    <t>Graham Griffiths</t>
  </si>
  <si>
    <t>C. G. (Butch) Thomlinson</t>
  </si>
  <si>
    <t>Vern Beck</t>
  </si>
  <si>
    <t>Carl Pattison</t>
  </si>
  <si>
    <t>Gerry Hutchinson</t>
  </si>
  <si>
    <t>Harold Knopke</t>
  </si>
  <si>
    <t>Phil Turner</t>
  </si>
  <si>
    <t>Lewis (Mickey) Clark</t>
  </si>
  <si>
    <t>Charles J. Dirk</t>
  </si>
  <si>
    <t>Ken Taylor</t>
  </si>
  <si>
    <t>Olga Blondheim</t>
  </si>
  <si>
    <t>Betty Ann Dumbeck</t>
  </si>
  <si>
    <t>Walter Zucht</t>
  </si>
  <si>
    <t>Charalee Graydon</t>
  </si>
  <si>
    <t>Haddie Jahner</t>
  </si>
  <si>
    <t>Bill Mack</t>
  </si>
  <si>
    <t>Ron Mix</t>
  </si>
  <si>
    <t>Teresa McKerral</t>
  </si>
  <si>
    <t>Gene Mitchell</t>
  </si>
  <si>
    <t>Pat G. A. O'Hara</t>
  </si>
  <si>
    <t>Richard Guthrie</t>
  </si>
  <si>
    <t>Bill Kobluk</t>
  </si>
  <si>
    <t>Dan R. Service</t>
  </si>
  <si>
    <t>Robert J. (Bob) Dunseith</t>
  </si>
  <si>
    <t>Mary Jean LeMessurier</t>
  </si>
  <si>
    <t>Harry Cassidy Midgley</t>
  </si>
  <si>
    <t>Ron Hayter</t>
  </si>
  <si>
    <t>Doug Trace</t>
  </si>
  <si>
    <t>David (Dave) Panar</t>
  </si>
  <si>
    <t>Patrice Taylor</t>
  </si>
  <si>
    <t>David Stewart</t>
  </si>
  <si>
    <t>Kathleen Wright</t>
  </si>
  <si>
    <t>Ace Cetinski</t>
  </si>
  <si>
    <t>Clifford Gladue</t>
  </si>
  <si>
    <t>Roger Lavoie</t>
  </si>
  <si>
    <t>Sam Motrich</t>
  </si>
  <si>
    <t>Ted Power</t>
  </si>
  <si>
    <t>William Tuomi</t>
  </si>
  <si>
    <t>Gerald F. (Jerry) Paschen</t>
  </si>
  <si>
    <t>Ralph Frank Watzke</t>
  </si>
  <si>
    <t>Charlie Wood</t>
  </si>
  <si>
    <t>Martin Hattersly</t>
  </si>
  <si>
    <t>Eddie Keehn</t>
  </si>
  <si>
    <t>Ken Paproski</t>
  </si>
  <si>
    <t>Dorothy A. Richardson</t>
  </si>
  <si>
    <t>Ron Charko</t>
  </si>
  <si>
    <t>Russ Forsythe</t>
  </si>
  <si>
    <t>C.A. Doug Ringrose</t>
  </si>
  <si>
    <t>Gerard  (Gerry) Amerongen</t>
  </si>
  <si>
    <t>Rose MacPherson</t>
  </si>
  <si>
    <t>L. (Les) Owre</t>
  </si>
  <si>
    <t>R. (Rudy) Rodriques</t>
  </si>
  <si>
    <t>Kimball Cariou</t>
  </si>
  <si>
    <t>Walter G. Coombs</t>
  </si>
  <si>
    <t>Mike Ekelund</t>
  </si>
  <si>
    <t>Phillip Lister</t>
  </si>
  <si>
    <t>Morley MacCalder</t>
  </si>
  <si>
    <t>Jim Denholm</t>
  </si>
  <si>
    <t>Oran Johnson</t>
  </si>
  <si>
    <t>Gerry Ball</t>
  </si>
  <si>
    <t>E.J.C. Charman</t>
  </si>
  <si>
    <t>Joseph Hill</t>
  </si>
  <si>
    <t>George Walton</t>
  </si>
  <si>
    <t>Gordon S.B. Wright</t>
  </si>
  <si>
    <t>Independent P.C.</t>
  </si>
  <si>
    <t>Larry (L.J.)  Heth</t>
  </si>
  <si>
    <t>Peter Knaak</t>
  </si>
  <si>
    <t>Don Milliken</t>
  </si>
  <si>
    <t>Herbert Maris</t>
  </si>
  <si>
    <t>W.L. Land</t>
  </si>
  <si>
    <t>Ron Hodgins</t>
  </si>
  <si>
    <t>Elmer Borstad</t>
  </si>
  <si>
    <t>Helen Rice</t>
  </si>
  <si>
    <t>Donald (D.L.) Wood</t>
  </si>
  <si>
    <t>Don Dixon</t>
  </si>
  <si>
    <t>George Wolstenholme</t>
  </si>
  <si>
    <t>Janet Gratton</t>
  </si>
  <si>
    <t>Tim Guilbault</t>
  </si>
  <si>
    <t>Stuart Little</t>
  </si>
  <si>
    <t>Denise Diesel</t>
  </si>
  <si>
    <t>Claire E. Williscroft</t>
  </si>
  <si>
    <t>Conrad Sehn</t>
  </si>
  <si>
    <t>Gordon Crofton</t>
  </si>
  <si>
    <t>Peter Moore</t>
  </si>
  <si>
    <t>Mike Poulter</t>
  </si>
  <si>
    <t>Ken R. Kotkas</t>
  </si>
  <si>
    <t>Roxie McCallum</t>
  </si>
  <si>
    <t>Frank Merkl</t>
  </si>
  <si>
    <t>Roger Rickwood</t>
  </si>
  <si>
    <t>Independent-Conservative</t>
  </si>
  <si>
    <t>Ron Clark</t>
  </si>
  <si>
    <t>Bob Wilson</t>
  </si>
  <si>
    <t>John W. Fujimagari</t>
  </si>
  <si>
    <t>Richard (Dick) Papworth</t>
  </si>
  <si>
    <t>Ray Speaker</t>
  </si>
  <si>
    <t>Gregory R. Berry</t>
  </si>
  <si>
    <t>Einar A. Jonson</t>
  </si>
  <si>
    <t>Patrick A. Moore</t>
  </si>
  <si>
    <t>Roelof A. Heinen</t>
  </si>
  <si>
    <t>Alfred Saddleback</t>
  </si>
  <si>
    <t>Lee Anderson</t>
  </si>
  <si>
    <t>Louise Mercier</t>
  </si>
  <si>
    <t>Frances Ost</t>
  </si>
  <si>
    <t>Bob Clark</t>
  </si>
  <si>
    <t>Bill Edgar</t>
  </si>
  <si>
    <t>Gregory Hoffarth</t>
  </si>
  <si>
    <t>Stephen Shaw</t>
  </si>
  <si>
    <t>Richard (Rick) Collins</t>
  </si>
  <si>
    <t>Donald W. Freeland</t>
  </si>
  <si>
    <t>Garry Gaudet</t>
  </si>
  <si>
    <t>Fred  Bradley</t>
  </si>
  <si>
    <t>Ian Downie</t>
  </si>
  <si>
    <t>Ann Gill</t>
  </si>
  <si>
    <t>Robert (Bob) Westrop</t>
  </si>
  <si>
    <t>Bruce A. Beck</t>
  </si>
  <si>
    <t>Gus Itzek</t>
  </si>
  <si>
    <t>Roy Kinley</t>
  </si>
  <si>
    <t>Donald J. McCrimmon</t>
  </si>
  <si>
    <t>Hubert Bouten</t>
  </si>
  <si>
    <t>Norman F. Magee</t>
  </si>
  <si>
    <t>Ken McMillan</t>
  </si>
  <si>
    <t>Erwin Hannig</t>
  </si>
  <si>
    <t>Rudolph Pisesky</t>
  </si>
  <si>
    <t>Roger Hamilton</t>
  </si>
  <si>
    <t>Anne Hemmingway</t>
  </si>
  <si>
    <t>Bernard Lamoureux</t>
  </si>
  <si>
    <t>Stephen V. Marchand</t>
  </si>
  <si>
    <t>Terry Fletcher</t>
  </si>
  <si>
    <t xml:space="preserve">Aubrey Milner </t>
  </si>
  <si>
    <t>W. Grant Notley</t>
  </si>
  <si>
    <t>Jim Reynolds</t>
  </si>
  <si>
    <t>Robert (Bob) Borreson</t>
  </si>
  <si>
    <t>Reginald C. Petch</t>
  </si>
  <si>
    <t>Gerry Thibault</t>
  </si>
  <si>
    <t>Douglas Cramer</t>
  </si>
  <si>
    <t>David Thomas</t>
  </si>
  <si>
    <t>Orest Boyko</t>
  </si>
  <si>
    <t>John Hull</t>
  </si>
  <si>
    <t>Sara Johnson</t>
  </si>
  <si>
    <t>Eleanor T. Louden</t>
  </si>
  <si>
    <t>Andy R. McKinnon</t>
  </si>
  <si>
    <t>W.F. (Bill) Purdy</t>
  </si>
  <si>
    <t>Oscar Venoasen</t>
  </si>
  <si>
    <t>Paul Primeau</t>
  </si>
  <si>
    <t>Larry Schowalter</t>
  </si>
  <si>
    <t>Jessie Snow</t>
  </si>
  <si>
    <t>Henry Goerzen</t>
  </si>
  <si>
    <t>Hugh Sommerville</t>
  </si>
  <si>
    <t>Ward Sykes</t>
  </si>
  <si>
    <t>Harry Babchuk</t>
  </si>
  <si>
    <t>Robert E. Robert</t>
  </si>
  <si>
    <t>Alan Arthur Vinet</t>
  </si>
  <si>
    <t>Doug Livingstone</t>
  </si>
  <si>
    <t>Ralph A. Wilson</t>
  </si>
  <si>
    <t>Keith Cornish</t>
  </si>
  <si>
    <t>Alan Richards</t>
  </si>
  <si>
    <t>Charles Stewart</t>
  </si>
  <si>
    <t>Sultan Tejani</t>
  </si>
  <si>
    <t>Brian King</t>
  </si>
  <si>
    <t>Reinhold Ortlieb</t>
  </si>
  <si>
    <t>Earl  Rasmuson</t>
  </si>
  <si>
    <t>Dallas Schmidt</t>
  </si>
  <si>
    <t>Ken Forscutt</t>
  </si>
  <si>
    <t>2. Percent Voting = (Votes Received +  declined and rejected ballots) / Eligible Electors.</t>
  </si>
  <si>
    <t xml:space="preserve">Votes Received </t>
  </si>
  <si>
    <r>
      <t xml:space="preserve">Percent Voting </t>
    </r>
    <r>
      <rPr>
        <b/>
        <sz val="8"/>
        <rFont val="Times New Roman"/>
        <family val="1"/>
      </rPr>
      <t>(Note 2)</t>
    </r>
  </si>
  <si>
    <t>Hugh F. Horner</t>
  </si>
  <si>
    <t>George Nordstom</t>
  </si>
  <si>
    <t>Jerry Arshinoff</t>
  </si>
  <si>
    <t>Walt A. Buck</t>
  </si>
  <si>
    <t>Ray Garrett</t>
  </si>
  <si>
    <t>Victor Nakonechny</t>
  </si>
  <si>
    <t>Independent - F.A.L.I.N.E</t>
  </si>
  <si>
    <t>3. Percentage of voter turnout may not sum to 100% due to rounding.</t>
  </si>
  <si>
    <t>Jack W. Cookson</t>
  </si>
  <si>
    <t>Roger C. Holteen</t>
  </si>
  <si>
    <t>Elmer Suominen</t>
  </si>
  <si>
    <t>Art Wigmore</t>
  </si>
  <si>
    <t>Kathleen M. Cairns</t>
  </si>
  <si>
    <t>Graham Harle</t>
  </si>
  <si>
    <t>Charles E. Anderson</t>
  </si>
  <si>
    <t>GENERAL ELECTION</t>
  </si>
  <si>
    <t>Wednesday, March 26,1975</t>
  </si>
  <si>
    <t xml:space="preserve">75 Members </t>
  </si>
  <si>
    <t>Peter Hupka</t>
  </si>
  <si>
    <t>John Murphy</t>
  </si>
  <si>
    <t>Banff</t>
  </si>
  <si>
    <t>Fred Kidd</t>
  </si>
  <si>
    <t>Merlyn Kirk</t>
  </si>
  <si>
    <t>Wayne Getty</t>
  </si>
  <si>
    <t>Morna Schechtel</t>
  </si>
  <si>
    <t>Hugh Horner</t>
  </si>
  <si>
    <t>Bill Seatter</t>
  </si>
  <si>
    <t>Arlington Corbett</t>
  </si>
  <si>
    <t>Donald Hansen</t>
  </si>
  <si>
    <t>Franklin Foster</t>
  </si>
  <si>
    <t>Ron Pernarowski</t>
  </si>
  <si>
    <t>Jim C. George</t>
  </si>
  <si>
    <t>Syd Evans</t>
  </si>
  <si>
    <t>Roy Wilson</t>
  </si>
  <si>
    <t>Jack Dunbar</t>
  </si>
  <si>
    <t>Mike Prohaszka</t>
  </si>
  <si>
    <t>David WhtieField</t>
  </si>
  <si>
    <t>Ron Ghitter</t>
  </si>
  <si>
    <t>Maria Eriksen</t>
  </si>
  <si>
    <t>Paula Davies</t>
  </si>
  <si>
    <t>Norman Ashmead</t>
  </si>
  <si>
    <t>Fred Peacock</t>
  </si>
  <si>
    <t>Edwin Ens</t>
  </si>
  <si>
    <t>Hiram Coulter</t>
  </si>
  <si>
    <t>Jack Haggarty</t>
  </si>
  <si>
    <t>Lloyd Downey</t>
  </si>
  <si>
    <t>Maureen McCutcheon</t>
  </si>
  <si>
    <t>Dave  Russell</t>
  </si>
  <si>
    <t>Sharon Carstairs</t>
  </si>
  <si>
    <t>Bernard Laing</t>
  </si>
  <si>
    <t>Jack Peters</t>
  </si>
  <si>
    <t>Stewart McCrae</t>
  </si>
  <si>
    <t>Bill Campbell</t>
  </si>
  <si>
    <t>Ken Gee</t>
  </si>
  <si>
    <t>Hilda Armstrong</t>
  </si>
  <si>
    <t>Acker Winn</t>
  </si>
  <si>
    <t>David Gutnick</t>
  </si>
  <si>
    <t>Hugh Planche</t>
  </si>
  <si>
    <t>Ralph Cameron</t>
  </si>
  <si>
    <t>Bill Peterson</t>
  </si>
  <si>
    <t>George Ho Lem</t>
  </si>
  <si>
    <t>Doreen Heath</t>
  </si>
  <si>
    <t>Garry Willis</t>
  </si>
  <si>
    <t>Colin Constant</t>
  </si>
  <si>
    <t>Allen Howard</t>
  </si>
  <si>
    <t>Pat Smart</t>
  </si>
  <si>
    <t>Tom Donnelly</t>
  </si>
  <si>
    <t>Jodi Mahoney</t>
  </si>
  <si>
    <t>Mike Daniels</t>
  </si>
  <si>
    <t>John Kushmer</t>
  </si>
  <si>
    <t>Orrin Kerr</t>
  </si>
  <si>
    <t>Roy Farran</t>
  </si>
  <si>
    <t>Bob Simpson</t>
  </si>
  <si>
    <t>Joan Ryan</t>
  </si>
  <si>
    <t>Dorothy groves</t>
  </si>
  <si>
    <t>Stephen Whitefield</t>
  </si>
  <si>
    <t>Charles Gray</t>
  </si>
  <si>
    <t>Steve Shaw</t>
  </si>
  <si>
    <t>Ray Reid</t>
  </si>
  <si>
    <t>David Moore</t>
  </si>
  <si>
    <t>Roy Sprackman</t>
  </si>
  <si>
    <t>Kelty Paul</t>
  </si>
  <si>
    <t>Walter Buck</t>
  </si>
  <si>
    <t>Murray Finnerty</t>
  </si>
  <si>
    <t>Duncan McArthur</t>
  </si>
  <si>
    <t>David Cooke</t>
  </si>
  <si>
    <t>Barry Berhart</t>
  </si>
  <si>
    <t>Margaret Dragland</t>
  </si>
  <si>
    <t>Rusty Zander</t>
  </si>
  <si>
    <t>Lars Larson</t>
  </si>
  <si>
    <t>Tom Johnson</t>
  </si>
  <si>
    <t>Maurice Duteau</t>
  </si>
  <si>
    <t>Gordon Taylor</t>
  </si>
  <si>
    <t>Independent Social Credit</t>
  </si>
  <si>
    <t>Whyne Ohlhauser</t>
  </si>
  <si>
    <t>Joe Radstaak</t>
  </si>
  <si>
    <t>Neil Larsen</t>
  </si>
  <si>
    <t>Ann Mazur</t>
  </si>
  <si>
    <t>Mike Uhryn</t>
  </si>
  <si>
    <t>Constitutional Socialist Party</t>
  </si>
  <si>
    <t>Bert Hohol</t>
  </si>
  <si>
    <t>Ashley Pachal</t>
  </si>
  <si>
    <t>John Day</t>
  </si>
  <si>
    <t>Chris Hansen</t>
  </si>
  <si>
    <t>Patrick Moore</t>
  </si>
  <si>
    <t>Rudy Pisesky</t>
  </si>
  <si>
    <t>Paul Jarbeau</t>
  </si>
  <si>
    <t>Burke Barker</t>
  </si>
  <si>
    <t>Jack Pickett</t>
  </si>
  <si>
    <t>Keith Lawson</t>
  </si>
  <si>
    <t>Idependent</t>
  </si>
  <si>
    <t>Gordon Miniely</t>
  </si>
  <si>
    <t>Barry Roberts</t>
  </si>
  <si>
    <t>Ed Molstad</t>
  </si>
  <si>
    <t>Gerry Beck</t>
  </si>
  <si>
    <t>Al Opstad</t>
  </si>
  <si>
    <t>William Askin</t>
  </si>
  <si>
    <t>Bill Yurko</t>
  </si>
  <si>
    <t>Grant Arnold</t>
  </si>
  <si>
    <t>Larry Latter</t>
  </si>
  <si>
    <t>Don Hoyda</t>
  </si>
  <si>
    <t>Harry Strynadka</t>
  </si>
  <si>
    <t>Muriel Venne</t>
  </si>
  <si>
    <t>Ambrose Holowach</t>
  </si>
  <si>
    <t>Bill Tuomi</t>
  </si>
  <si>
    <t>Carol Berry</t>
  </si>
  <si>
    <t>Don Eastcott</t>
  </si>
  <si>
    <t>Jane Weaver</t>
  </si>
  <si>
    <t>Roy Landreth</t>
  </si>
  <si>
    <t>Harvey Tilden</t>
  </si>
  <si>
    <t>Vic Yanda</t>
  </si>
  <si>
    <t>Howard Rubin</t>
  </si>
  <si>
    <t>Gary Hansen</t>
  </si>
  <si>
    <t>Edmonton-Ottewell</t>
  </si>
  <si>
    <t>John Ashton</t>
  </si>
  <si>
    <t>Irvine Zemrau</t>
  </si>
  <si>
    <t>Brian Fish</t>
  </si>
  <si>
    <t>Glen Carlson</t>
  </si>
  <si>
    <t>Brian Erickson</t>
  </si>
  <si>
    <t>Betty Horch</t>
  </si>
  <si>
    <t>Arthur Yates</t>
  </si>
  <si>
    <t>Harry Garfinkel</t>
  </si>
  <si>
    <t>Don Gretty</t>
  </si>
  <si>
    <t>Lila Fahlman</t>
  </si>
  <si>
    <t>Phil Dickson</t>
  </si>
  <si>
    <t>Dilys Anderson</t>
  </si>
  <si>
    <t>Bob Dowling</t>
  </si>
  <si>
    <t>John Lindsay</t>
  </si>
  <si>
    <t>Ralph Bond</t>
  </si>
  <si>
    <t>Wonston Backus</t>
  </si>
  <si>
    <t>Ross Campbell</t>
  </si>
  <si>
    <t>John Baergen</t>
  </si>
  <si>
    <t>Gordon Astle</t>
  </si>
  <si>
    <t>Hanna-Oyen</t>
  </si>
  <si>
    <t>Jack Butler</t>
  </si>
  <si>
    <t>Alfred Weik</t>
  </si>
  <si>
    <t>Lyakk Curry</t>
  </si>
  <si>
    <t>David Urichuk</t>
  </si>
  <si>
    <t>Ed Benoit</t>
  </si>
  <si>
    <t>Melbe Cochlan</t>
  </si>
  <si>
    <t>Cliff Doan</t>
  </si>
  <si>
    <t>Pat Loughlin</t>
  </si>
  <si>
    <t>Fred Monk</t>
  </si>
  <si>
    <t>Jack Cookson</t>
  </si>
  <si>
    <t>Ivan Stonehocker</t>
  </si>
  <si>
    <t>Ed Kamps</t>
  </si>
  <si>
    <t>Ron Tesolin</t>
  </si>
  <si>
    <t>Mike Chandi</t>
  </si>
  <si>
    <t>Jean Davidson</t>
  </si>
  <si>
    <t>Ken Cochrane</t>
  </si>
  <si>
    <t>Ronald Morgan</t>
  </si>
  <si>
    <t>Dennis Barton</t>
  </si>
  <si>
    <t>John Tomkins</t>
  </si>
  <si>
    <t>John Anderson</t>
  </si>
  <si>
    <t>Bessie Annand</t>
  </si>
  <si>
    <t>Shirley Wilson</t>
  </si>
  <si>
    <t>Dick Gruenwald</t>
  </si>
  <si>
    <t>Raymond Speaker</t>
  </si>
  <si>
    <t>George McMorris</t>
  </si>
  <si>
    <t>Wayne Doolittle</t>
  </si>
  <si>
    <t>Dave Listoe</t>
  </si>
  <si>
    <t>John Walker</t>
  </si>
  <si>
    <t>Leighton Buckwell</t>
  </si>
  <si>
    <t>Kay Cairns</t>
  </si>
  <si>
    <t>Bill Olafson</t>
  </si>
  <si>
    <t>Medicine Hat-Redcliff</t>
  </si>
  <si>
    <t>Robert Clark</t>
  </si>
  <si>
    <t>Bill Wyse</t>
  </si>
  <si>
    <t>David Wilkins</t>
  </si>
  <si>
    <t>Bill Hartley</t>
  </si>
  <si>
    <t>Hilory Sorschan</t>
  </si>
  <si>
    <t>Kenneth Amthor</t>
  </si>
  <si>
    <t>Margaret Hinton</t>
  </si>
  <si>
    <t>John Hokanson</t>
  </si>
  <si>
    <t>Budd Dennis</t>
  </si>
  <si>
    <t>Vera Lane</t>
  </si>
  <si>
    <t>Charles Drain</t>
  </si>
  <si>
    <t>David Elliot</t>
  </si>
  <si>
    <t>Gwen Gyulai</t>
  </si>
  <si>
    <t>Alvin Goetz</t>
  </si>
  <si>
    <t>Boug Lier</t>
  </si>
  <si>
    <t xml:space="preserve">Jim Foster </t>
  </si>
  <si>
    <t>Cecil Spiers</t>
  </si>
  <si>
    <t>Herb Fielding</t>
  </si>
  <si>
    <t>Graham Crosbie</t>
  </si>
  <si>
    <t>Neil Stenberg</t>
  </si>
  <si>
    <t>Helen Hunley</t>
  </si>
  <si>
    <t>Harvey Staudinger</t>
  </si>
  <si>
    <t>Morris Jenson</t>
  </si>
  <si>
    <t>Victor Tardif</t>
  </si>
  <si>
    <t>Obert Amundson</t>
  </si>
  <si>
    <t>John Hinks</t>
  </si>
  <si>
    <t>Alex Woronuk</t>
  </si>
  <si>
    <t>Keith Everitt</t>
  </si>
  <si>
    <t>Earl Toane</t>
  </si>
  <si>
    <t>John Bakker</t>
  </si>
  <si>
    <t>James Mah</t>
  </si>
  <si>
    <t>William Cook</t>
  </si>
  <si>
    <t>Dean Throness</t>
  </si>
  <si>
    <t>Betty Howery</t>
  </si>
  <si>
    <t>Arthur Killoran</t>
  </si>
  <si>
    <t>Miick Fluker</t>
  </si>
  <si>
    <t>Johon Hull</t>
  </si>
  <si>
    <t>Pierre Vallee</t>
  </si>
  <si>
    <t>Roland Genereux</t>
  </si>
  <si>
    <t>Werner Schmidt</t>
  </si>
  <si>
    <t>Brian Aman</t>
  </si>
  <si>
    <t>Allen Warrack</t>
  </si>
  <si>
    <t>Bob Sommerville</t>
  </si>
  <si>
    <t>Wes Combs</t>
  </si>
  <si>
    <t>Barney Welsh</t>
  </si>
  <si>
    <t>Ernie Youzwishen</t>
  </si>
  <si>
    <t>Angus MacMillan</t>
  </si>
  <si>
    <t>Ken Jaremco</t>
  </si>
  <si>
    <t>Bev Penman</t>
  </si>
  <si>
    <t>Harold Tangen</t>
  </si>
  <si>
    <t>Waldo Siemens</t>
  </si>
  <si>
    <t>Earl Rasmuson</t>
  </si>
  <si>
    <t>Pat Green</t>
  </si>
  <si>
    <t>John Udchitz</t>
  </si>
  <si>
    <t>Rig Godwin</t>
  </si>
  <si>
    <t>Allan Gerlach</t>
  </si>
  <si>
    <t>Monday, August 30, 1971</t>
  </si>
  <si>
    <t>Clarence Copithorne</t>
  </si>
  <si>
    <t>Slim Martin</t>
  </si>
  <si>
    <t>Beverly Coulter</t>
  </si>
  <si>
    <t>Simon Tuininga</t>
  </si>
  <si>
    <t>Herman Burke</t>
  </si>
  <si>
    <t>Lorne Mowers</t>
  </si>
  <si>
    <t>Claire Gaines</t>
  </si>
  <si>
    <t>Don Murray</t>
  </si>
  <si>
    <t>Bill Wearmouth</t>
  </si>
  <si>
    <t>Fred Spooner</t>
  </si>
  <si>
    <t>Don Luzzi</t>
  </si>
  <si>
    <t>Jane Ann Summers</t>
  </si>
  <si>
    <t>Fred Colborne</t>
  </si>
  <si>
    <t>Dr. Margaret I. Jackson</t>
  </si>
  <si>
    <t>Pat O'Byrne</t>
  </si>
  <si>
    <t>Ron stuart</t>
  </si>
  <si>
    <t>L.A. Thorssen</t>
  </si>
  <si>
    <t>Dolores LeDrew</t>
  </si>
  <si>
    <t>Len Werry</t>
  </si>
  <si>
    <t>Jay Salmon</t>
  </si>
  <si>
    <t>James Staples</t>
  </si>
  <si>
    <t>Bill Dickie</t>
  </si>
  <si>
    <t>Ray Kingsmith</t>
  </si>
  <si>
    <t>George C McGuire</t>
  </si>
  <si>
    <t>John Kushner</t>
  </si>
  <si>
    <t>Ted Takacs</t>
  </si>
  <si>
    <t>Natalie Chapman</t>
  </si>
  <si>
    <t>Cal Lee</t>
  </si>
  <si>
    <t>Walter H. Siewert</t>
  </si>
  <si>
    <t>Philip T. Keuber</t>
  </si>
  <si>
    <t>Normie Kwong</t>
  </si>
  <si>
    <t>Clarence Lacombe</t>
  </si>
  <si>
    <t>Carole Walter</t>
  </si>
  <si>
    <t>George Swales</t>
  </si>
  <si>
    <t>E.C. Baldwin</t>
  </si>
  <si>
    <t>Carl L. Riech</t>
  </si>
  <si>
    <t>Joe Yanchula</t>
  </si>
  <si>
    <t>Brian Stevenson</t>
  </si>
  <si>
    <t>Laurence Rhierson</t>
  </si>
  <si>
    <t>Keith Boulter</t>
  </si>
  <si>
    <t>E.W. Hinman</t>
  </si>
  <si>
    <t>Larry L. Lang</t>
  </si>
  <si>
    <t>J. Devereux</t>
  </si>
  <si>
    <t>A. Karvonen</t>
  </si>
  <si>
    <t>Harry Strom</t>
  </si>
  <si>
    <t>Dave Berntson</t>
  </si>
  <si>
    <t>Tony de Souza</t>
  </si>
  <si>
    <t>Rudolf Zander</t>
  </si>
  <si>
    <t>Thomas Johnson</t>
  </si>
  <si>
    <t>Alvin Harmacy</t>
  </si>
  <si>
    <t>Dick Hehr</t>
  </si>
  <si>
    <t>Bill McLean</t>
  </si>
  <si>
    <t>John Kloster</t>
  </si>
  <si>
    <t>Dr. A.E. Hohol</t>
  </si>
  <si>
    <t>Werner G. Schmidt</t>
  </si>
  <si>
    <t>Dr Lou Heard</t>
  </si>
  <si>
    <t>John Lambert</t>
  </si>
  <si>
    <t>Ed Gerhart</t>
  </si>
  <si>
    <t>Bill Glass</t>
  </si>
  <si>
    <t>Gerry Mulhall</t>
  </si>
  <si>
    <t>Linda Gaboury</t>
  </si>
  <si>
    <t>Lou Letourneau</t>
  </si>
  <si>
    <t>Mary Lou Pocklington</t>
  </si>
  <si>
    <t>Sol Estrin</t>
  </si>
  <si>
    <t>William Yurko</t>
  </si>
  <si>
    <t>William F. Young</t>
  </si>
  <si>
    <t>Tom Hennessey</t>
  </si>
  <si>
    <t>Leroy Pearch</t>
  </si>
  <si>
    <t>Gerald Lorente</t>
  </si>
  <si>
    <t>Leslie Gordon Young</t>
  </si>
  <si>
    <t>John B. Ludwig</t>
  </si>
  <si>
    <t>Kenneth Joseph Kerr</t>
  </si>
  <si>
    <t>Edwin Robert Daniels</t>
  </si>
  <si>
    <t>Kenneth Paproski</t>
  </si>
  <si>
    <t>Ethel Wilson</t>
  </si>
  <si>
    <t>Paulette Atterbury</t>
  </si>
  <si>
    <t>Roderick Woodcock</t>
  </si>
  <si>
    <t>Gerard Joseph Amerongen</t>
  </si>
  <si>
    <t>Alexander Romaniuk</t>
  </si>
  <si>
    <t>Alan J. Idiens</t>
  </si>
  <si>
    <t>Irene Domecki</t>
  </si>
  <si>
    <t>Sam Lee</t>
  </si>
  <si>
    <t>Ronald Penner</t>
  </si>
  <si>
    <t>Donald Haythorne</t>
  </si>
  <si>
    <t>Neil S. Crawford</t>
  </si>
  <si>
    <t>Gordon V. Rasmussen</t>
  </si>
  <si>
    <t>Hart Horn</t>
  </si>
  <si>
    <t>J. Donovan Ross</t>
  </si>
  <si>
    <t>Timothy Christian</t>
  </si>
  <si>
    <t>Donald Ross Gretty</t>
  </si>
  <si>
    <t>Donald Murray Hamilton</t>
  </si>
  <si>
    <t>Joseph Mercredi</t>
  </si>
  <si>
    <t>James N. Tanner</t>
  </si>
  <si>
    <t>Robert Dowling</t>
  </si>
  <si>
    <t>Rollie Mohr</t>
  </si>
  <si>
    <t>Walter Seewitz</t>
  </si>
  <si>
    <t>Winston Backus</t>
  </si>
  <si>
    <t>William Bowes</t>
  </si>
  <si>
    <t>Arthur Macklin</t>
  </si>
  <si>
    <t>Keith French</t>
  </si>
  <si>
    <t>Jakc Butler</t>
  </si>
  <si>
    <t>Gordon Snell</t>
  </si>
  <si>
    <t>Edward P. Benoit</t>
  </si>
  <si>
    <t>Eldon C. Couey</t>
  </si>
  <si>
    <t>D. Larry Mckillop</t>
  </si>
  <si>
    <t>Clifford L. Doan</t>
  </si>
  <si>
    <t>William Ure</t>
  </si>
  <si>
    <t>Ragnar Johanson</t>
  </si>
  <si>
    <t>Dan Bouvier</t>
  </si>
  <si>
    <t>Elmer Roy</t>
  </si>
  <si>
    <t>Kenneth B. Orchard</t>
  </si>
  <si>
    <t>Garth Roberts</t>
  </si>
  <si>
    <t>Marie Carlson</t>
  </si>
  <si>
    <t>Stan Daniels</t>
  </si>
  <si>
    <t>Allan Crawford</t>
  </si>
  <si>
    <t>Richard Barton</t>
  </si>
  <si>
    <t>Douglas Poile</t>
  </si>
  <si>
    <t>R.D. Gruenwald</t>
  </si>
  <si>
    <t>R.J. Gray</t>
  </si>
  <si>
    <t>Klaas Buijert</t>
  </si>
  <si>
    <t>John C. Green</t>
  </si>
  <si>
    <t>Edward H. Rodney</t>
  </si>
  <si>
    <t>Campbell A. Hancock</t>
  </si>
  <si>
    <t>Lloyd Robertson</t>
  </si>
  <si>
    <t>Danny Le Grandeur</t>
  </si>
  <si>
    <t>Sid Cornish</t>
  </si>
  <si>
    <t>William Wyse</t>
  </si>
  <si>
    <t>Frank Armstrong</t>
  </si>
  <si>
    <t>Theodore Anhorn</t>
  </si>
  <si>
    <t>Robert Curtis Clark</t>
  </si>
  <si>
    <t>Rudolf Pedersen</t>
  </si>
  <si>
    <t>Willaim C. McCutcheon</t>
  </si>
  <si>
    <t>Bob Wiebe</t>
  </si>
  <si>
    <t>Hans Jorgensen</t>
  </si>
  <si>
    <t>Charles Duncan Drain</t>
  </si>
  <si>
    <t>Morgan Johnson</t>
  </si>
  <si>
    <t>Clarence W. Smith</t>
  </si>
  <si>
    <t>Neville Roper</t>
  </si>
  <si>
    <t>Ed Nelson</t>
  </si>
  <si>
    <t>Bernice Luce</t>
  </si>
  <si>
    <t>Fulton Rollings</t>
  </si>
  <si>
    <t>Ethel Taylor</t>
  </si>
  <si>
    <t>Len Patterson</t>
  </si>
  <si>
    <t>Norman T. Flach</t>
  </si>
  <si>
    <t>A.O. Firmrite</t>
  </si>
  <si>
    <t>Don Moore</t>
  </si>
  <si>
    <t>Michael Zuk</t>
  </si>
  <si>
    <t>Willaim Ernest Jamison</t>
  </si>
  <si>
    <t>Robert Russell</t>
  </si>
  <si>
    <t>Elsie McMillan</t>
  </si>
  <si>
    <t>Jakc Robertson</t>
  </si>
  <si>
    <t>Galen Norris</t>
  </si>
  <si>
    <t>William Frederick Purdy</t>
  </si>
  <si>
    <t>Ralph A. Jespersen</t>
  </si>
  <si>
    <t>Michael Crowson</t>
  </si>
  <si>
    <t>Ray Reierson</t>
  </si>
  <si>
    <t>Laurence J. Dubois</t>
  </si>
  <si>
    <t>Lawrence P. Coutu</t>
  </si>
  <si>
    <t>Douglas Miller</t>
  </si>
  <si>
    <t>Ray Ratzlaff</t>
  </si>
  <si>
    <t>K. Robert Friesen</t>
  </si>
  <si>
    <t>Alex Gordey</t>
  </si>
  <si>
    <t>W.B. Welsh</t>
  </si>
  <si>
    <t>Ashley H. Cooper</t>
  </si>
  <si>
    <t>Tom Newcomb</t>
  </si>
  <si>
    <t>Harry Yaremchuk</t>
  </si>
  <si>
    <t>Harry A. Ruste</t>
  </si>
  <si>
    <t>Cliff Smallwood</t>
  </si>
  <si>
    <t>Gary Luciow</t>
  </si>
  <si>
    <t>James D. Henderson</t>
  </si>
  <si>
    <t>Emanuel Pyrcz</t>
  </si>
  <si>
    <t>Clyde Feero</t>
  </si>
  <si>
    <t>Robert Price</t>
  </si>
  <si>
    <t>Tuesday, May 23, 1967</t>
  </si>
  <si>
    <t xml:space="preserve">65 Members </t>
  </si>
  <si>
    <t>Anders O. Aalborg</t>
  </si>
  <si>
    <t>Kenneth E. Oates</t>
  </si>
  <si>
    <t>Lester A. Lindgren</t>
  </si>
  <si>
    <t>Charles F. Swan</t>
  </si>
  <si>
    <t>Antonio Aloisio</t>
  </si>
  <si>
    <t>George Opryshko</t>
  </si>
  <si>
    <t>Dave Hunter</t>
  </si>
  <si>
    <t>Jack Fraser</t>
  </si>
  <si>
    <t>Romeo B. Lamothe</t>
  </si>
  <si>
    <t>Vic Justik</t>
  </si>
  <si>
    <t>Coalition</t>
  </si>
  <si>
    <t>Kenneth J. Kerr</t>
  </si>
  <si>
    <t>Bow Valley-Empress</t>
  </si>
  <si>
    <t>Fred T. Mandeville</t>
  </si>
  <si>
    <t>Ben M. MacLeod</t>
  </si>
  <si>
    <t>Calvin Steinley</t>
  </si>
  <si>
    <t>Calgary-Bowness</t>
  </si>
  <si>
    <t>Len F. Werry</t>
  </si>
  <si>
    <t>Charles E. Johnston</t>
  </si>
  <si>
    <t>Evelyn Moore</t>
  </si>
  <si>
    <t>John Donachie</t>
  </si>
  <si>
    <t>Calgary-Centre</t>
  </si>
  <si>
    <t>Chuck Cook</t>
  </si>
  <si>
    <t>John Starchuk</t>
  </si>
  <si>
    <t>Mrs. Margaret Hanley</t>
  </si>
  <si>
    <t>Albert W. Ludwig</t>
  </si>
  <si>
    <t>Jim Crawford</t>
  </si>
  <si>
    <t>Kurt Gebauer</t>
  </si>
  <si>
    <t>Len Pearson</t>
  </si>
  <si>
    <t>Ron Helmer</t>
  </si>
  <si>
    <t>Max Wolfe</t>
  </si>
  <si>
    <t>Calgary-North</t>
  </si>
  <si>
    <t>Robert A. Simpson</t>
  </si>
  <si>
    <t>Henry M. Beaumont</t>
  </si>
  <si>
    <t>Walter Siewert</t>
  </si>
  <si>
    <t>Charles W. Loughridge</t>
  </si>
  <si>
    <t>Calgary-Queen's park</t>
  </si>
  <si>
    <t>Lee Leavitt</t>
  </si>
  <si>
    <t>Darryl Raymaker</t>
  </si>
  <si>
    <t>Lisa Baldwin</t>
  </si>
  <si>
    <t>Calgary-South</t>
  </si>
  <si>
    <t>Arthur J. Dixon</t>
  </si>
  <si>
    <t>Joe Clark</t>
  </si>
  <si>
    <t>Jack D. Peters</t>
  </si>
  <si>
    <t>Willis E. O'Leary</t>
  </si>
  <si>
    <t>Calgary-Victoria Park</t>
  </si>
  <si>
    <t>Donald S. Fleming</t>
  </si>
  <si>
    <t>Allan M. Early</t>
  </si>
  <si>
    <t>Art Davis</t>
  </si>
  <si>
    <t>Reginald J. Gibbs</t>
  </si>
  <si>
    <t>Chester I. Sayers</t>
  </si>
  <si>
    <t xml:space="preserve">Emmett G. Mohlers </t>
  </si>
  <si>
    <t>Rudy P. Swanson</t>
  </si>
  <si>
    <t>G. Rod Knaut</t>
  </si>
  <si>
    <t>Alvin F. Bullock</t>
  </si>
  <si>
    <t>Robert D. Burt</t>
  </si>
  <si>
    <t>Leslie N. Howard</t>
  </si>
  <si>
    <t>Dan Hollands</t>
  </si>
  <si>
    <t>Alfred O. Arnston</t>
  </si>
  <si>
    <t>Kazmer D. Curry</t>
  </si>
  <si>
    <t>William G. McFall</t>
  </si>
  <si>
    <t>Drumheller-Gleichen</t>
  </si>
  <si>
    <t>Tom Hanson</t>
  </si>
  <si>
    <t>Garry B. Law</t>
  </si>
  <si>
    <t>Ernest L. Lee</t>
  </si>
  <si>
    <t>Phil Thompson</t>
  </si>
  <si>
    <t>John A. Hammond</t>
  </si>
  <si>
    <t>Liberal/P.C. Coalition</t>
  </si>
  <si>
    <t>Edmonton-North</t>
  </si>
  <si>
    <t>Edmonton-North East</t>
  </si>
  <si>
    <t>Edmonton-West</t>
  </si>
  <si>
    <t>Harold W. Veale</t>
  </si>
  <si>
    <t>Henry Tomaschuk</t>
  </si>
  <si>
    <t>Joseph A. Tannous</t>
  </si>
  <si>
    <t>G.A. (Pat) O'Hara</t>
  </si>
  <si>
    <t>Jack (J.W.) Horan</t>
  </si>
  <si>
    <t>Barry Vogel</t>
  </si>
  <si>
    <t>Albert V. Bourcier</t>
  </si>
  <si>
    <t>Mrs. Ethel S. Wilson</t>
  </si>
  <si>
    <t>Tony Thibaudeau</t>
  </si>
  <si>
    <t>L. John Corbiere</t>
  </si>
  <si>
    <t>Lou W. Heard</t>
  </si>
  <si>
    <t>Ivor G. Dent</t>
  </si>
  <si>
    <t>Alan T. Cooke</t>
  </si>
  <si>
    <t>Peter Achtem</t>
  </si>
  <si>
    <t>Edmonton-North West</t>
  </si>
  <si>
    <t>Edgar H. Gerhart</t>
  </si>
  <si>
    <t>Paul Norris</t>
  </si>
  <si>
    <t>Dave Belland</t>
  </si>
  <si>
    <t>Thomas Leia</t>
  </si>
  <si>
    <t>Oscar A. Green</t>
  </si>
  <si>
    <t>William Tomyn</t>
  </si>
  <si>
    <t>Grant W. Notley</t>
  </si>
  <si>
    <t>Ronald W. Downey</t>
  </si>
  <si>
    <t>William A. Johnson</t>
  </si>
  <si>
    <t>J. Bernard Feeham</t>
  </si>
  <si>
    <t>Thomas C. Pocklington</t>
  </si>
  <si>
    <t>Bill Switzer</t>
  </si>
  <si>
    <t>Arthur O. Jorgensen</t>
  </si>
  <si>
    <t>C. Neil Reimer</t>
  </si>
  <si>
    <t>Ira McLaughlin</t>
  </si>
  <si>
    <t>Alan Bush</t>
  </si>
  <si>
    <t>George M. Repka</t>
  </si>
  <si>
    <t>Hand Hills-Acadia</t>
  </si>
  <si>
    <t>Bill Cross</t>
  </si>
  <si>
    <t>Ralph G. Jorgenson</t>
  </si>
  <si>
    <t>Roy Ells</t>
  </si>
  <si>
    <t>Gunnar Walhstrom</t>
  </si>
  <si>
    <t>Lac La Biche</t>
  </si>
  <si>
    <t>Mike Maccagno</t>
  </si>
  <si>
    <t>Harry Lobay</t>
  </si>
  <si>
    <t>Fred Ustina</t>
  </si>
  <si>
    <t>Willaim Patterson</t>
  </si>
  <si>
    <t>Raymond Mills</t>
  </si>
  <si>
    <t>Swen Symington</t>
  </si>
  <si>
    <t>A.R. Patrick</t>
  </si>
  <si>
    <t>John W. Cookson</t>
  </si>
  <si>
    <t>John C. Landeryou</t>
  </si>
  <si>
    <t>Wilfred Browns</t>
  </si>
  <si>
    <t>John I. Boras</t>
  </si>
  <si>
    <t>Emanuel Prycz</t>
  </si>
  <si>
    <t>Alex A. Sklarenko</t>
  </si>
  <si>
    <t>Russell Olekshy</t>
  </si>
  <si>
    <t>Arthur W. Ulrich</t>
  </si>
  <si>
    <t>John Head</t>
  </si>
  <si>
    <t>L.E. Buckwell</t>
  </si>
  <si>
    <t>George Whitehead</t>
  </si>
  <si>
    <t>S.J. Cornish</t>
  </si>
  <si>
    <t>Melba J. Grimm</t>
  </si>
  <si>
    <t>Harry C. Leinweber</t>
  </si>
  <si>
    <t>James Horsman</t>
  </si>
  <si>
    <t>Roy Weidemann</t>
  </si>
  <si>
    <t>Ted. J. Grimm</t>
  </si>
  <si>
    <t>Stan Bell</t>
  </si>
  <si>
    <t>Chas. Purvis</t>
  </si>
  <si>
    <t>Eva Banta</t>
  </si>
  <si>
    <t>Thomas E. Hughes</t>
  </si>
  <si>
    <t>Georgina M. Smith</t>
  </si>
  <si>
    <t>Ron A. Baker</t>
  </si>
  <si>
    <t>A. Carl Muller</t>
  </si>
  <si>
    <t>Edward G. Samuel</t>
  </si>
  <si>
    <t>George A.E. Garnett</t>
  </si>
  <si>
    <t>Edward P. MacCallum</t>
  </si>
  <si>
    <t>Robert H. Wiebe</t>
  </si>
  <si>
    <t>Harry Reinders</t>
  </si>
  <si>
    <t>Edward R. Whitney</t>
  </si>
  <si>
    <t>Garth A. Turcott</t>
  </si>
  <si>
    <t>Alexander B. Wells</t>
  </si>
  <si>
    <t>F. Benton Murphy</t>
  </si>
  <si>
    <t>Neville S. Roper</t>
  </si>
  <si>
    <t>Derek R. Broughton</t>
  </si>
  <si>
    <t>William K. Ure</t>
  </si>
  <si>
    <t>James L. Foster</t>
  </si>
  <si>
    <t>Mrs. Ethel Taylor</t>
  </si>
  <si>
    <t>Basil Zailo</t>
  </si>
  <si>
    <t>Norman T. Flack</t>
  </si>
  <si>
    <t>Alfred J. Hooke</t>
  </si>
  <si>
    <t>Will Sinclair</t>
  </si>
  <si>
    <t>Gilbert H.C. Farthing</t>
  </si>
  <si>
    <t>Robert A. Russell</t>
  </si>
  <si>
    <t>Stan Walker</t>
  </si>
  <si>
    <t>Norman Dolman</t>
  </si>
  <si>
    <t>Raymond Reierson</t>
  </si>
  <si>
    <t>Armand Lamothe</t>
  </si>
  <si>
    <t>Pierre M. Vallee</t>
  </si>
  <si>
    <t>Leroy P. Christensen</t>
  </si>
  <si>
    <t>Independent P.C</t>
  </si>
  <si>
    <t>Sedgewick-Coronation</t>
  </si>
  <si>
    <t>Jack C. Hillman</t>
  </si>
  <si>
    <t>Ernie Moore</t>
  </si>
  <si>
    <t>Eugene F. Price</t>
  </si>
  <si>
    <t>Spirit River</t>
  </si>
  <si>
    <t>Adolph O. Firmrite</t>
  </si>
  <si>
    <t>Bert M. Strand</t>
  </si>
  <si>
    <t>John L. Listhaeghe</t>
  </si>
  <si>
    <t>Galen C. Norris</t>
  </si>
  <si>
    <t>Bob McKnight</t>
  </si>
  <si>
    <t>Morton H. Neilson</t>
  </si>
  <si>
    <t>Maurice R. McCullagh</t>
  </si>
  <si>
    <t>Frank Flanagan</t>
  </si>
  <si>
    <t>Cornelia R. Wood</t>
  </si>
  <si>
    <t>Strathcona-Centre</t>
  </si>
  <si>
    <t>Larry Boddy</t>
  </si>
  <si>
    <t>Ian Nicoll</t>
  </si>
  <si>
    <t>Gordon E. Weese</t>
  </si>
  <si>
    <t>Strathcona-East</t>
  </si>
  <si>
    <t>Ernest C. Manning</t>
  </si>
  <si>
    <t>C. Jack Thorpe</t>
  </si>
  <si>
    <t>Ray Field</t>
  </si>
  <si>
    <t>Percy Marshall</t>
  </si>
  <si>
    <t>Strathcona-South</t>
  </si>
  <si>
    <t>G. Joe Radstaak</t>
  </si>
  <si>
    <t>Oscar Kruger</t>
  </si>
  <si>
    <t>Strathcona-West</t>
  </si>
  <si>
    <t>Randolph H. Mckinnon</t>
  </si>
  <si>
    <t>Frank Kuzemski</t>
  </si>
  <si>
    <t>Edmund H. Leger</t>
  </si>
  <si>
    <t>Theodore Rudd</t>
  </si>
  <si>
    <t>Dick Verwoerd</t>
  </si>
  <si>
    <t>Raymond Ratzlaff</t>
  </si>
  <si>
    <t>James A. Lore</t>
  </si>
  <si>
    <t>Gordon Leslie</t>
  </si>
  <si>
    <t>George E. Pieper</t>
  </si>
  <si>
    <t>Vegreville-Bruce</t>
  </si>
  <si>
    <t>Alex W. Gordey</t>
  </si>
  <si>
    <t>Mike W. Kawulych</t>
  </si>
  <si>
    <t>Albin Lukawiecki</t>
  </si>
  <si>
    <t>Wilfred Horton</t>
  </si>
  <si>
    <t>Ashley Cooper</t>
  </si>
  <si>
    <t>Hilda Wilson</t>
  </si>
  <si>
    <t>Harry E. Yaremchuk</t>
  </si>
  <si>
    <t>Henry A. Ruste</t>
  </si>
  <si>
    <t>Albert W. Strohschein</t>
  </si>
  <si>
    <t>Willingdon-Two Hills</t>
  </si>
  <si>
    <t>Nicholas A. Melnyk</t>
  </si>
  <si>
    <t>Louis Souter</t>
  </si>
  <si>
    <t>Glenn Valleau</t>
  </si>
  <si>
    <t>Albert w. Strohschein</t>
  </si>
  <si>
    <t>Robert P. Chrsitensen</t>
  </si>
  <si>
    <t>W. Slim Thorpe</t>
  </si>
  <si>
    <t>Conservative Liberal</t>
  </si>
  <si>
    <t>John C. Sandercock</t>
  </si>
  <si>
    <t>Trygve Hansen</t>
  </si>
  <si>
    <t>Judith Johnston</t>
  </si>
  <si>
    <t>Victor Watson</t>
  </si>
  <si>
    <t xml:space="preserve">Jack Fraser </t>
  </si>
  <si>
    <t>Frack L. Gainer</t>
  </si>
  <si>
    <t>Romeo Lamothe</t>
  </si>
  <si>
    <t>Albert Turcotte</t>
  </si>
  <si>
    <t>Victor E. Justik</t>
  </si>
  <si>
    <t>Peter G. Forman</t>
  </si>
  <si>
    <t>William Delday</t>
  </si>
  <si>
    <t>George A. simpson</t>
  </si>
  <si>
    <t>Peter Petrasuk</t>
  </si>
  <si>
    <t>Albert A. Frawley</t>
  </si>
  <si>
    <t>Everett C. Baldwin</t>
  </si>
  <si>
    <t>Fred C. Colborne</t>
  </si>
  <si>
    <t>E. Virgil Anderson</t>
  </si>
  <si>
    <t>Mrs. Melba Cochlan</t>
  </si>
  <si>
    <t>Dave Raichman</t>
  </si>
  <si>
    <t>Evelyn Leew</t>
  </si>
  <si>
    <t>Bill Duncan</t>
  </si>
  <si>
    <t>Dick Dunlop</t>
  </si>
  <si>
    <t>A. Ross Lawson</t>
  </si>
  <si>
    <t>Wm. (Bill) Dickie</t>
  </si>
  <si>
    <t>Ned Corrigal</t>
  </si>
  <si>
    <t>G.A.J. Otjes</t>
  </si>
  <si>
    <t>Robert F. Goss</t>
  </si>
  <si>
    <t>Larry B. Nugent</t>
  </si>
  <si>
    <t>Steven P. Galan</t>
  </si>
  <si>
    <t>Duncan L. McKillop</t>
  </si>
  <si>
    <t>Roy A. Farran</t>
  </si>
  <si>
    <t>Ben S. Greenfield</t>
  </si>
  <si>
    <t>Conrad Pfeifer</t>
  </si>
  <si>
    <t>Howard G. Cook</t>
  </si>
  <si>
    <t>John N. Smith</t>
  </si>
  <si>
    <t>Ted Duncan</t>
  </si>
  <si>
    <t>Milt Harradence</t>
  </si>
  <si>
    <t>Dr. Jack D. Peters</t>
  </si>
  <si>
    <t>James P. Richardson</t>
  </si>
  <si>
    <t>Ernest Moore</t>
  </si>
  <si>
    <t>Kenneth Nelson</t>
  </si>
  <si>
    <t>Edgar W. Hinman</t>
  </si>
  <si>
    <t>John F. Webster</t>
  </si>
  <si>
    <t>Colin H. Holt</t>
  </si>
  <si>
    <t>Floyd M. Baker</t>
  </si>
  <si>
    <t>James P. O'Dwyer</t>
  </si>
  <si>
    <t>Dan. F. Hollands</t>
  </si>
  <si>
    <t>Paul Arthur Dorin</t>
  </si>
  <si>
    <t>Harry E. Strom</t>
  </si>
  <si>
    <t>Alvin H. Reiman</t>
  </si>
  <si>
    <t>Irene Dyck</t>
  </si>
  <si>
    <t>M. H. (Milt) Connery</t>
  </si>
  <si>
    <t>Joesph A. Tannous</t>
  </si>
  <si>
    <t>Alex Szchechina</t>
  </si>
  <si>
    <t>John William Horan</t>
  </si>
  <si>
    <t>Keith C. Campbell</t>
  </si>
  <si>
    <t>Clarence Edgar Sage</t>
  </si>
  <si>
    <t>Patrick J. Ryan</t>
  </si>
  <si>
    <t>Thomas O'Dwyer</t>
  </si>
  <si>
    <t>William H. Nash</t>
  </si>
  <si>
    <t>Ken McAuley</t>
  </si>
  <si>
    <t>Allan Welsh</t>
  </si>
  <si>
    <t>Neil Reimer</t>
  </si>
  <si>
    <t>Ned Feeham</t>
  </si>
  <si>
    <t>J. Laurier Picard</t>
  </si>
  <si>
    <t>J. Gordon Ozarko</t>
  </si>
  <si>
    <t>Walter Makowecki</t>
  </si>
  <si>
    <t>S. Gordon Geldart</t>
  </si>
  <si>
    <t>Robert A. Doyle</t>
  </si>
  <si>
    <t>Tony Nugent</t>
  </si>
  <si>
    <t>Neil R. Larsen</t>
  </si>
  <si>
    <t>Norman Willmore</t>
  </si>
  <si>
    <t>Bertram E. Schoeppe</t>
  </si>
  <si>
    <t>James D. Torgersen</t>
  </si>
  <si>
    <t>Ed. Kimpe</t>
  </si>
  <si>
    <t>Charles A. Evaskevich</t>
  </si>
  <si>
    <t>Clif. I. Tollefson</t>
  </si>
  <si>
    <t>C. Keith French</t>
  </si>
  <si>
    <t>Lyal Alex. Curry</t>
  </si>
  <si>
    <t>Elvin J. Woynarwich</t>
  </si>
  <si>
    <t>Henry Thompson</t>
  </si>
  <si>
    <t>Rudolph Michetti</t>
  </si>
  <si>
    <t>Idependent Social Credit</t>
  </si>
  <si>
    <t>John Paul Fehrenbach</t>
  </si>
  <si>
    <t>John Liss</t>
  </si>
  <si>
    <t>Douglas McKeen</t>
  </si>
  <si>
    <t>Peter Wyllie</t>
  </si>
  <si>
    <t>Andrew Borys</t>
  </si>
  <si>
    <t>Ron E. Ansley</t>
  </si>
  <si>
    <t>Michael F. Hold</t>
  </si>
  <si>
    <t>Alberta Unity Movement</t>
  </si>
  <si>
    <t>Alan Cullen</t>
  </si>
  <si>
    <t>James Taylor</t>
  </si>
  <si>
    <t>Douglas H. Galbraith</t>
  </si>
  <si>
    <t>James Hartley</t>
  </si>
  <si>
    <t>Allie Streeter</t>
  </si>
  <si>
    <t>John K. Head</t>
  </si>
  <si>
    <t>Helen Beny Gibson</t>
  </si>
  <si>
    <t>Kenneth Roy Biddell</t>
  </si>
  <si>
    <t>Milton J. Reinhardt</t>
  </si>
  <si>
    <t>Robert E. G. Armstrong</t>
  </si>
  <si>
    <t>Samuel Brown</t>
  </si>
  <si>
    <t>Bill Steemson</t>
  </si>
  <si>
    <t>Roger Lebeuf</t>
  </si>
  <si>
    <t>Euell F. Montgomery</t>
  </si>
  <si>
    <t>Vic. O'Reilly</t>
  </si>
  <si>
    <t>Hall C. Sisson</t>
  </si>
  <si>
    <t xml:space="preserve">Robin D. Jorgenson </t>
  </si>
  <si>
    <t>Dr. Ray Brodeur</t>
  </si>
  <si>
    <t>Percy Baxandall</t>
  </si>
  <si>
    <t>Herman Hauch</t>
  </si>
  <si>
    <t>Verdun Baxandall</t>
  </si>
  <si>
    <t>William Kovach</t>
  </si>
  <si>
    <t>Thomas Costigan</t>
  </si>
  <si>
    <t>Frank Lynch-Staunton</t>
  </si>
  <si>
    <t>Arthur Lees</t>
  </si>
  <si>
    <t>Glen F. Johnston</t>
  </si>
  <si>
    <t>George F. Sharp</t>
  </si>
  <si>
    <t>Denis Yunker</t>
  </si>
  <si>
    <t>Walter M. Ogilvie</t>
  </si>
  <si>
    <t>Steve Romanchuk</t>
  </si>
  <si>
    <t>Joe Bielish</t>
  </si>
  <si>
    <t>William Glass</t>
  </si>
  <si>
    <t>Ellis M. Bowen</t>
  </si>
  <si>
    <t>Robert H. Carlyle</t>
  </si>
  <si>
    <t>James L. Sims</t>
  </si>
  <si>
    <t>Karl O. Peterson</t>
  </si>
  <si>
    <t>Uri Powell</t>
  </si>
  <si>
    <t>Louis Chalifoux</t>
  </si>
  <si>
    <t>Alan Lazerte</t>
  </si>
  <si>
    <t>Alan Bevington</t>
  </si>
  <si>
    <t>Clark K. Burlingham</t>
  </si>
  <si>
    <t>Joseph (Joe) Tipman</t>
  </si>
  <si>
    <t>Harold McLaughlin</t>
  </si>
  <si>
    <t>Peter Germaniuk</t>
  </si>
  <si>
    <t>Conral D. (Red) Fuhr</t>
  </si>
  <si>
    <t>Rudolph Zander</t>
  </si>
  <si>
    <t>Rene P. Foisy</t>
  </si>
  <si>
    <t>H. B. Hodgins</t>
  </si>
  <si>
    <t>Dan. Gamache</t>
  </si>
  <si>
    <t>Harry J. Strynadka</t>
  </si>
  <si>
    <t>James A. Cox</t>
  </si>
  <si>
    <t>Oscar H. Kruger</t>
  </si>
  <si>
    <t>Dennis A. Wood</t>
  </si>
  <si>
    <t>Arthur W. Crossley</t>
  </si>
  <si>
    <t>Arnold H. Lane</t>
  </si>
  <si>
    <t>George R. Field</t>
  </si>
  <si>
    <t>L. C. Halmrast</t>
  </si>
  <si>
    <t>Elected by</t>
  </si>
  <si>
    <t xml:space="preserve"> Acclamation</t>
  </si>
  <si>
    <t>L. Petrie Meston</t>
  </si>
  <si>
    <t>John F. Kennan</t>
  </si>
  <si>
    <t>Wilfrid L. Horton</t>
  </si>
  <si>
    <t>Granham Allan</t>
  </si>
  <si>
    <t>Clarence A. Knies</t>
  </si>
  <si>
    <t>Arthur W. Roland</t>
  </si>
  <si>
    <t>Edward Thompson</t>
  </si>
  <si>
    <t>John M. Saville</t>
  </si>
  <si>
    <t>John w. Connelly</t>
  </si>
  <si>
    <t>Albert Dyberg</t>
  </si>
  <si>
    <t>Leslie Pritchard</t>
  </si>
  <si>
    <t>Allan Eschak</t>
  </si>
  <si>
    <t>Walter Witwicky</t>
  </si>
  <si>
    <t>William Glen Haley</t>
  </si>
  <si>
    <t>Thursday, June 18, 1959</t>
  </si>
  <si>
    <t>Acadia-Coronation</t>
  </si>
  <si>
    <t>Marion Kelts</t>
  </si>
  <si>
    <t>C.C.F.</t>
  </si>
  <si>
    <t>Hilda A. Cross</t>
  </si>
  <si>
    <t>Dr. A.H. Sweet</t>
  </si>
  <si>
    <t>Richard Hall</t>
  </si>
  <si>
    <t>John Harry</t>
  </si>
  <si>
    <t>Labour Progressive</t>
  </si>
  <si>
    <t>Robert Shopland</t>
  </si>
  <si>
    <t>Robin W. Echlin</t>
  </si>
  <si>
    <t>Carl Nordstrom</t>
  </si>
  <si>
    <t>Jake Josvanger</t>
  </si>
  <si>
    <t>Bryce C. Stringam</t>
  </si>
  <si>
    <t>Bruce</t>
  </si>
  <si>
    <t>Earl M. Hardy</t>
  </si>
  <si>
    <t>Clare L. Liden</t>
  </si>
  <si>
    <t>Clifford G. Patterson</t>
  </si>
  <si>
    <t>Edawrd I. Thompson</t>
  </si>
  <si>
    <t>Bruce Norris</t>
  </si>
  <si>
    <t>Kay Halliday Grose</t>
  </si>
  <si>
    <t>Runo Berglund</t>
  </si>
  <si>
    <t>Gordan Arnell</t>
  </si>
  <si>
    <t>Grant McHardy</t>
  </si>
  <si>
    <t>Ernest S. Watkins</t>
  </si>
  <si>
    <t>Dr. A. Ross Lawson</t>
  </si>
  <si>
    <t>Reg. Clarkson</t>
  </si>
  <si>
    <t>Rose Wilkinson</t>
  </si>
  <si>
    <t>James Macdonald</t>
  </si>
  <si>
    <t>Grant MacEwan</t>
  </si>
  <si>
    <t>Calgary-North East</t>
  </si>
  <si>
    <t>Melvin P. Stronach</t>
  </si>
  <si>
    <t>E. Kitch Elton</t>
  </si>
  <si>
    <t>Jack Hampson</t>
  </si>
  <si>
    <t>Ernest Starr</t>
  </si>
  <si>
    <t>P. Petrasuk</t>
  </si>
  <si>
    <t>G. Ellinson</t>
  </si>
  <si>
    <t>Roy Deyell</t>
  </si>
  <si>
    <t>Ken Tory</t>
  </si>
  <si>
    <t>John E. Stuart</t>
  </si>
  <si>
    <t>Stanley Ross Could</t>
  </si>
  <si>
    <t>Archie Olstad</t>
  </si>
  <si>
    <t>John A. Spencer</t>
  </si>
  <si>
    <t>Andrew M. Adamson</t>
  </si>
  <si>
    <t>Roy C. Marler</t>
  </si>
  <si>
    <t>Ernest Wilfred Davies</t>
  </si>
  <si>
    <t>Wayne N. Anderson</t>
  </si>
  <si>
    <t>James L. Owens</t>
  </si>
  <si>
    <t>Douglas N. Anderson</t>
  </si>
  <si>
    <t>Walter P. Hourihan</t>
  </si>
  <si>
    <t>Eneas A. Toshach</t>
  </si>
  <si>
    <t>Joseph M. Scruggs</t>
  </si>
  <si>
    <t>Bennidict V. Griep</t>
  </si>
  <si>
    <t>Steven P. Tachit</t>
  </si>
  <si>
    <t>Floyd A. Johnson</t>
  </si>
  <si>
    <t>Laurette Douglas</t>
  </si>
  <si>
    <t>Robert Atkin</t>
  </si>
  <si>
    <t>Dr. John Verchomin</t>
  </si>
  <si>
    <t>Peter Gomuwka</t>
  </si>
  <si>
    <t>Dr. Lou W. Heard</t>
  </si>
  <si>
    <t>Ned Feehan</t>
  </si>
  <si>
    <t>Louis Marchand</t>
  </si>
  <si>
    <t>Alex Goruk</t>
  </si>
  <si>
    <t>W. Harasym</t>
  </si>
  <si>
    <t>Harper McCrae</t>
  </si>
  <si>
    <t>James Forest</t>
  </si>
  <si>
    <t>C.C.F</t>
  </si>
  <si>
    <t>P.W. Bill Jones</t>
  </si>
  <si>
    <t>Nestor Marchyshyn</t>
  </si>
  <si>
    <t>Frank G. McCoy</t>
  </si>
  <si>
    <t>W.A. Tuomi</t>
  </si>
  <si>
    <t>Chris. H.R. Nielsen</t>
  </si>
  <si>
    <t>Melvyn A. Parkyn</t>
  </si>
  <si>
    <t>George E. Bell</t>
  </si>
  <si>
    <t>A. John Van Wezel</t>
  </si>
  <si>
    <t>Carman A. Parkyn</t>
  </si>
  <si>
    <t>David T. Williamson</t>
  </si>
  <si>
    <t>Mac Perkins</t>
  </si>
  <si>
    <t>Paul E. Maisonneuve</t>
  </si>
  <si>
    <t>Paul Soulodre</t>
  </si>
  <si>
    <t>William J. Newman</t>
  </si>
  <si>
    <t>Elwin Woynarowich</t>
  </si>
  <si>
    <t>Denis R. Stafford</t>
  </si>
  <si>
    <t>Robert Carlyle</t>
  </si>
  <si>
    <t>Val Gobel</t>
  </si>
  <si>
    <t>Jasper-West</t>
  </si>
  <si>
    <t>Richard H. Jamieson</t>
  </si>
  <si>
    <t>J. Percy Page</t>
  </si>
  <si>
    <t>Abe Miller</t>
  </si>
  <si>
    <t>L.D. Gould</t>
  </si>
  <si>
    <t>Charley Keeley</t>
  </si>
  <si>
    <t>Thomas Spanos</t>
  </si>
  <si>
    <t>Robery Henry Jeacock</t>
  </si>
  <si>
    <t>Bernard W. Tonken</t>
  </si>
  <si>
    <t>Donald A. McNiven</t>
  </si>
  <si>
    <t>Elizabeth G. Robinson</t>
  </si>
  <si>
    <t>John H. Cocks</t>
  </si>
  <si>
    <t>Norma Deman</t>
  </si>
  <si>
    <t>John D. Rogers</t>
  </si>
  <si>
    <t>Dr. Ernest G. Hansell</t>
  </si>
  <si>
    <t>Ross Laird Ellis</t>
  </si>
  <si>
    <t>James S. McLeod</t>
  </si>
  <si>
    <t>Bruce Hanson</t>
  </si>
  <si>
    <t>William F. Gilliland</t>
  </si>
  <si>
    <t>Harold C. Sissons</t>
  </si>
  <si>
    <t>James Mann</t>
  </si>
  <si>
    <t>Frie Bredo</t>
  </si>
  <si>
    <t>Gustav Wahl</t>
  </si>
  <si>
    <t>K.A. Kovach</t>
  </si>
  <si>
    <t>Alex Grant</t>
  </si>
  <si>
    <t>C. Boyden</t>
  </si>
  <si>
    <t>Ivor E. Davies</t>
  </si>
  <si>
    <t>Erwin E. Schultz</t>
  </si>
  <si>
    <t>Cameron Kirby</t>
  </si>
  <si>
    <t>John Dubetz</t>
  </si>
  <si>
    <t>Alfred Macyk</t>
  </si>
  <si>
    <t>Martha Bielish</t>
  </si>
  <si>
    <t>Tom Bert</t>
  </si>
  <si>
    <t>Ray E. Schmidt</t>
  </si>
  <si>
    <t>Arthur J. Soetaert</t>
  </si>
  <si>
    <t>Stanley M. Walker</t>
  </si>
  <si>
    <t>J. Van Brabant</t>
  </si>
  <si>
    <t>Gordon Shave</t>
  </si>
  <si>
    <t>Kenneth M. Geddes</t>
  </si>
  <si>
    <t>Mildred G. Redman</t>
  </si>
  <si>
    <t>Arthur C. Bunney</t>
  </si>
  <si>
    <t>Charles J. Stojan</t>
  </si>
  <si>
    <t>James W. Graham</t>
  </si>
  <si>
    <t>C.J. lampert</t>
  </si>
  <si>
    <t>Alice Ness</t>
  </si>
  <si>
    <t>John Harold McLaughlin</t>
  </si>
  <si>
    <t>Robert K. Clarkson</t>
  </si>
  <si>
    <t>Pat Walsh</t>
  </si>
  <si>
    <t>Leslie M. Lyons</t>
  </si>
  <si>
    <t>Keith Wright</t>
  </si>
  <si>
    <t>James E. Simpson</t>
  </si>
  <si>
    <t>George Johnson</t>
  </si>
  <si>
    <t>Hugh Smith</t>
  </si>
  <si>
    <t>Eric M. Duggan</t>
  </si>
  <si>
    <t>Frank J. Edwards</t>
  </si>
  <si>
    <t>H. Douglas Trace</t>
  </si>
  <si>
    <t>Roy S. Lee</t>
  </si>
  <si>
    <t>Leslie P. Cluff</t>
  </si>
  <si>
    <t>Stanley Ruzycki</t>
  </si>
  <si>
    <t>John Koshutua</t>
  </si>
  <si>
    <t>Joseph M. Melnychuk</t>
  </si>
  <si>
    <t>R.J. Whitson</t>
  </si>
  <si>
    <t>Henry D. Frizzell</t>
  </si>
  <si>
    <t>D.J. Frunchak</t>
  </si>
  <si>
    <t>J.P. Hocaluk</t>
  </si>
  <si>
    <t>Donald Mills</t>
  </si>
  <si>
    <t>J. Wesley Connelly</t>
  </si>
  <si>
    <t>Leonard C. Halmrast</t>
  </si>
  <si>
    <t>Mark R. Stringam</t>
  </si>
  <si>
    <t>John A. Wingblade</t>
  </si>
  <si>
    <t>Robert D. Angus</t>
  </si>
  <si>
    <t>David Pat. Garland</t>
  </si>
  <si>
    <t>Fred R. MacNaughton</t>
  </si>
  <si>
    <t>Willingdon</t>
  </si>
  <si>
    <t>Alex Hushlak</t>
  </si>
  <si>
    <t>Nick W. Svekla</t>
  </si>
  <si>
    <t>Hon. C.E. Gerhart</t>
  </si>
  <si>
    <t>L.E. Reiman</t>
  </si>
  <si>
    <t>Hon. A.O. Aalborg</t>
  </si>
  <si>
    <t>Mrs. Lois Karlsson</t>
  </si>
  <si>
    <t>Russell Robertson</t>
  </si>
  <si>
    <t>Alan Ronaghan</t>
  </si>
  <si>
    <t>Frank L. Gainer</t>
  </si>
  <si>
    <t>Lea Leavitt</t>
  </si>
  <si>
    <t>L.F. Krawchuk</t>
  </si>
  <si>
    <t>Alfred A. Muller</t>
  </si>
  <si>
    <t>Clare M. Liden</t>
  </si>
  <si>
    <t>Oliver H. Gunderson</t>
  </si>
  <si>
    <t>Nancy Zaseybida</t>
  </si>
  <si>
    <t>Paul Brecken</t>
  </si>
  <si>
    <t>V.A. Cooney</t>
  </si>
  <si>
    <t>Harold Cush</t>
  </si>
  <si>
    <t>Roy V. Devell</t>
  </si>
  <si>
    <t>Mary Dover</t>
  </si>
  <si>
    <t>G.E. Ellinson</t>
  </si>
  <si>
    <t>P.P.C. Haigh</t>
  </si>
  <si>
    <t>K.A. Halliday</t>
  </si>
  <si>
    <t>Paul J. Katzalay</t>
  </si>
  <si>
    <t>Collier Maberley</t>
  </si>
  <si>
    <t>H.B. Macdonald</t>
  </si>
  <si>
    <t>H.J. Macdonald</t>
  </si>
  <si>
    <t>H.J. MacDonald</t>
  </si>
  <si>
    <t>A.L. Roberts</t>
  </si>
  <si>
    <t>Herbert J. Ryan</t>
  </si>
  <si>
    <t>Arthur Smith</t>
  </si>
  <si>
    <t>Ian F. Smith</t>
  </si>
  <si>
    <t>E.R.A. Temple</t>
  </si>
  <si>
    <t>Mrs. Rose Wilkinson</t>
  </si>
  <si>
    <t>C.M. Willmott</t>
  </si>
  <si>
    <t>Arthur H. Wray</t>
  </si>
  <si>
    <t>Hugh J. MacDonald</t>
  </si>
  <si>
    <t>Charles McCleary</t>
  </si>
  <si>
    <t>Ed Schnell</t>
  </si>
  <si>
    <t>Hon. Edgar W. Hinman</t>
  </si>
  <si>
    <t>Wilfred McLean</t>
  </si>
  <si>
    <t>Martin Reynolds</t>
  </si>
  <si>
    <t>John Flaig</t>
  </si>
  <si>
    <t>J.A. Barclay</t>
  </si>
  <si>
    <t>A. Lezanski</t>
  </si>
  <si>
    <t>Hon. G.E. Taylor</t>
  </si>
  <si>
    <t>Ben Brown</t>
  </si>
  <si>
    <t>Lawrence Owens</t>
  </si>
  <si>
    <t>Edgar Bailey</t>
  </si>
  <si>
    <t>Robert L. Brower</t>
  </si>
  <si>
    <t>Mary-Crawford</t>
  </si>
  <si>
    <t>Andre Dechene</t>
  </si>
  <si>
    <t>Lois Grant</t>
  </si>
  <si>
    <t>Wm. Harasym</t>
  </si>
  <si>
    <t>Mrs. C.M. Hattersley</t>
  </si>
  <si>
    <t>Cyril G. Havard</t>
  </si>
  <si>
    <t>W.J.M. Henning</t>
  </si>
  <si>
    <t>Anthony Hlynka</t>
  </si>
  <si>
    <t>R.F. Lambert</t>
  </si>
  <si>
    <t>Gifford Main</t>
  </si>
  <si>
    <t>Hon. E.C. Manning</t>
  </si>
  <si>
    <t>Abe Wm. Miller</t>
  </si>
  <si>
    <t>F.J. Mitchell</t>
  </si>
  <si>
    <t>J.L. Payment</t>
  </si>
  <si>
    <t>C.E. Payne</t>
  </si>
  <si>
    <t>James Harper Prowse</t>
  </si>
  <si>
    <t>Elmer E. Roper</t>
  </si>
  <si>
    <t>Dr. J.D. Ross</t>
  </si>
  <si>
    <t>H.M. Smith</t>
  </si>
  <si>
    <t>Mrs. J.A.L. Smith</t>
  </si>
  <si>
    <t>H.E. Tanner</t>
  </si>
  <si>
    <t>Art Thompson</t>
  </si>
  <si>
    <t>Thomas Booker</t>
  </si>
  <si>
    <t>William Switzer</t>
  </si>
  <si>
    <t>Hon. N.A. Willmore</t>
  </si>
  <si>
    <t>Carman Ellis</t>
  </si>
  <si>
    <t>Paul Galway</t>
  </si>
  <si>
    <t>Mrs. Mary-Gray</t>
  </si>
  <si>
    <t>James Hughson</t>
  </si>
  <si>
    <t>Fred Bullen</t>
  </si>
  <si>
    <t>C.R. Clark</t>
  </si>
  <si>
    <t>J.R. Desfosses</t>
  </si>
  <si>
    <t>Arthur D. Brown</t>
  </si>
  <si>
    <t>Hon. Dr. W.W. Cross</t>
  </si>
  <si>
    <t>Wm. Stainton</t>
  </si>
  <si>
    <t>Alfred B. Haarstad</t>
  </si>
  <si>
    <t>Ernest Ingram</t>
  </si>
  <si>
    <t>Russell Patrick</t>
  </si>
  <si>
    <t>Harold Bronson</t>
  </si>
  <si>
    <t>John A. Mills</t>
  </si>
  <si>
    <t>A.M. Montemurro</t>
  </si>
  <si>
    <t>A.S. Borys</t>
  </si>
  <si>
    <t>W.F. Borgstede</t>
  </si>
  <si>
    <t>E. Pyrcz</t>
  </si>
  <si>
    <t>A.E. Borgstede</t>
  </si>
  <si>
    <t>C.J. Black</t>
  </si>
  <si>
    <t>A.J. Cullen</t>
  </si>
  <si>
    <t>James E. Helwig</t>
  </si>
  <si>
    <t>Norman Scotney</t>
  </si>
  <si>
    <t>Varno Westersund</t>
  </si>
  <si>
    <t>Charles V. Bennett</t>
  </si>
  <si>
    <t>Mrs. Elizabeth G. Robinson</t>
  </si>
  <si>
    <t>K.L. Brucker</t>
  </si>
  <si>
    <t>James W. McLane</t>
  </si>
  <si>
    <t>Hon. Ivan Casey</t>
  </si>
  <si>
    <t>Liberal Conservative</t>
  </si>
  <si>
    <t>A. Boyce</t>
  </si>
  <si>
    <t>F.J. Niddrie</t>
  </si>
  <si>
    <t>J.W. Freeland</t>
  </si>
  <si>
    <t xml:space="preserve">S.D. Simpson </t>
  </si>
  <si>
    <t>Martin Felstad</t>
  </si>
  <si>
    <t>George Schultz</t>
  </si>
  <si>
    <t>H. Ferguson</t>
  </si>
  <si>
    <t>Wm. A. Kovach</t>
  </si>
  <si>
    <t>B.R. Swankey</t>
  </si>
  <si>
    <t>W.E. Chiles</t>
  </si>
  <si>
    <t>C. Kenyon</t>
  </si>
  <si>
    <t>J.W. Lee</t>
  </si>
  <si>
    <t>Clinton Reed</t>
  </si>
  <si>
    <t>W.J.C Kirby</t>
  </si>
  <si>
    <t>Auburn C. Pye</t>
  </si>
  <si>
    <t>Wm. Ure</t>
  </si>
  <si>
    <t>Peter Chaba</t>
  </si>
  <si>
    <t>H.J. Leskiw</t>
  </si>
  <si>
    <t>Frank E. Maricle</t>
  </si>
  <si>
    <t>Labour progressive</t>
  </si>
  <si>
    <t>Hon. Alfred J. Hooke</t>
  </si>
  <si>
    <t xml:space="preserve">Bert Rear </t>
  </si>
  <si>
    <t>C. stauffer</t>
  </si>
  <si>
    <t>A.E. Eastly</t>
  </si>
  <si>
    <t>Ed Harrington</t>
  </si>
  <si>
    <t>G. Thomlinson</t>
  </si>
  <si>
    <t>J. Dusseault</t>
  </si>
  <si>
    <t>Hon. Lucien Maynard</t>
  </si>
  <si>
    <t>Aubrey Smith</t>
  </si>
  <si>
    <t>Arthur Soetaert</t>
  </si>
  <si>
    <t>J.J. Zubick</t>
  </si>
  <si>
    <t>John E. Clark</t>
  </si>
  <si>
    <t>M.H. Neilson</t>
  </si>
  <si>
    <t>V. Richardson</t>
  </si>
  <si>
    <t>John M. Evien</t>
  </si>
  <si>
    <t>Mrs. C.R. Wood</t>
  </si>
  <si>
    <t>Don Gamache</t>
  </si>
  <si>
    <t>J.R. Sweeney</t>
  </si>
  <si>
    <t xml:space="preserve">E.F. Morton </t>
  </si>
  <si>
    <t>Michael Ponich</t>
  </si>
  <si>
    <t>M. Meronyk</t>
  </si>
  <si>
    <t>Russell Whitson</t>
  </si>
  <si>
    <t>James Jakcson</t>
  </si>
  <si>
    <t>J.M. Saville</t>
  </si>
  <si>
    <t>E.P. Taylor</t>
  </si>
  <si>
    <t>J.L. Evans</t>
  </si>
  <si>
    <t>M. Jevne</t>
  </si>
  <si>
    <t>W.C. Kimmel</t>
  </si>
  <si>
    <t>E.O. Larson</t>
  </si>
  <si>
    <t>E.R. Larson</t>
  </si>
  <si>
    <t>Nick Dushenski</t>
  </si>
  <si>
    <t>N. Melnyk</t>
  </si>
  <si>
    <t>Nick Shandro</t>
  </si>
  <si>
    <t>M. Melnyk</t>
  </si>
  <si>
    <t>Wednesday, June 29, 1955</t>
  </si>
  <si>
    <t>Tuesday, August 5, 1952</t>
  </si>
  <si>
    <t xml:space="preserve">60 Members </t>
  </si>
  <si>
    <t xml:space="preserve">61 Members </t>
  </si>
  <si>
    <t>Andres O. Aalborg</t>
  </si>
  <si>
    <t>James Magill</t>
  </si>
  <si>
    <t>Val M. Breckenridge</t>
  </si>
  <si>
    <t>J. Lyall McMillan</t>
  </si>
  <si>
    <t>Sam Nowakowsky</t>
  </si>
  <si>
    <t>Non-Partisan Farmer</t>
  </si>
  <si>
    <t>C.C. Mathews</t>
  </si>
  <si>
    <t>Ind. Social Credit</t>
  </si>
  <si>
    <t>A.H. Wray</t>
  </si>
  <si>
    <t>Irvin J. Baril</t>
  </si>
  <si>
    <t>Albert T. Johnson</t>
  </si>
  <si>
    <t>Sigurd Lefsrud</t>
  </si>
  <si>
    <t>Edwin F. Watson</t>
  </si>
  <si>
    <t>Robert T. Alderman</t>
  </si>
  <si>
    <t>Alberta Clark</t>
  </si>
  <si>
    <t>Clifford Norman Clark</t>
  </si>
  <si>
    <t>George E. Ellinson</t>
  </si>
  <si>
    <t>Thomas Glen</t>
  </si>
  <si>
    <t>J.A. Murray Green</t>
  </si>
  <si>
    <t>Philip P.C. Haigh</t>
  </si>
  <si>
    <t>Ronald M. Helmer</t>
  </si>
  <si>
    <t>W.R. Irwin</t>
  </si>
  <si>
    <t>Harold L. Livegant</t>
  </si>
  <si>
    <t>W. Longridge</t>
  </si>
  <si>
    <t>Howard B. Macdonald</t>
  </si>
  <si>
    <t>Hugh John MacDonald</t>
  </si>
  <si>
    <t>D.F. McIntosh</t>
  </si>
  <si>
    <t>H.J. Ryan</t>
  </si>
  <si>
    <t>Melvin E. Shannon</t>
  </si>
  <si>
    <t>Ronald W. Stirling</t>
  </si>
  <si>
    <t>Richard Thomson</t>
  </si>
  <si>
    <t>John James Zubick</t>
  </si>
  <si>
    <t>Ind. Labour</t>
  </si>
  <si>
    <t>George Bauer</t>
  </si>
  <si>
    <t>Gordon Gregson</t>
  </si>
  <si>
    <t>Joseph R. Sweeney</t>
  </si>
  <si>
    <t>Bernhard J. Evenson</t>
  </si>
  <si>
    <t>James M. Underdahl</t>
  </si>
  <si>
    <t>Howard G. Hammell</t>
  </si>
  <si>
    <t>Ludwig L. Schmaltz</t>
  </si>
  <si>
    <t>Arthur l. Roberts</t>
  </si>
  <si>
    <t>Gordon E. Taylor</t>
  </si>
  <si>
    <t>Mrs. Stella M. Baker</t>
  </si>
  <si>
    <t>Harry D. Carrigan</t>
  </si>
  <si>
    <t>Cora T. Casselman</t>
  </si>
  <si>
    <t>Andre Miville Dechene</t>
  </si>
  <si>
    <t>Mrs. Laurette C. Douglas</t>
  </si>
  <si>
    <t>Williston Haszrd</t>
  </si>
  <si>
    <t>Duncan Innes</t>
  </si>
  <si>
    <t>Roy Jamha</t>
  </si>
  <si>
    <t>Marcel J.A. Lambert</t>
  </si>
  <si>
    <t>Peter J. Lazarowich</t>
  </si>
  <si>
    <t>Marshall E. Manning</t>
  </si>
  <si>
    <t>Frederick J. Mitchell</t>
  </si>
  <si>
    <t>John Percy Page</t>
  </si>
  <si>
    <t>J. Harper Prowse</t>
  </si>
  <si>
    <t>Winnifred M. Scott</t>
  </si>
  <si>
    <t>John A.L. Smith</t>
  </si>
  <si>
    <t>Edward N. Sturrock</t>
  </si>
  <si>
    <t>Bernard R. Swankey</t>
  </si>
  <si>
    <t xml:space="preserve">Harold E. Tanner </t>
  </si>
  <si>
    <t>Mrs. Arnold Taylor</t>
  </si>
  <si>
    <t>Arthur E. Thornton</t>
  </si>
  <si>
    <t xml:space="preserve">Norman A. Willmore </t>
  </si>
  <si>
    <t>Charles County</t>
  </si>
  <si>
    <t>Aubrey E. Gibson</t>
  </si>
  <si>
    <t>John W. Cox</t>
  </si>
  <si>
    <t>Percy C. Johnson</t>
  </si>
  <si>
    <t>Charlton R. Clark</t>
  </si>
  <si>
    <t>Joseph R. Desfosses</t>
  </si>
  <si>
    <t>Joseph L. St. Arnaud</t>
  </si>
  <si>
    <t>Fred W. Slemp</t>
  </si>
  <si>
    <t>Arnold A. Bruns</t>
  </si>
  <si>
    <t>Harold E. Bronson</t>
  </si>
  <si>
    <t>Douglas P. McKeen</t>
  </si>
  <si>
    <t>Angelo M. Montemurro</t>
  </si>
  <si>
    <t>Ronald E. Ansley</t>
  </si>
  <si>
    <t>George H. Thompson</t>
  </si>
  <si>
    <t>Rex J. Tennant</t>
  </si>
  <si>
    <t>Maxwell R. Morrison</t>
  </si>
  <si>
    <t>David S. Smith</t>
  </si>
  <si>
    <t>Hon. Peter Dawson</t>
  </si>
  <si>
    <t>Michael J. Jordan</t>
  </si>
  <si>
    <t>Joseph E. Peterson</t>
  </si>
  <si>
    <t>Hon. Dr. John L. Robinson</t>
  </si>
  <si>
    <t>James Lyle Wyatt</t>
  </si>
  <si>
    <t>Harold Sears</t>
  </si>
  <si>
    <t>Edward G. Miller</t>
  </si>
  <si>
    <t>Frederick J. Niddrie</t>
  </si>
  <si>
    <t>Peter Dechant</t>
  </si>
  <si>
    <t>Samuel D. Simpson</t>
  </si>
  <si>
    <t>William H. Roberts</t>
  </si>
  <si>
    <t>Matthew M. Watt</t>
  </si>
  <si>
    <t>Thomas J. Costigan</t>
  </si>
  <si>
    <t>Howard L. Larson</t>
  </si>
  <si>
    <t>Carroll J. Wenaas</t>
  </si>
  <si>
    <t>Aubrun C. Pye</t>
  </si>
  <si>
    <t>Hon. David A. Ure</t>
  </si>
  <si>
    <t>Paul James Feniak</t>
  </si>
  <si>
    <t>People's Candidate</t>
  </si>
  <si>
    <t>Hubert M. Smith</t>
  </si>
  <si>
    <t>Carl P. Colvin</t>
  </si>
  <si>
    <t>James Risk Hallum</t>
  </si>
  <si>
    <t>Henry E. DeBolt</t>
  </si>
  <si>
    <t>A.O. Fimrite</t>
  </si>
  <si>
    <t>Graeme Thomlinson</t>
  </si>
  <si>
    <t>Joseph G. Dusseault</t>
  </si>
  <si>
    <t>Laval J. Fortier</t>
  </si>
  <si>
    <t>William V. McTaggart</t>
  </si>
  <si>
    <t>Norman E. Uttley</t>
  </si>
  <si>
    <t>Mrs. Cornelia R. Wood</t>
  </si>
  <si>
    <t>Charles L. Wudel</t>
  </si>
  <si>
    <t>John Koshuta</t>
  </si>
  <si>
    <t>Edwin Barber</t>
  </si>
  <si>
    <t>William R. Cornish</t>
  </si>
  <si>
    <t>John P. Hocaluk</t>
  </si>
  <si>
    <t>George Kravetz</t>
  </si>
  <si>
    <t>Farmer's Cadidate</t>
  </si>
  <si>
    <t>John Davidson</t>
  </si>
  <si>
    <t>William Masson</t>
  </si>
  <si>
    <t>Kenneth S. Tory</t>
  </si>
  <si>
    <t>George S. Snow</t>
  </si>
  <si>
    <t>William W. Draayer</t>
  </si>
  <si>
    <t>Arnold D. Olsen</t>
  </si>
  <si>
    <t>Harry Van Dyke</t>
  </si>
  <si>
    <t>John J. Fedun</t>
  </si>
  <si>
    <t>Tuesday, August 17, 1948</t>
  </si>
  <si>
    <t xml:space="preserve">57 Members </t>
  </si>
  <si>
    <t>Dr. Arthur M. Day</t>
  </si>
  <si>
    <t>Russell A. Johnson</t>
  </si>
  <si>
    <t>George Henry Davies</t>
  </si>
  <si>
    <t>James Edgar Miller</t>
  </si>
  <si>
    <t>Gordon W. Lee</t>
  </si>
  <si>
    <t>Norman J. Shopland</t>
  </si>
  <si>
    <t>Victor C. Hicks</t>
  </si>
  <si>
    <t>Frank Laut</t>
  </si>
  <si>
    <t>William R. King</t>
  </si>
  <si>
    <t>Ind. Citizen's Assoc</t>
  </si>
  <si>
    <t>Cecil R. Belleville</t>
  </si>
  <si>
    <t>John Hannochko</t>
  </si>
  <si>
    <t>Herbert G. Claxton</t>
  </si>
  <si>
    <t>John Wm. McLachlan</t>
  </si>
  <si>
    <t>Beauchamp B. Starky</t>
  </si>
  <si>
    <t>Alfred Lefsrud</t>
  </si>
  <si>
    <t>P.N.R. Morrison</t>
  </si>
  <si>
    <t>J. Leslie Hill</t>
  </si>
  <si>
    <t>R.B. Estabrook</t>
  </si>
  <si>
    <t>J. Roger Flumerfelt</t>
  </si>
  <si>
    <t>Mrs. Mary Dover</t>
  </si>
  <si>
    <t>Michael J. McCormick</t>
  </si>
  <si>
    <t>M.V. Anderson</t>
  </si>
  <si>
    <t>George M. Whicher</t>
  </si>
  <si>
    <t>L. Dudley Ward</t>
  </si>
  <si>
    <t>A.P. van Buren</t>
  </si>
  <si>
    <t>Mrs. Edwina Milvain</t>
  </si>
  <si>
    <t>Art Larsen</t>
  </si>
  <si>
    <t>George Ellinson</t>
  </si>
  <si>
    <t>George R. Austin</t>
  </si>
  <si>
    <t>Terry Levis</t>
  </si>
  <si>
    <t>W. Orr</t>
  </si>
  <si>
    <t>Mrs. Mary a. Hart</t>
  </si>
  <si>
    <t>Charles E. Boulter</t>
  </si>
  <si>
    <t>Alexander E. Burgess</t>
  </si>
  <si>
    <t>Hon. N.E. Tanner</t>
  </si>
  <si>
    <t>Briant W. Stringam</t>
  </si>
  <si>
    <t>Alfred O. Arntson</t>
  </si>
  <si>
    <t>R.M. MacCrimmon</t>
  </si>
  <si>
    <t>Francis J. Halpin</t>
  </si>
  <si>
    <t>Wm. George McFall</t>
  </si>
  <si>
    <t>Matthew Schmaltz</t>
  </si>
  <si>
    <t>Raymond C. Bell</t>
  </si>
  <si>
    <t>Wm. M. "Bill" Price</t>
  </si>
  <si>
    <t>Wm. Henry Guterson</t>
  </si>
  <si>
    <t>United Labour</t>
  </si>
  <si>
    <t>P.J. Lazarowich</t>
  </si>
  <si>
    <t>Clayton Adams</t>
  </si>
  <si>
    <t>Mary Scullion</t>
  </si>
  <si>
    <t>John B. Gillies</t>
  </si>
  <si>
    <t>Mary R. Crawford</t>
  </si>
  <si>
    <t>Francis Armour Ford</t>
  </si>
  <si>
    <t>Walter M. Crockett</t>
  </si>
  <si>
    <t>Art. E. Thornton</t>
  </si>
  <si>
    <t>J.H. Dowler</t>
  </si>
  <si>
    <t>William R. Brownlee</t>
  </si>
  <si>
    <t>Christopher Pattinson</t>
  </si>
  <si>
    <t>Patrick V. Croken</t>
  </si>
  <si>
    <t>Jonathan M. Wheatley</t>
  </si>
  <si>
    <t>Leslie N. Harris</t>
  </si>
  <si>
    <t>William E. Robinson</t>
  </si>
  <si>
    <t>J.B.T. Wood</t>
  </si>
  <si>
    <t>Andre M. Dechene</t>
  </si>
  <si>
    <t>D.B. Fraser</t>
  </si>
  <si>
    <t>Joseph H. Cramer</t>
  </si>
  <si>
    <t>Hon. D.B. MacMillan</t>
  </si>
  <si>
    <t>Thomas Wilkes</t>
  </si>
  <si>
    <t>Nellie Peterson</t>
  </si>
  <si>
    <t>Leo O. Crockett, Jr.</t>
  </si>
  <si>
    <t>George W. Thompson</t>
  </si>
  <si>
    <t>John King</t>
  </si>
  <si>
    <t>John Edward Duggan</t>
  </si>
  <si>
    <t>H.B. McLaughlin</t>
  </si>
  <si>
    <t>Emil S. Vaselenak</t>
  </si>
  <si>
    <t>George M. Carson</t>
  </si>
  <si>
    <t>John P. Griffin</t>
  </si>
  <si>
    <t>Everett e. Marjerison</t>
  </si>
  <si>
    <t>David R. Broadfoot</t>
  </si>
  <si>
    <t>I.M. Arrol</t>
  </si>
  <si>
    <t>Hon. Evan Casey</t>
  </si>
  <si>
    <t>Percy C. Dougherty</t>
  </si>
  <si>
    <t>Ellis W. Oviatt</t>
  </si>
  <si>
    <t>Norman E. Cook</t>
  </si>
  <si>
    <t>Robert A. Brownell</t>
  </si>
  <si>
    <t>Charles A. Coutts</t>
  </si>
  <si>
    <t>Albert V. Bossert</t>
  </si>
  <si>
    <t>J.J. Rousseau</t>
  </si>
  <si>
    <t>Martin Fjelstad</t>
  </si>
  <si>
    <t>E.W. Munsterman</t>
  </si>
  <si>
    <t>J.W. Rutherford</t>
  </si>
  <si>
    <t>John Lloyd</t>
  </si>
  <si>
    <t>O.B. Moore</t>
  </si>
  <si>
    <t>A.D. Olsen</t>
  </si>
  <si>
    <t>Robert McLaren</t>
  </si>
  <si>
    <t>James Salyzyn</t>
  </si>
  <si>
    <t>John C. Dubeta</t>
  </si>
  <si>
    <t>Albert E. Fee</t>
  </si>
  <si>
    <t>James R. Hallum</t>
  </si>
  <si>
    <t>Alfred Rands</t>
  </si>
  <si>
    <t>David H. Keay</t>
  </si>
  <si>
    <t>J. William Beaudry</t>
  </si>
  <si>
    <t>Michael T. Grekul</t>
  </si>
  <si>
    <t>William S. Mackie</t>
  </si>
  <si>
    <t>Joe J. Tipman</t>
  </si>
  <si>
    <t>Harold Anderson</t>
  </si>
  <si>
    <t>Wm. K. Robertson</t>
  </si>
  <si>
    <t>Harold wood</t>
  </si>
  <si>
    <t>Guy F. Harris</t>
  </si>
  <si>
    <t>Richard L. Higgins</t>
  </si>
  <si>
    <t>Jack F. Melenka</t>
  </si>
  <si>
    <t>Michael Dowhaniuk</t>
  </si>
  <si>
    <t>Wm. H. Chorney</t>
  </si>
  <si>
    <t>Roy Wm. Hay</t>
  </si>
  <si>
    <t>Stewart Wright</t>
  </si>
  <si>
    <t>John Alexander Kelly</t>
  </si>
  <si>
    <t>Wm. John Colliton</t>
  </si>
  <si>
    <t>Morley Merner</t>
  </si>
  <si>
    <t>Henry Young</t>
  </si>
  <si>
    <t>Tuesday, August 8, 1944</t>
  </si>
  <si>
    <t>Chas. O.S Frederickson</t>
  </si>
  <si>
    <t>John Hallet</t>
  </si>
  <si>
    <t>Gordon I. Clark</t>
  </si>
  <si>
    <t>John E. Ball</t>
  </si>
  <si>
    <t>G.J. McKenzie</t>
  </si>
  <si>
    <t>D. MacGregor</t>
  </si>
  <si>
    <t>Stanley Dumka</t>
  </si>
  <si>
    <t>John Fowlie</t>
  </si>
  <si>
    <t>T.S. Montgomerie</t>
  </si>
  <si>
    <t>Dr. J.L. McPherson</t>
  </si>
  <si>
    <t>S. Lefsrud</t>
  </si>
  <si>
    <t>B.C. Gilpin</t>
  </si>
  <si>
    <t>Andrew Davison</t>
  </si>
  <si>
    <t>Fred Anderson</t>
  </si>
  <si>
    <t>John J. Bowlen</t>
  </si>
  <si>
    <t>C.W.J. Helmer</t>
  </si>
  <si>
    <t>K.S. Tory</t>
  </si>
  <si>
    <t>R.C. Carlile</t>
  </si>
  <si>
    <t>A.H. Larsen</t>
  </si>
  <si>
    <t>Edward Geehan</t>
  </si>
  <si>
    <t>C.M. Baker</t>
  </si>
  <si>
    <t>H.A. Wiertz</t>
  </si>
  <si>
    <t>Pat Leniban</t>
  </si>
  <si>
    <t>L. Edwards</t>
  </si>
  <si>
    <t>Y.D. Mike Daniels</t>
  </si>
  <si>
    <t>Gordon Wray</t>
  </si>
  <si>
    <t>Mrs. Audrey Staples</t>
  </si>
  <si>
    <t>Wm N. Chant</t>
  </si>
  <si>
    <t>Wm. G. Matson</t>
  </si>
  <si>
    <t>Edward Leavitt</t>
  </si>
  <si>
    <t>David Roberts</t>
  </si>
  <si>
    <t>Edith B. Thurston</t>
  </si>
  <si>
    <t>Chas. M. Moore</t>
  </si>
  <si>
    <t>T.A. Reynar</t>
  </si>
  <si>
    <t>C.C. Gillespie</t>
  </si>
  <si>
    <t>Thomas Mackie</t>
  </si>
  <si>
    <t>Alfred Thryso</t>
  </si>
  <si>
    <t>Wm. J. Williams</t>
  </si>
  <si>
    <t>Johnnie T. Caine</t>
  </si>
  <si>
    <t>Henry D. Carrigan</t>
  </si>
  <si>
    <t>Orvis A. Kennedy</t>
  </si>
  <si>
    <t>Clifford E. Lee</t>
  </si>
  <si>
    <t>James A. McPherson</t>
  </si>
  <si>
    <t>James B. Enright</t>
  </si>
  <si>
    <t>Mrs. M.E. Butterworth</t>
  </si>
  <si>
    <t>Joseph H. Dowler</t>
  </si>
  <si>
    <t>William Halina</t>
  </si>
  <si>
    <t>Cecil H. Chapman</t>
  </si>
  <si>
    <t>Clarence W. Richards</t>
  </si>
  <si>
    <t>Alex M. Herd</t>
  </si>
  <si>
    <t>Mrs. G.V. Murdoch</t>
  </si>
  <si>
    <t>V. &amp; A.F.</t>
  </si>
  <si>
    <t>W.H. Dixon</t>
  </si>
  <si>
    <t>G. Brownlow</t>
  </si>
  <si>
    <t>D.J. McKinnon</t>
  </si>
  <si>
    <t>B.C. Henricks</t>
  </si>
  <si>
    <t>William Rigby</t>
  </si>
  <si>
    <t>D.W. Patterson</t>
  </si>
  <si>
    <t>Hon. W.A. Fallow</t>
  </si>
  <si>
    <t>Mike O'Grady</t>
  </si>
  <si>
    <t>Merie Evanuk</t>
  </si>
  <si>
    <t>Wm. P. Roberts</t>
  </si>
  <si>
    <t>Wm. McAllister</t>
  </si>
  <si>
    <t>R.E. Chowen</t>
  </si>
  <si>
    <t>H.V. Broadbent</t>
  </si>
  <si>
    <t>D.H. Elton</t>
  </si>
  <si>
    <t>B.F. Tanner</t>
  </si>
  <si>
    <t>Eugene Scully</t>
  </si>
  <si>
    <t>J.D. Hagerman</t>
  </si>
  <si>
    <t>Rudolph Kotkas</t>
  </si>
  <si>
    <t>Earnest Bennion</t>
  </si>
  <si>
    <t>Wilfred Perrin</t>
  </si>
  <si>
    <t>R.L. Welsh</t>
  </si>
  <si>
    <t>Dr. John L. Robinson</t>
  </si>
  <si>
    <t>John A.M. Bell</t>
  </si>
  <si>
    <t>Russell A. Price</t>
  </si>
  <si>
    <t>Edwin W. Horne</t>
  </si>
  <si>
    <t>Ivan Casey</t>
  </si>
  <si>
    <t>J.T. Broomfield</t>
  </si>
  <si>
    <t>J.A. Jeffery</t>
  </si>
  <si>
    <t>Mrs. Ruple Ferguson</t>
  </si>
  <si>
    <t>Grand P. Field</t>
  </si>
  <si>
    <t>J.W. Eastman</t>
  </si>
  <si>
    <t>E.J. Martin</t>
  </si>
  <si>
    <t>Mrs. E.M. Ashworth</t>
  </si>
  <si>
    <t>Chas. P. Paterson</t>
  </si>
  <si>
    <t>George MacLachlan</t>
  </si>
  <si>
    <t>Enoch Williams</t>
  </si>
  <si>
    <t>Labour United</t>
  </si>
  <si>
    <t>W.H. Irwin</t>
  </si>
  <si>
    <t>Ora B. Moore</t>
  </si>
  <si>
    <t>Ira D. Taylor</t>
  </si>
  <si>
    <t>Neil W. Nelson</t>
  </si>
  <si>
    <t>R.G. Calwell</t>
  </si>
  <si>
    <t>David A. Ure</t>
  </si>
  <si>
    <t>W.J. Edgar</t>
  </si>
  <si>
    <t>D.C. Dandell</t>
  </si>
  <si>
    <t>James M. Popil</t>
  </si>
  <si>
    <t>Michael Hyduk</t>
  </si>
  <si>
    <t>Dale C. West</t>
  </si>
  <si>
    <t>George Morrison</t>
  </si>
  <si>
    <t>J.V. Johanson</t>
  </si>
  <si>
    <t>Farmer's Labour</t>
  </si>
  <si>
    <t>Chas. P. Hayes</t>
  </si>
  <si>
    <t>E.T. Sather</t>
  </si>
  <si>
    <t>Eric A. Johnson</t>
  </si>
  <si>
    <t>Charles Holder</t>
  </si>
  <si>
    <t>V.E. Toane</t>
  </si>
  <si>
    <t>Joseph A. Nadeau</t>
  </si>
  <si>
    <t>J.A. Beauregard</t>
  </si>
  <si>
    <t>Daniel Gamache</t>
  </si>
  <si>
    <t>Arthur H. Rowe</t>
  </si>
  <si>
    <t>Cornelius F. Pals</t>
  </si>
  <si>
    <t>Leo Hinds</t>
  </si>
  <si>
    <t>E.N. Davidson</t>
  </si>
  <si>
    <t>Wm. S. Porayko</t>
  </si>
  <si>
    <t>Peter Tymchuk</t>
  </si>
  <si>
    <t>William M. Teresio</t>
  </si>
  <si>
    <t>L.E. Larcombe</t>
  </si>
  <si>
    <t>M.D. Madge</t>
  </si>
  <si>
    <t>R. Garneau</t>
  </si>
  <si>
    <t>W.M. Madge</t>
  </si>
  <si>
    <t>R.B. Eshorn</t>
  </si>
  <si>
    <t>Single Tax</t>
  </si>
  <si>
    <t>C.C.P.</t>
  </si>
  <si>
    <t>James H. Walker</t>
  </si>
  <si>
    <t>Hon. Solon E. Low</t>
  </si>
  <si>
    <t>Rev. J.A. Wingblade</t>
  </si>
  <si>
    <t>J.G. Baker</t>
  </si>
  <si>
    <t>David Graham</t>
  </si>
  <si>
    <t>L.L. Kostash</t>
  </si>
  <si>
    <t>William A. Yusep</t>
  </si>
  <si>
    <t>Thursday, March 21, 1940</t>
  </si>
  <si>
    <t>C.E. Gerhart</t>
  </si>
  <si>
    <t>G.N. Johnston</t>
  </si>
  <si>
    <t>Mrs. R. Johnston</t>
  </si>
  <si>
    <t>C. Cairns</t>
  </si>
  <si>
    <t>A.E. Peterson</t>
  </si>
  <si>
    <t>M.P. Cordingley</t>
  </si>
  <si>
    <t>N.J. Shopland</t>
  </si>
  <si>
    <t>A. Crowther</t>
  </si>
  <si>
    <t>J. Hannochko</t>
  </si>
  <si>
    <t>J. Bibby</t>
  </si>
  <si>
    <t>Independent Farmer</t>
  </si>
  <si>
    <t>E.L. Gray</t>
  </si>
  <si>
    <t>E.A. Moen</t>
  </si>
  <si>
    <t>Hon. William Aberhart</t>
  </si>
  <si>
    <t>J.C. Mahaffey</t>
  </si>
  <si>
    <t>J.T. Shaw</t>
  </si>
  <si>
    <t>Mrs. Edith Gostick</t>
  </si>
  <si>
    <t>N.D. Dingle</t>
  </si>
  <si>
    <t>Mrs. H.D. Tarves</t>
  </si>
  <si>
    <t>R. Alderman</t>
  </si>
  <si>
    <t>H. Pryde</t>
  </si>
  <si>
    <t>D.V. Mitchell</t>
  </si>
  <si>
    <t>J.F.M. Moodie</t>
  </si>
  <si>
    <t>Hon. D.B. Mullen</t>
  </si>
  <si>
    <t>J.D. Neville</t>
  </si>
  <si>
    <t>S.H. Nelson</t>
  </si>
  <si>
    <t>A.H. Gibson</t>
  </si>
  <si>
    <t>F.D. Jackson</t>
  </si>
  <si>
    <t>A.W. Flamme</t>
  </si>
  <si>
    <t>E.M. Brown</t>
  </si>
  <si>
    <t>L.Y. Cairns</t>
  </si>
  <si>
    <t>E.E. Roper</t>
  </si>
  <si>
    <t>H.D. Ainley</t>
  </si>
  <si>
    <t>E.C. Fisher</t>
  </si>
  <si>
    <t>C. Gould</t>
  </si>
  <si>
    <t>E. East</t>
  </si>
  <si>
    <t>J.A. MacPherson</t>
  </si>
  <si>
    <t>N.B. James</t>
  </si>
  <si>
    <t>C.B. Wills</t>
  </si>
  <si>
    <t>Mrs. Marjorie Pardee</t>
  </si>
  <si>
    <t>W.H. Miller</t>
  </si>
  <si>
    <t>G.F. Hustler</t>
  </si>
  <si>
    <t>J.H. Green</t>
  </si>
  <si>
    <t>Independent Progressive</t>
  </si>
  <si>
    <t>A.J. Morrison</t>
  </si>
  <si>
    <t>W.L. Dickout</t>
  </si>
  <si>
    <t>J.H. Coldwell</t>
  </si>
  <si>
    <t>Dr. L.J. O'Brien</t>
  </si>
  <si>
    <t>Wm. Rigby</t>
  </si>
  <si>
    <t>J.H. Tremblay</t>
  </si>
  <si>
    <t>J.A. Maurice</t>
  </si>
  <si>
    <t>Michael O'Grady</t>
  </si>
  <si>
    <t>Philip Keeley</t>
  </si>
  <si>
    <t>Mrs. Nellie H. Peterson</t>
  </si>
  <si>
    <t>J.A. Rivard</t>
  </si>
  <si>
    <t>A.E. Faulkner</t>
  </si>
  <si>
    <t>Dr. P.M. Campbell</t>
  </si>
  <si>
    <t>A.E. Smith</t>
  </si>
  <si>
    <t>E.H. Griffin</t>
  </si>
  <si>
    <t>W.C. Yuill</t>
  </si>
  <si>
    <t>N.E. Cook</t>
  </si>
  <si>
    <t>Dr. H.K. Brown</t>
  </si>
  <si>
    <t>W. Mentz</t>
  </si>
  <si>
    <t>C.J. Tompkins</t>
  </si>
  <si>
    <t>E. Williams</t>
  </si>
  <si>
    <t>P.A. McKelvey</t>
  </si>
  <si>
    <t>Mrs. Edith Rogers</t>
  </si>
  <si>
    <t>C.A. Johnson</t>
  </si>
  <si>
    <t>Alfred Speakman</t>
  </si>
  <si>
    <t>J.H. McCulloch</t>
  </si>
  <si>
    <t>J.I. Zubick</t>
  </si>
  <si>
    <t>C.J. Stimpfle</t>
  </si>
  <si>
    <t>T. Sigurdson</t>
  </si>
  <si>
    <t>G. Maki</t>
  </si>
  <si>
    <t>John Gair</t>
  </si>
  <si>
    <t>G. Oberg</t>
  </si>
  <si>
    <t>L.R. Tellier</t>
  </si>
  <si>
    <t>J.H. Perras</t>
  </si>
  <si>
    <t>W.R. Rigney</t>
  </si>
  <si>
    <t>J.O. Binette</t>
  </si>
  <si>
    <t>C.G. Milaney</t>
  </si>
  <si>
    <t>G.H. McDonald</t>
  </si>
  <si>
    <t>Chester A. Reynolds</t>
  </si>
  <si>
    <t>L.V. Lohr</t>
  </si>
  <si>
    <t>H.H. Turner</t>
  </si>
  <si>
    <t>W.J. Connolly</t>
  </si>
  <si>
    <t>T.J. Hardwick</t>
  </si>
  <si>
    <t>Geo. E. Bevington</t>
  </si>
  <si>
    <t>J.L. Nelson</t>
  </si>
  <si>
    <t>W.W. Scott</t>
  </si>
  <si>
    <t>S.C. Heckbert</t>
  </si>
  <si>
    <t>Geo. Woytkiw</t>
  </si>
  <si>
    <t>Dr. J. Yakimaschak</t>
  </si>
  <si>
    <t>J.T. McDuffe</t>
  </si>
  <si>
    <t>N.P. Strachan</t>
  </si>
  <si>
    <t>T.S. Steedman</t>
  </si>
  <si>
    <t>H.G. Young</t>
  </si>
  <si>
    <t>T. Tomashavsky</t>
  </si>
  <si>
    <t>M.N. Grekol</t>
  </si>
  <si>
    <t>Monday, June 28, 1926</t>
  </si>
  <si>
    <t>-</t>
  </si>
  <si>
    <r>
      <t xml:space="preserve">1 member per electoral division except Edmonton and Calgary which had 5 each   </t>
    </r>
    <r>
      <rPr>
        <b/>
        <sz val="8"/>
        <rFont val="Times New Roman"/>
        <family val="1"/>
      </rPr>
      <t>(Note 1)</t>
    </r>
  </si>
  <si>
    <t>J.P. Kerr</t>
  </si>
  <si>
    <t>Geo. Campbell</t>
  </si>
  <si>
    <t>I.F. Crossley</t>
  </si>
  <si>
    <t>M. Alsager</t>
  </si>
  <si>
    <t>J.P. Evans</t>
  </si>
  <si>
    <t>W.J. Dent</t>
  </si>
  <si>
    <t>George Mills</t>
  </si>
  <si>
    <t>Joseph M. Dechene</t>
  </si>
  <si>
    <t>B.S. Plumer</t>
  </si>
  <si>
    <t>E.F. Purcell</t>
  </si>
  <si>
    <t>A.A. McGillivray</t>
  </si>
  <si>
    <t>P.H. Parkyn</t>
  </si>
  <si>
    <t>Mrs. N. McClung</t>
  </si>
  <si>
    <t>Hon. A. Ross</t>
  </si>
  <si>
    <t>M.C. Costello</t>
  </si>
  <si>
    <t>R.C. Marshall</t>
  </si>
  <si>
    <t>J.W. Russell</t>
  </si>
  <si>
    <t>F.C. Potts</t>
  </si>
  <si>
    <t>labour</t>
  </si>
  <si>
    <t>W.A. CunningHam</t>
  </si>
  <si>
    <t>J.A. Code</t>
  </si>
  <si>
    <t>A.D. Campbell</t>
  </si>
  <si>
    <t>Liberal Progressive</t>
  </si>
  <si>
    <t>W.H. Caldwell</t>
  </si>
  <si>
    <t>J.Y. Card</t>
  </si>
  <si>
    <t>Claresholm</t>
  </si>
  <si>
    <t>Gordon B. Walker</t>
  </si>
  <si>
    <t>John R. Watt</t>
  </si>
  <si>
    <t>F.G.C. Mortimer</t>
  </si>
  <si>
    <t>Geo. N. Johnston</t>
  </si>
  <si>
    <t>A.O. Thomas</t>
  </si>
  <si>
    <t>H.H. Foster</t>
  </si>
  <si>
    <t>S. Ervine</t>
  </si>
  <si>
    <t>D. MacDonald</t>
  </si>
  <si>
    <t>S.P. Williams</t>
  </si>
  <si>
    <t>Jos. Clark</t>
  </si>
  <si>
    <t>J.C. Bowen</t>
  </si>
  <si>
    <t>F.J. Follinsbee</t>
  </si>
  <si>
    <t>W.T. Henry</t>
  </si>
  <si>
    <t>H.H. Crawford</t>
  </si>
  <si>
    <t>J. Lakeman</t>
  </si>
  <si>
    <t>W. Rea</t>
  </si>
  <si>
    <t>J.W. Leedy</t>
  </si>
  <si>
    <t>D. McEachern</t>
  </si>
  <si>
    <t>D. MacCrimmon</t>
  </si>
  <si>
    <t>A. McIntyre</t>
  </si>
  <si>
    <t>F.J. Doyle</t>
  </si>
  <si>
    <t>Hugh Miller</t>
  </si>
  <si>
    <t>Frank Lount</t>
  </si>
  <si>
    <t>H.G. Dimsdale</t>
  </si>
  <si>
    <t>W.G. Anderson</t>
  </si>
  <si>
    <t>C.L. Sitlington</t>
  </si>
  <si>
    <t>L.M. McLean</t>
  </si>
  <si>
    <t>Hon. M.I. Parlby</t>
  </si>
  <si>
    <t>W.F. Puffer</t>
  </si>
  <si>
    <t>G.R. Barker</t>
  </si>
  <si>
    <t>Henry White</t>
  </si>
  <si>
    <t>D.C . Breton</t>
  </si>
  <si>
    <t>C.W. Carroll</t>
  </si>
  <si>
    <t>C.B. Kidd</t>
  </si>
  <si>
    <t>R.R. Davidson</t>
  </si>
  <si>
    <t>w.S. Galbraith</t>
  </si>
  <si>
    <t>James McNaughton</t>
  </si>
  <si>
    <t>P.M. Patterson</t>
  </si>
  <si>
    <t>Robert Patterson</t>
  </si>
  <si>
    <t>J.J. Hendricks</t>
  </si>
  <si>
    <t>James Hole</t>
  </si>
  <si>
    <t>C.S. Pingle</t>
  </si>
  <si>
    <t>Nanton</t>
  </si>
  <si>
    <t>D.H. Galbraith</t>
  </si>
  <si>
    <t>W.H. Keen</t>
  </si>
  <si>
    <t>D. Stanford</t>
  </si>
  <si>
    <t>Okotoks</t>
  </si>
  <si>
    <t>W.G. Birney</t>
  </si>
  <si>
    <t>Nelson S. Smith</t>
  </si>
  <si>
    <t>L.H. Walkey</t>
  </si>
  <si>
    <t>Hugh W. Allen</t>
  </si>
  <si>
    <t>J.P. McIsaac</t>
  </si>
  <si>
    <t>P.R. McMillan</t>
  </si>
  <si>
    <t>E.F. Henderson</t>
  </si>
  <si>
    <t>A.D. Henderson</t>
  </si>
  <si>
    <t>E. Cook</t>
  </si>
  <si>
    <t>A. Beaumont</t>
  </si>
  <si>
    <t>M. Crandall</t>
  </si>
  <si>
    <t>J.J. Gaetz</t>
  </si>
  <si>
    <t>Allen  Johnstone</t>
  </si>
  <si>
    <t>E.C. Tregale</t>
  </si>
  <si>
    <t>P.M. Christophers</t>
  </si>
  <si>
    <t>John Kerr</t>
  </si>
  <si>
    <t>A.M. Densmore</t>
  </si>
  <si>
    <t>J.H. Caldwell</t>
  </si>
  <si>
    <t>H.A. Dreany</t>
  </si>
  <si>
    <t>Michael Hogan</t>
  </si>
  <si>
    <t>Louis Normandeau</t>
  </si>
  <si>
    <t>J.A. Loiseau</t>
  </si>
  <si>
    <t>George Auxier</t>
  </si>
  <si>
    <t>W.M. Washburn</t>
  </si>
  <si>
    <t>F.W. Lundy</t>
  </si>
  <si>
    <t>B.M. Oatway</t>
  </si>
  <si>
    <t>M. McKinley</t>
  </si>
  <si>
    <t>L. Joly</t>
  </si>
  <si>
    <t>H. Montambeault</t>
  </si>
  <si>
    <t>E. McPheeters</t>
  </si>
  <si>
    <t>Independent U.F.A.</t>
  </si>
  <si>
    <t>J.E. Holmes</t>
  </si>
  <si>
    <t>Lawrence Peterson</t>
  </si>
  <si>
    <t>J.J. Horrigan</t>
  </si>
  <si>
    <t>J.H. Prowse</t>
  </si>
  <si>
    <t>J.D. Hannan</t>
  </si>
  <si>
    <t>A.W. Fraser</t>
  </si>
  <si>
    <t>P. Bahry</t>
  </si>
  <si>
    <t>W.J. MacNab</t>
  </si>
  <si>
    <t>A.W. Ebbett</t>
  </si>
  <si>
    <t>F.A. Walker</t>
  </si>
  <si>
    <t>Wm. Pylypow</t>
  </si>
  <si>
    <t>G.H. Moisey</t>
  </si>
  <si>
    <t>Wm. Pullishij</t>
  </si>
  <si>
    <t>G.E.L. Hudson</t>
  </si>
  <si>
    <t>F. Leffingwell</t>
  </si>
  <si>
    <t>G.N. Giles</t>
  </si>
  <si>
    <t>J.F. Inglis</t>
  </si>
  <si>
    <t>G. Mihalcheon</t>
  </si>
  <si>
    <t>N. Grekol</t>
  </si>
  <si>
    <t>E. Michajluk</t>
  </si>
  <si>
    <t>L.M. Ferguson</t>
  </si>
  <si>
    <t>Monday, July 18, 1921</t>
  </si>
  <si>
    <t>James C. Cottrell</t>
  </si>
  <si>
    <t>Peter J. Enzenauer</t>
  </si>
  <si>
    <t>Theodore H. Currie</t>
  </si>
  <si>
    <t>John Angelo</t>
  </si>
  <si>
    <t>2269(2)</t>
  </si>
  <si>
    <t>H. Montambault</t>
  </si>
  <si>
    <t>Hon. C.R. Mitchell</t>
  </si>
  <si>
    <t>Geo. A. Love</t>
  </si>
  <si>
    <t>2669(8)</t>
  </si>
  <si>
    <t>Hon. Alex. Ross</t>
  </si>
  <si>
    <t>R.C. Edwards</t>
  </si>
  <si>
    <t>Fred White</t>
  </si>
  <si>
    <t>Robt. Pearson</t>
  </si>
  <si>
    <t>Geo. Webster</t>
  </si>
  <si>
    <t>Clinton J. Ford</t>
  </si>
  <si>
    <t>C.F. Adams</t>
  </si>
  <si>
    <t>Mrs. F. Langford</t>
  </si>
  <si>
    <t>Thos. H. Blow</t>
  </si>
  <si>
    <t>F.S. Selwood</t>
  </si>
  <si>
    <t>H.B. Adshead</t>
  </si>
  <si>
    <t>E.H. Crandell</t>
  </si>
  <si>
    <t>Mrs. A. Gale</t>
  </si>
  <si>
    <t>S. Bacon Hillocks</t>
  </si>
  <si>
    <t>Frank Williams</t>
  </si>
  <si>
    <t>Alex. Davidson</t>
  </si>
  <si>
    <t>Labour Socialist</t>
  </si>
  <si>
    <t>Hon. Geo. P. Smith</t>
  </si>
  <si>
    <t>6282(3)</t>
  </si>
  <si>
    <t>Martin Woolf</t>
  </si>
  <si>
    <t>Thos. C. Milner</t>
  </si>
  <si>
    <t>Mrs. L.C. McKinney</t>
  </si>
  <si>
    <t>1521(5)</t>
  </si>
  <si>
    <t>Dr. J.E. State</t>
  </si>
  <si>
    <t>Clearwater</t>
  </si>
  <si>
    <t>O.T. Lee</t>
  </si>
  <si>
    <t>R.G. Campbell</t>
  </si>
  <si>
    <t>S.W. Chambers</t>
  </si>
  <si>
    <t>Alex. Morre</t>
  </si>
  <si>
    <t>A.S. McDonald</t>
  </si>
  <si>
    <t>1190(8)</t>
  </si>
  <si>
    <t>Dr. A.M. Day</t>
  </si>
  <si>
    <t>Geo. H. Webber</t>
  </si>
  <si>
    <t>A.R. McLennan</t>
  </si>
  <si>
    <t>John C. Bowen</t>
  </si>
  <si>
    <t>Mrs. Nellie L. McClung</t>
  </si>
  <si>
    <t>Hon. J.R. Boyle</t>
  </si>
  <si>
    <t>J.W. Heffernan</t>
  </si>
  <si>
    <t>Wm. J. Jackman</t>
  </si>
  <si>
    <t>A.F. Ewing</t>
  </si>
  <si>
    <t>A.A. Campbell</t>
  </si>
  <si>
    <t>Mrs. Elizabeth G. Ferris</t>
  </si>
  <si>
    <t>Robt. McCreath</t>
  </si>
  <si>
    <t>J.W. Adair</t>
  </si>
  <si>
    <t>A.U.G. Bury</t>
  </si>
  <si>
    <t>Wm. A. Wells</t>
  </si>
  <si>
    <t>J.K. Cornwall</t>
  </si>
  <si>
    <t>A.L. Marks</t>
  </si>
  <si>
    <t>Gerald V. Pelton</t>
  </si>
  <si>
    <t>Wm. Short</t>
  </si>
  <si>
    <t>Wm. R. Ball</t>
  </si>
  <si>
    <t>A. Boileau</t>
  </si>
  <si>
    <t>Mary A. Cantin</t>
  </si>
  <si>
    <t>Ernest Brown</t>
  </si>
  <si>
    <t>James Bailey</t>
  </si>
  <si>
    <t>Joe E. White</t>
  </si>
  <si>
    <t>Marie Mellard</t>
  </si>
  <si>
    <t>Hon. C.W. Cross</t>
  </si>
  <si>
    <t>John Diamond</t>
  </si>
  <si>
    <t>John C. Buckley</t>
  </si>
  <si>
    <t>H. Scott</t>
  </si>
  <si>
    <t>Hon. J.L. Cote</t>
  </si>
  <si>
    <t>R.B. Eaton</t>
  </si>
  <si>
    <t>High River</t>
  </si>
  <si>
    <t>J.V. Drumheller</t>
  </si>
  <si>
    <t>Hon. M.F. Parlby</t>
  </si>
  <si>
    <t>4457(3)</t>
  </si>
  <si>
    <t>C.M. McKeen</t>
  </si>
  <si>
    <t>C.J. Stiles</t>
  </si>
  <si>
    <t>J.H. Mackay</t>
  </si>
  <si>
    <t>2784(10)</t>
  </si>
  <si>
    <t>S.G. Tobin</t>
  </si>
  <si>
    <t>D.S. Muir</t>
  </si>
  <si>
    <t>John S. Stewart</t>
  </si>
  <si>
    <t>John Marsh</t>
  </si>
  <si>
    <t>Geo. Skelding</t>
  </si>
  <si>
    <t>Hon. Perren E. Baker</t>
  </si>
  <si>
    <t>Wm. Johnson</t>
  </si>
  <si>
    <t>Dr. Oliver Boyd</t>
  </si>
  <si>
    <t>6357(4)</t>
  </si>
  <si>
    <t>John M. Glendenning</t>
  </si>
  <si>
    <t>1500(2)</t>
  </si>
  <si>
    <t>E.A. Daggett</t>
  </si>
  <si>
    <t>1958(1)</t>
  </si>
  <si>
    <t>Hon. Duncan Marshall</t>
  </si>
  <si>
    <t>2899(8)</t>
  </si>
  <si>
    <t>D.M. Kennedy</t>
  </si>
  <si>
    <t>W.A. Rae</t>
  </si>
  <si>
    <t>E.S. Farr</t>
  </si>
  <si>
    <t>Dr. Phillips</t>
  </si>
  <si>
    <t>F.D. Armitage</t>
  </si>
  <si>
    <t>3458(8)</t>
  </si>
  <si>
    <t>A.E. Cox</t>
  </si>
  <si>
    <t>D.R. McIvor</t>
  </si>
  <si>
    <t>1491(3)</t>
  </si>
  <si>
    <t>P. Baker</t>
  </si>
  <si>
    <t>W.A. Campbell</t>
  </si>
  <si>
    <t>Redcliff</t>
  </si>
  <si>
    <t>C.O.F. Wright</t>
  </si>
  <si>
    <t>J.A. Turgeon</t>
  </si>
  <si>
    <t>3840(4)</t>
  </si>
  <si>
    <t>P. Christophers</t>
  </si>
  <si>
    <t>A. Morrison</t>
  </si>
  <si>
    <t>W. Sharpe</t>
  </si>
  <si>
    <t>Hon. Chas. Stewart</t>
  </si>
  <si>
    <t>Telesphore St. Arnaud</t>
  </si>
  <si>
    <t>E.H. Prudden</t>
  </si>
  <si>
    <t>J. Miller</t>
  </si>
  <si>
    <t>E.W. Lundy</t>
  </si>
  <si>
    <t>Dan Brox</t>
  </si>
  <si>
    <t>2695(2)</t>
  </si>
  <si>
    <t>W.J. Joly</t>
  </si>
  <si>
    <t>P.E. Lessard</t>
  </si>
  <si>
    <t>6299(8)</t>
  </si>
  <si>
    <t>Hon. A.J. McLean</t>
  </si>
  <si>
    <t>J.S. McCallum</t>
  </si>
  <si>
    <t>4461(9)</t>
  </si>
  <si>
    <t>3416(29)</t>
  </si>
  <si>
    <t>W. Fedun</t>
  </si>
  <si>
    <t>R.S. Love</t>
  </si>
  <si>
    <t>H. Strachan</t>
  </si>
  <si>
    <t>Thursday, June 7, 1917</t>
  </si>
  <si>
    <t xml:space="preserve">58 Members </t>
  </si>
  <si>
    <t>J.A. McColl</t>
  </si>
  <si>
    <t>A.G. Jonah</t>
  </si>
  <si>
    <t>L. Proudfoot</t>
  </si>
  <si>
    <t>(Deferred election, June 27, 1917)</t>
  </si>
  <si>
    <t xml:space="preserve">Elected in accordance with Chapter  38 of The Election Act  </t>
  </si>
  <si>
    <t>A.G. MacKay</t>
  </si>
  <si>
    <t>A.F. Fugl</t>
  </si>
  <si>
    <t>Wilfrid Gariepy</t>
  </si>
  <si>
    <t>Ambrose Gray</t>
  </si>
  <si>
    <t>Edmund F. Purcell</t>
  </si>
  <si>
    <t>Alex. Ross</t>
  </si>
  <si>
    <t>T.M.M. Tweedie</t>
  </si>
  <si>
    <t>W.M. Davidson</t>
  </si>
  <si>
    <t>Wm. Irwin</t>
  </si>
  <si>
    <t>John mcNeill</t>
  </si>
  <si>
    <t>Geo. P. Smith</t>
  </si>
  <si>
    <t>Frank P. Layton</t>
  </si>
  <si>
    <t>W.G. Smith</t>
  </si>
  <si>
    <t>Wm. Moffatt</t>
  </si>
  <si>
    <t>R.M. Frith</t>
  </si>
  <si>
    <t>Hon. C.W. Fisher</t>
  </si>
  <si>
    <t>H.E.G.H. Scholefield</t>
  </si>
  <si>
    <t>W.W. Wilson</t>
  </si>
  <si>
    <t>H.S. Northwood</t>
  </si>
  <si>
    <t>H.B. Atkins</t>
  </si>
  <si>
    <t>W.L. Tolton</t>
  </si>
  <si>
    <t>Edmonton-East</t>
  </si>
  <si>
    <t>Jas. Ramsey</t>
  </si>
  <si>
    <t>Fredk. Duncan</t>
  </si>
  <si>
    <t>Sydney R. Keeling</t>
  </si>
  <si>
    <t>Socialist</t>
  </si>
  <si>
    <t>Edmonton-South</t>
  </si>
  <si>
    <t>R.B Douglas</t>
  </si>
  <si>
    <t>Edson</t>
  </si>
  <si>
    <t>J.R. McIntosh</t>
  </si>
  <si>
    <t>John Reid</t>
  </si>
  <si>
    <t>Fred Davis</t>
  </si>
  <si>
    <t>J.P. McArthur</t>
  </si>
  <si>
    <t>J.M. Leedy</t>
  </si>
  <si>
    <t>J.L. Cote</t>
  </si>
  <si>
    <t>Eugene Gravel</t>
  </si>
  <si>
    <t>Dr. G.D Stanley</t>
  </si>
  <si>
    <t>D.F. Riley</t>
  </si>
  <si>
    <t>D. Morkeberg</t>
  </si>
  <si>
    <t>T.W. Archer</t>
  </si>
  <si>
    <t>J.K. Wilson</t>
  </si>
  <si>
    <t>R.E. Barker</t>
  </si>
  <si>
    <t>Geo. Currie</t>
  </si>
  <si>
    <t>Lethbridge City</t>
  </si>
  <si>
    <t>Dr. John S. Stewart</t>
  </si>
  <si>
    <t>H. Thomas</t>
  </si>
  <si>
    <t>Robt. Patterson</t>
  </si>
  <si>
    <t>Nelson Spencer</t>
  </si>
  <si>
    <t>J. Weir</t>
  </si>
  <si>
    <t>J.T. Cooper</t>
  </si>
  <si>
    <t>Geo. Hoadley</t>
  </si>
  <si>
    <t>Angus McIntosh</t>
  </si>
  <si>
    <t>Geo. H. Cloakey</t>
  </si>
  <si>
    <t>Wm. A. Rae</t>
  </si>
  <si>
    <t>D.H. Minchin</t>
  </si>
  <si>
    <t>L.H. Adair</t>
  </si>
  <si>
    <t>Gordon Macdonald</t>
  </si>
  <si>
    <t>J.H.W.S. Kemmis</t>
  </si>
  <si>
    <t>Thos. Hammond</t>
  </si>
  <si>
    <t>J.E. Hillier</t>
  </si>
  <si>
    <t>Non Partisan</t>
  </si>
  <si>
    <t>C.O. Cunningham</t>
  </si>
  <si>
    <t>J.G. Turgeon</t>
  </si>
  <si>
    <t>E. Michener</t>
  </si>
  <si>
    <t>Robt. B. Welliver</t>
  </si>
  <si>
    <t>Geo. Paton</t>
  </si>
  <si>
    <t>H.L. Laudry</t>
  </si>
  <si>
    <t>Jas. Brady</t>
  </si>
  <si>
    <t>J.R. Lavell</t>
  </si>
  <si>
    <t>Geo. McMorris</t>
  </si>
  <si>
    <t>J.R. Knight</t>
  </si>
  <si>
    <t>F.A. Smith</t>
  </si>
  <si>
    <t>J. Sutherland</t>
  </si>
  <si>
    <t>H. Mickleson</t>
  </si>
  <si>
    <t>3505 (13)</t>
  </si>
  <si>
    <t>4178 (21)</t>
  </si>
  <si>
    <t>1946 (11)</t>
  </si>
  <si>
    <t>2430 (3)</t>
  </si>
  <si>
    <t>3305 (8)</t>
  </si>
  <si>
    <t>2667 (6)</t>
  </si>
  <si>
    <t>1159 (8)</t>
  </si>
  <si>
    <t>1961 (13)</t>
  </si>
  <si>
    <t>4457 (3)</t>
  </si>
  <si>
    <t>2425 (1)</t>
  </si>
  <si>
    <t>1265 (4)</t>
  </si>
  <si>
    <t>9946 (2)</t>
  </si>
  <si>
    <t>5531 (2)</t>
  </si>
  <si>
    <t>317 (13)</t>
  </si>
  <si>
    <t>4781 (1)</t>
  </si>
  <si>
    <t>3812 (24)</t>
  </si>
  <si>
    <t>Thos. O. King</t>
  </si>
  <si>
    <t>Malcolm R. Gordon</t>
  </si>
  <si>
    <t>3859 (5)</t>
  </si>
  <si>
    <t>Hon. A.L. Sifton</t>
  </si>
  <si>
    <t>John B. Burch</t>
  </si>
  <si>
    <t>4030 (9)</t>
  </si>
  <si>
    <t>G.E. LeRoy Hudson</t>
  </si>
  <si>
    <t>Frank S. Leffingwell</t>
  </si>
  <si>
    <t>Hy. Jas. Tennant</t>
  </si>
  <si>
    <t>R.M. Angus</t>
  </si>
  <si>
    <t>2859 (8)</t>
  </si>
  <si>
    <t>PROVINCE AT LARGE</t>
  </si>
  <si>
    <t>Capt. Robt. Pearson</t>
  </si>
  <si>
    <t>Miss Roberta McAdams</t>
  </si>
  <si>
    <t>Pte. G.E. Harper</t>
  </si>
  <si>
    <t>Lt. Col. J.K. Cornwall</t>
  </si>
  <si>
    <t>Lt. Col. I.F. Page, D.S.O.</t>
  </si>
  <si>
    <t>Lt. Col. W.H. Hewgill</t>
  </si>
  <si>
    <t>Pte. T.A.P. Frost</t>
  </si>
  <si>
    <t>Major J. Walker</t>
  </si>
  <si>
    <t>Lt. Col. J.W.H. McKinnery</t>
  </si>
  <si>
    <t>Lt. Col. P.E. Bowen</t>
  </si>
  <si>
    <t>Pte. Herbert F. Stow</t>
  </si>
  <si>
    <t>Lt. Chas. H. Taylor</t>
  </si>
  <si>
    <t>Capt. W.D. Ferris</t>
  </si>
  <si>
    <t>Capt. A.M. Calderon</t>
  </si>
  <si>
    <t>Lt. Col. A.M. Jarvis, C.M.G.</t>
  </si>
  <si>
    <t>Capt. Lionel Asquith</t>
  </si>
  <si>
    <t>Capt. D.W. Gray</t>
  </si>
  <si>
    <t>Coy. Sgt. Maj. H.L. Bateson</t>
  </si>
  <si>
    <t>Lt. Col. A.E. Myatt</t>
  </si>
  <si>
    <t>Ord. room Sgt. A. Joyce</t>
  </si>
  <si>
    <t>Act. Staff sgt. C.M. Camroux</t>
  </si>
  <si>
    <t>Non-Partisan</t>
  </si>
  <si>
    <t>Total number of Soldiers and Nurses voting</t>
  </si>
  <si>
    <t>Thursday, April 17 , 1913</t>
  </si>
  <si>
    <t xml:space="preserve">56 Members </t>
  </si>
  <si>
    <t>John A. McColl</t>
  </si>
  <si>
    <t>W.D. Bentley</t>
  </si>
  <si>
    <t>J.R. Lowery</t>
  </si>
  <si>
    <t>N.C Lyster</t>
  </si>
  <si>
    <t>W.H. Anderson</t>
  </si>
  <si>
    <t>J.H. Wood</t>
  </si>
  <si>
    <t>George Lane</t>
  </si>
  <si>
    <t>H.W.H. Riley</t>
  </si>
  <si>
    <t>John McDougall</t>
  </si>
  <si>
    <t>G.H. Ross</t>
  </si>
  <si>
    <t>H.R. Burge</t>
  </si>
  <si>
    <t>C.T. Jones</t>
  </si>
  <si>
    <t>R.L. Rushton</t>
  </si>
  <si>
    <t>C. Jensen</t>
  </si>
  <si>
    <t>D.S. McMillan</t>
  </si>
  <si>
    <t>G. Malshow</t>
  </si>
  <si>
    <t>H.W. McKenney</t>
  </si>
  <si>
    <t>A.W. Taylor</t>
  </si>
  <si>
    <t>H.F. Jarrett</t>
  </si>
  <si>
    <t>1005 (1)</t>
  </si>
  <si>
    <t>Not Available</t>
  </si>
  <si>
    <t>F.H Whiteside</t>
  </si>
  <si>
    <t>Jos. E. Stauffer</t>
  </si>
  <si>
    <t>G.B. Sexsmith</t>
  </si>
  <si>
    <t>W.A. Griesbach</t>
  </si>
  <si>
    <t>J.D. Blayney</t>
  </si>
  <si>
    <t>14975 (10)</t>
  </si>
  <si>
    <t>A.C. Rutherford</t>
  </si>
  <si>
    <t>H.H. Verge</t>
  </si>
  <si>
    <t>Geo. McElroy</t>
  </si>
  <si>
    <t>1565 (3)</t>
  </si>
  <si>
    <t>O. Travers</t>
  </si>
  <si>
    <t>A.J. Robertson</t>
  </si>
  <si>
    <t>2936 (9)</t>
  </si>
  <si>
    <t>G.D Stanley</t>
  </si>
  <si>
    <t>R.L. McMillan</t>
  </si>
  <si>
    <t>F.W. Archer</t>
  </si>
  <si>
    <t>John A. Simpson</t>
  </si>
  <si>
    <t>Angus MacDonald</t>
  </si>
  <si>
    <t>Peter Gunn</t>
  </si>
  <si>
    <t>Geo. R. Barker</t>
  </si>
  <si>
    <t>1101 (9)</t>
  </si>
  <si>
    <t>Stanley G. Tobin</t>
  </si>
  <si>
    <t>Geo. Curry</t>
  </si>
  <si>
    <t>1387 (3)</t>
  </si>
  <si>
    <t>J.O. Jones</t>
  </si>
  <si>
    <t>F.A. Bryant</t>
  </si>
  <si>
    <t>Alfred Buddon</t>
  </si>
  <si>
    <t>J.T. MacDonald</t>
  </si>
  <si>
    <t>J. M. Glendenning</t>
  </si>
  <si>
    <t>John A. Turner</t>
  </si>
  <si>
    <t>1031 (3)</t>
  </si>
  <si>
    <t>Geo. Cloakey</t>
  </si>
  <si>
    <t>A. Patterson</t>
  </si>
  <si>
    <t>W. Rae</t>
  </si>
  <si>
    <t>W.F. Bredin</t>
  </si>
  <si>
    <t>1166 (3)</t>
  </si>
  <si>
    <t>(Deferred election, Sept. 2, 1913)</t>
  </si>
  <si>
    <t>(Deferred election, June 30, 1913)</t>
  </si>
  <si>
    <t>F.D Armitage</t>
  </si>
  <si>
    <t>1080 (5)</t>
  </si>
  <si>
    <t>John H.W.S. Kemmis</t>
  </si>
  <si>
    <t>A.N. Mount</t>
  </si>
  <si>
    <t>Geo. Gordon</t>
  </si>
  <si>
    <t>H.S. Gerow</t>
  </si>
  <si>
    <t>1532 (4)</t>
  </si>
  <si>
    <t>Geo. Patton</t>
  </si>
  <si>
    <t>Jas. G. Turgeon</t>
  </si>
  <si>
    <t>Wm. J. Blair</t>
  </si>
  <si>
    <t>1642 (5)</t>
  </si>
  <si>
    <t>Robt. E. Campbell</t>
  </si>
  <si>
    <t>Chas. M.W. O'Brien</t>
  </si>
  <si>
    <t>Wm. B. Powell</t>
  </si>
  <si>
    <t>2523 (5)</t>
  </si>
  <si>
    <t>1382 (1)</t>
  </si>
  <si>
    <t>L. Garneau</t>
  </si>
  <si>
    <t>942 (4)</t>
  </si>
  <si>
    <t>W. Watson</t>
  </si>
  <si>
    <t>2019 (3)</t>
  </si>
  <si>
    <t>Geo. W. Morris</t>
  </si>
  <si>
    <t>Robert L. Shaw</t>
  </si>
  <si>
    <t>Malcolm McNeil</t>
  </si>
  <si>
    <t>C. Weidenhammer</t>
  </si>
  <si>
    <t>J.A. McPherson</t>
  </si>
  <si>
    <t>1179 (4)</t>
  </si>
  <si>
    <t>J.D. Hyndman</t>
  </si>
  <si>
    <t>Wm. C. Ives</t>
  </si>
  <si>
    <t>Thos. E. Smith</t>
  </si>
  <si>
    <t>Peter Savarich</t>
  </si>
  <si>
    <t>F.A. Morrison</t>
  </si>
  <si>
    <t>2179 (1)</t>
  </si>
  <si>
    <t>J.G. Clark</t>
  </si>
  <si>
    <t>G. Krikevsky</t>
  </si>
  <si>
    <t>1981 (6)</t>
  </si>
  <si>
    <t>R.A. Bennett</t>
  </si>
  <si>
    <t>M. Gowda</t>
  </si>
  <si>
    <t>1664 (2)</t>
  </si>
  <si>
    <t>H.Y. Pawling</t>
  </si>
  <si>
    <t>Wm. T. Patton</t>
  </si>
  <si>
    <t>W.H. Scott</t>
  </si>
  <si>
    <t>Chas. H. Olin</t>
  </si>
  <si>
    <t>Geo. B. Campbell</t>
  </si>
  <si>
    <t>1455 (9)</t>
  </si>
  <si>
    <t>Paul Rudyk</t>
  </si>
  <si>
    <t>R.L. Hughson</t>
  </si>
  <si>
    <t>Monday, March 22, 1909</t>
  </si>
  <si>
    <t xml:space="preserve">41 Members </t>
  </si>
  <si>
    <t>A.B. Moore</t>
  </si>
  <si>
    <t>(Deferred election, July 15, 1909)</t>
  </si>
  <si>
    <t>V. Mauricw</t>
  </si>
  <si>
    <t>1555 (10)</t>
  </si>
  <si>
    <t>Hon. W.H. Cushing</t>
  </si>
  <si>
    <t>R.B. Bennett</t>
  </si>
  <si>
    <t>Dr. Egbert</t>
  </si>
  <si>
    <t>Dr. Blow</t>
  </si>
  <si>
    <t>Geo. Howell</t>
  </si>
  <si>
    <t>G.P. Smith</t>
  </si>
  <si>
    <t>I.W.T. McEachern</t>
  </si>
  <si>
    <t>J.W. Woolf</t>
  </si>
  <si>
    <t>Levi Harker</t>
  </si>
  <si>
    <t>1018 (2)</t>
  </si>
  <si>
    <t>M. McKenzie</t>
  </si>
  <si>
    <t>J.F. Garrow</t>
  </si>
  <si>
    <t>R.G. Brett</t>
  </si>
  <si>
    <t>1034 (3)</t>
  </si>
  <si>
    <t>J.E. Stauffer</t>
  </si>
  <si>
    <t>S.T.Scarlett</t>
  </si>
  <si>
    <t>Con. Hiebert</t>
  </si>
  <si>
    <t>2054 (1)</t>
  </si>
  <si>
    <t>John A. McDougall</t>
  </si>
  <si>
    <t>John Gailbraith</t>
  </si>
  <si>
    <t>E.H. Riley</t>
  </si>
  <si>
    <t>Jas. Shouldice</t>
  </si>
  <si>
    <t>1666 (1)</t>
  </si>
  <si>
    <t>L.M. Roberts</t>
  </si>
  <si>
    <t>Dr. Stanley</t>
  </si>
  <si>
    <t>G.W. West</t>
  </si>
  <si>
    <t>R.T. Telford</t>
  </si>
  <si>
    <t>Lethbridge District</t>
  </si>
  <si>
    <t>W.A. Buchannan</t>
  </si>
  <si>
    <t>W.C. Ives</t>
  </si>
  <si>
    <t>D. McNabb</t>
  </si>
  <si>
    <t>A.J. McLean</t>
  </si>
  <si>
    <t>J.H. Rivers</t>
  </si>
  <si>
    <t>Colin Genge</t>
  </si>
  <si>
    <t>E.P. McNeill</t>
  </si>
  <si>
    <t>851 (4)</t>
  </si>
  <si>
    <t>Hon. W.T. Finlay</t>
  </si>
  <si>
    <t>F.O. Sissions</t>
  </si>
  <si>
    <t>2119 (6)</t>
  </si>
  <si>
    <t>A.G. Robertson</t>
  </si>
  <si>
    <t>1042 (3)</t>
  </si>
  <si>
    <t>M. McHardy</t>
  </si>
  <si>
    <t>1230 (2)</t>
  </si>
  <si>
    <t>D. Marshall</t>
  </si>
  <si>
    <t>Geo. McDonald</t>
  </si>
  <si>
    <t>Pakan</t>
  </si>
  <si>
    <t>W.H. McKenney</t>
  </si>
  <si>
    <t>Dr. Warnock</t>
  </si>
  <si>
    <t>E.J. Mitchell</t>
  </si>
  <si>
    <t>820 (11)</t>
  </si>
  <si>
    <t>Dr. W.A. Campbell</t>
  </si>
  <si>
    <t>J.A. Jackson</t>
  </si>
  <si>
    <t>John T. Moore</t>
  </si>
  <si>
    <t>O. McLure</t>
  </si>
  <si>
    <t>C.M. O'Brien</t>
  </si>
  <si>
    <t>J.A. Macdonald</t>
  </si>
  <si>
    <t>H.E. Lyon</t>
  </si>
  <si>
    <t>Chas. Stewart</t>
  </si>
  <si>
    <t>L. Boudreau</t>
  </si>
  <si>
    <t>W. Gariepy</t>
  </si>
  <si>
    <t>O St. Germain</t>
  </si>
  <si>
    <t>L.R. Shaw</t>
  </si>
  <si>
    <t>J.K. Creighton</t>
  </si>
  <si>
    <t>1690 (7)</t>
  </si>
  <si>
    <t>John McPherson</t>
  </si>
  <si>
    <t>Dan Bronx</t>
  </si>
  <si>
    <t>C.R. Cropley</t>
  </si>
  <si>
    <t>John Mckinley</t>
  </si>
  <si>
    <t>1086 (3)</t>
  </si>
  <si>
    <t>J.R. Boyle</t>
  </si>
  <si>
    <t>J.B. Holden</t>
  </si>
  <si>
    <t>F.W. Fane</t>
  </si>
  <si>
    <t>2353 (6)</t>
  </si>
  <si>
    <t>A. Campbell</t>
  </si>
  <si>
    <t>Rev. A.R. Aldridge</t>
  </si>
  <si>
    <t>2054 (11)</t>
  </si>
  <si>
    <t>J.G. Anderson</t>
  </si>
  <si>
    <t>1511 (1)</t>
  </si>
  <si>
    <t>Thursday, November 9, 1905</t>
  </si>
  <si>
    <t xml:space="preserve">25 Members </t>
  </si>
  <si>
    <t>William Fletcher Bredin</t>
  </si>
  <si>
    <t>C.W. Fisher</t>
  </si>
  <si>
    <t>Calgary-City</t>
  </si>
  <si>
    <t>Richard B. Bennett</t>
  </si>
  <si>
    <t>A.D. Macdonald</t>
  </si>
  <si>
    <t>John W. Woolf</t>
  </si>
  <si>
    <t>John F. Parrish</t>
  </si>
  <si>
    <t>Edmonton-City</t>
  </si>
  <si>
    <t>C.W. Cross</t>
  </si>
  <si>
    <t>Charles A. Stuart</t>
  </si>
  <si>
    <t>John W. Hayes</t>
  </si>
  <si>
    <t>Albert J. Robertson</t>
  </si>
  <si>
    <t>Wilford B. Thorne</t>
  </si>
  <si>
    <t>Richard A. Wallace</t>
  </si>
  <si>
    <t>J.A. Simpson</t>
  </si>
  <si>
    <t>Sam J. Curry</t>
  </si>
  <si>
    <t>William F. Puffer</t>
  </si>
  <si>
    <t>Andrew Gilmour</t>
  </si>
  <si>
    <t>C.E.A. Simonds</t>
  </si>
  <si>
    <t>William C. Ives</t>
  </si>
  <si>
    <t>Leverett G. DeVeber</t>
  </si>
  <si>
    <t>David J. Crier</t>
  </si>
  <si>
    <t>Malcolm Mckenzie</t>
  </si>
  <si>
    <t>Duncan J.D.K. Campbell</t>
  </si>
  <si>
    <t>W.T. Finlay</t>
  </si>
  <si>
    <t>F.D. Sissions</t>
  </si>
  <si>
    <t>Thos. A. Brick</t>
  </si>
  <si>
    <t>John A. Jackson</t>
  </si>
  <si>
    <t>J.R. McLeod</t>
  </si>
  <si>
    <t>J.P. Marcellus</t>
  </si>
  <si>
    <t>F.A. Sherman</t>
  </si>
  <si>
    <t>Leonard Gaetz</t>
  </si>
  <si>
    <t>Alexander D. McKenzie</t>
  </si>
  <si>
    <t>Rosebud</t>
  </si>
  <si>
    <t>Dr. M. Clark</t>
  </si>
  <si>
    <t>C. Hiebert</t>
  </si>
  <si>
    <t>Joseph Reid</t>
  </si>
  <si>
    <t>Henry W. McKenny</t>
  </si>
  <si>
    <t>Conrad Weidenhammer</t>
  </si>
  <si>
    <t>John A. McPherson</t>
  </si>
  <si>
    <t>F.W. Crang</t>
  </si>
  <si>
    <t>Frank Knight</t>
  </si>
  <si>
    <t>John R. Boyle</t>
  </si>
  <si>
    <t>M. McCauley</t>
  </si>
  <si>
    <t>F. Fane</t>
  </si>
  <si>
    <t>Francis A. Walker</t>
  </si>
  <si>
    <t>John W. Shera</t>
  </si>
  <si>
    <t>A.L. Rosenroll</t>
  </si>
  <si>
    <t>R.W. Angus</t>
  </si>
  <si>
    <t>Ralph Sorenson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</si>
</sst>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0.0%"/>
    <numFmt numFmtId="168" formatCode="0.00_)"/>
    <numFmt numFmtId="169" formatCode="#,##0.0"/>
  </numFmts>
  <fonts count="1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2"/>
      <name val="Times New Roman"/>
      <family val="1"/>
    </font>
    <font>
      <b/>
      <sz val="8"/>
      <name val="Times New Roman"/>
      <family val="1"/>
    </font>
    <font>
      <i/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Border="1"/>
    <xf numFmtId="0" fontId="2" fillId="0" borderId="0" xfId="0" applyFont="1" applyProtection="1"/>
    <xf numFmtId="0" fontId="3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2" fillId="0" borderId="0" xfId="0" applyFont="1" applyBorder="1" applyProtection="1"/>
    <xf numFmtId="0" fontId="2" fillId="0" borderId="0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3" fontId="2" fillId="0" borderId="0" xfId="0" applyNumberFormat="1" applyFont="1" applyBorder="1" applyAlignment="1">
      <alignment horizontal="right"/>
    </xf>
    <xf numFmtId="0" fontId="3" fillId="0" borderId="0" xfId="0" applyFont="1" applyBorder="1"/>
    <xf numFmtId="2" fontId="2" fillId="0" borderId="0" xfId="1" applyNumberFormat="1" applyFont="1" applyAlignment="1">
      <alignment horizontal="left"/>
    </xf>
    <xf numFmtId="3" fontId="2" fillId="0" borderId="0" xfId="1" applyNumberFormat="1" applyFont="1" applyAlignment="1">
      <alignment horizontal="right"/>
    </xf>
    <xf numFmtId="3" fontId="2" fillId="0" borderId="0" xfId="1" applyNumberFormat="1" applyFont="1" applyAlignment="1">
      <alignment horizontal="right" wrapText="1"/>
    </xf>
    <xf numFmtId="0" fontId="2" fillId="0" borderId="0" xfId="0" applyFont="1" applyAlignment="1">
      <alignment vertical="top"/>
    </xf>
    <xf numFmtId="3" fontId="2" fillId="0" borderId="0" xfId="0" applyNumberFormat="1" applyFont="1" applyAlignment="1">
      <alignment horizontal="right"/>
    </xf>
    <xf numFmtId="0" fontId="3" fillId="0" borderId="0" xfId="0" applyFont="1" applyAlignment="1">
      <alignment vertical="top"/>
    </xf>
    <xf numFmtId="3" fontId="2" fillId="0" borderId="0" xfId="0" applyNumberFormat="1" applyFont="1"/>
    <xf numFmtId="0" fontId="2" fillId="0" borderId="1" xfId="0" applyFont="1" applyBorder="1"/>
    <xf numFmtId="3" fontId="2" fillId="0" borderId="1" xfId="0" applyNumberFormat="1" applyFont="1" applyBorder="1"/>
    <xf numFmtId="3" fontId="2" fillId="0" borderId="0" xfId="1" applyNumberFormat="1" applyFont="1"/>
    <xf numFmtId="169" fontId="2" fillId="0" borderId="0" xfId="0" applyNumberFormat="1" applyFont="1"/>
    <xf numFmtId="0" fontId="2" fillId="0" borderId="0" xfId="0" applyFont="1" applyFill="1"/>
    <xf numFmtId="3" fontId="2" fillId="0" borderId="0" xfId="1" applyNumberFormat="1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vertical="top"/>
    </xf>
    <xf numFmtId="168" fontId="2" fillId="0" borderId="0" xfId="0" applyNumberFormat="1" applyFont="1" applyBorder="1" applyAlignment="1" applyProtection="1">
      <alignment horizontal="left"/>
    </xf>
    <xf numFmtId="3" fontId="2" fillId="0" borderId="0" xfId="1" applyNumberFormat="1" applyFont="1" applyFill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1" applyNumberFormat="1" applyFont="1" applyBorder="1" applyAlignment="1">
      <alignment horizontal="right"/>
    </xf>
    <xf numFmtId="169" fontId="2" fillId="0" borderId="0" xfId="1" applyNumberFormat="1" applyFont="1"/>
    <xf numFmtId="169" fontId="2" fillId="0" borderId="0" xfId="1" applyNumberFormat="1" applyFont="1" applyBorder="1"/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top"/>
    </xf>
    <xf numFmtId="169" fontId="2" fillId="0" borderId="1" xfId="1" applyNumberFormat="1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justify" vertical="top" wrapText="1"/>
    </xf>
    <xf numFmtId="3" fontId="2" fillId="0" borderId="0" xfId="0" applyNumberFormat="1" applyFont="1" applyAlignment="1">
      <alignment horizontal="justify" vertical="top" wrapText="1"/>
    </xf>
    <xf numFmtId="3" fontId="2" fillId="0" borderId="0" xfId="0" applyNumberFormat="1" applyFont="1" applyAlignment="1">
      <alignment horizontal="right" vertical="top" wrapText="1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 applyProtection="1">
      <alignment vertical="top" wrapText="1"/>
    </xf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/>
    <xf numFmtId="0" fontId="4" fillId="0" borderId="0" xfId="0" applyFont="1"/>
    <xf numFmtId="0" fontId="3" fillId="0" borderId="0" xfId="0" applyFont="1" applyBorder="1" applyAlignment="1"/>
    <xf numFmtId="3" fontId="2" fillId="0" borderId="0" xfId="0" applyNumberFormat="1" applyFont="1" applyBorder="1" applyAlignment="1">
      <alignment horizontal="right" vertical="top"/>
    </xf>
    <xf numFmtId="0" fontId="4" fillId="0" borderId="0" xfId="0" applyFont="1" applyAlignment="1">
      <alignment vertical="center"/>
    </xf>
    <xf numFmtId="0" fontId="4" fillId="0" borderId="2" xfId="0" applyFont="1" applyFill="1" applyBorder="1" applyAlignment="1">
      <alignment vertical="center" wrapText="1"/>
    </xf>
    <xf numFmtId="49" fontId="4" fillId="0" borderId="2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top" wrapText="1"/>
    </xf>
    <xf numFmtId="49" fontId="3" fillId="0" borderId="0" xfId="0" applyNumberFormat="1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top" wrapText="1"/>
    </xf>
    <xf numFmtId="49" fontId="4" fillId="0" borderId="0" xfId="0" applyNumberFormat="1" applyFont="1" applyFill="1" applyBorder="1" applyAlignment="1">
      <alignment horizontal="center" vertical="top" wrapText="1"/>
    </xf>
    <xf numFmtId="165" fontId="4" fillId="0" borderId="0" xfId="1" applyNumberFormat="1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/>
    </xf>
    <xf numFmtId="0" fontId="3" fillId="0" borderId="0" xfId="0" applyFont="1" applyFill="1" applyBorder="1" applyAlignment="1">
      <alignment horizontal="left" vertical="top" wrapText="1"/>
    </xf>
    <xf numFmtId="49" fontId="2" fillId="0" borderId="0" xfId="0" applyNumberFormat="1" applyFont="1" applyBorder="1"/>
    <xf numFmtId="2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Border="1" applyAlignment="1" applyProtection="1">
      <alignment horizontal="center" vertical="top" wrapText="1"/>
    </xf>
    <xf numFmtId="0" fontId="4" fillId="0" borderId="0" xfId="0" applyFont="1" applyFill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3" fontId="4" fillId="0" borderId="2" xfId="1" applyNumberFormat="1" applyFont="1" applyFill="1" applyBorder="1" applyAlignment="1">
      <alignment horizontal="center" vertical="center" wrapText="1"/>
    </xf>
    <xf numFmtId="169" fontId="4" fillId="0" borderId="2" xfId="0" applyNumberFormat="1" applyFont="1" applyFill="1" applyBorder="1" applyAlignment="1">
      <alignment horizontal="center" vertical="center" wrapText="1"/>
    </xf>
    <xf numFmtId="3" fontId="4" fillId="0" borderId="3" xfId="1" applyNumberFormat="1" applyFont="1" applyBorder="1" applyAlignment="1">
      <alignment horizontal="right" vertical="top" wrapText="1"/>
    </xf>
    <xf numFmtId="49" fontId="2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/>
    <xf numFmtId="49" fontId="2" fillId="0" borderId="0" xfId="0" applyNumberFormat="1" applyFont="1" applyFill="1" applyBorder="1"/>
    <xf numFmtId="2" fontId="2" fillId="0" borderId="0" xfId="0" applyNumberFormat="1" applyFont="1" applyAlignment="1">
      <alignment vertical="top"/>
    </xf>
    <xf numFmtId="169" fontId="3" fillId="0" borderId="0" xfId="1" applyNumberFormat="1" applyFont="1" applyFill="1" applyBorder="1" applyAlignment="1">
      <alignment horizontal="right" vertical="top" wrapText="1"/>
    </xf>
    <xf numFmtId="169" fontId="2" fillId="0" borderId="0" xfId="1" applyNumberFormat="1" applyFont="1" applyAlignment="1">
      <alignment horizontal="right"/>
    </xf>
    <xf numFmtId="169" fontId="2" fillId="0" borderId="0" xfId="0" applyNumberFormat="1" applyFont="1" applyAlignment="1">
      <alignment horizontal="right"/>
    </xf>
    <xf numFmtId="169" fontId="2" fillId="0" borderId="0" xfId="0" applyNumberFormat="1" applyFont="1" applyAlignment="1">
      <alignment horizontal="right" wrapText="1"/>
    </xf>
    <xf numFmtId="169" fontId="2" fillId="0" borderId="0" xfId="1" applyNumberFormat="1" applyFont="1" applyFill="1" applyBorder="1" applyAlignment="1">
      <alignment horizontal="right"/>
    </xf>
    <xf numFmtId="169" fontId="2" fillId="0" borderId="0" xfId="1" applyNumberFormat="1" applyFont="1" applyBorder="1" applyAlignment="1">
      <alignment horizontal="right"/>
    </xf>
    <xf numFmtId="3" fontId="5" fillId="0" borderId="0" xfId="0" applyNumberFormat="1" applyFont="1" applyAlignment="1">
      <alignment horizontal="left"/>
    </xf>
    <xf numFmtId="3" fontId="3" fillId="0" borderId="0" xfId="1" applyNumberFormat="1" applyFont="1" applyFill="1" applyBorder="1" applyAlignment="1">
      <alignment horizontal="right" vertical="top" wrapText="1"/>
    </xf>
    <xf numFmtId="3" fontId="2" fillId="0" borderId="0" xfId="1" applyNumberFormat="1" applyFont="1" applyFill="1" applyBorder="1" applyAlignment="1">
      <alignment horizontal="right"/>
    </xf>
    <xf numFmtId="3" fontId="5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 vertical="top"/>
    </xf>
    <xf numFmtId="169" fontId="2" fillId="0" borderId="0" xfId="0" applyNumberFormat="1" applyFont="1" applyAlignment="1">
      <alignment horizontal="right" vertical="top"/>
    </xf>
    <xf numFmtId="3" fontId="4" fillId="0" borderId="0" xfId="0" applyNumberFormat="1" applyFont="1" applyBorder="1" applyAlignment="1" applyProtection="1">
      <alignment horizontal="right" vertical="top" wrapText="1"/>
    </xf>
    <xf numFmtId="3" fontId="2" fillId="0" borderId="0" xfId="0" applyNumberFormat="1" applyFont="1" applyAlignment="1" applyProtection="1">
      <alignment horizontal="right"/>
    </xf>
    <xf numFmtId="3" fontId="2" fillId="0" borderId="0" xfId="0" applyNumberFormat="1" applyFont="1" applyBorder="1" applyAlignment="1" applyProtection="1">
      <alignment horizontal="right"/>
    </xf>
    <xf numFmtId="3" fontId="2" fillId="0" borderId="0" xfId="0" applyNumberFormat="1" applyFont="1" applyBorder="1" applyAlignment="1" applyProtection="1">
      <alignment horizontal="right" vertical="top"/>
    </xf>
    <xf numFmtId="3" fontId="2" fillId="0" borderId="0" xfId="1" applyNumberFormat="1" applyFont="1" applyAlignment="1" applyProtection="1">
      <alignment horizontal="center"/>
    </xf>
    <xf numFmtId="3" fontId="2" fillId="0" borderId="0" xfId="1" applyNumberFormat="1" applyFont="1" applyBorder="1" applyAlignment="1" applyProtection="1">
      <alignment horizontal="center"/>
    </xf>
    <xf numFmtId="3" fontId="4" fillId="0" borderId="0" xfId="1" applyNumberFormat="1" applyFont="1" applyFill="1" applyBorder="1" applyAlignment="1">
      <alignment horizontal="right" vertical="top" wrapText="1"/>
    </xf>
    <xf numFmtId="3" fontId="2" fillId="0" borderId="0" xfId="1" applyNumberFormat="1" applyFont="1" applyAlignment="1" applyProtection="1">
      <alignment horizontal="right"/>
    </xf>
    <xf numFmtId="3" fontId="2" fillId="0" borderId="0" xfId="1" applyNumberFormat="1" applyFont="1" applyBorder="1" applyAlignment="1" applyProtection="1">
      <alignment horizontal="right"/>
    </xf>
    <xf numFmtId="3" fontId="2" fillId="0" borderId="0" xfId="1" applyNumberFormat="1" applyFont="1" applyBorder="1" applyAlignment="1" applyProtection="1">
      <alignment horizontal="right" vertical="top"/>
    </xf>
    <xf numFmtId="169" fontId="2" fillId="0" borderId="0" xfId="0" applyNumberFormat="1" applyFont="1" applyAlignment="1" applyProtection="1">
      <alignment horizontal="center"/>
    </xf>
    <xf numFmtId="169" fontId="2" fillId="0" borderId="0" xfId="0" applyNumberFormat="1" applyFont="1" applyBorder="1" applyAlignment="1" applyProtection="1">
      <alignment horizontal="center"/>
    </xf>
    <xf numFmtId="169" fontId="2" fillId="0" borderId="0" xfId="0" applyNumberFormat="1" applyFont="1" applyAlignment="1">
      <alignment horizontal="center"/>
    </xf>
    <xf numFmtId="169" fontId="2" fillId="0" borderId="0" xfId="0" applyNumberFormat="1" applyFont="1" applyBorder="1" applyAlignment="1">
      <alignment horizontal="center"/>
    </xf>
    <xf numFmtId="169" fontId="6" fillId="0" borderId="0" xfId="0" applyNumberFormat="1" applyFont="1" applyBorder="1" applyAlignment="1" applyProtection="1">
      <alignment horizontal="right" vertical="top" wrapText="1"/>
    </xf>
    <xf numFmtId="169" fontId="4" fillId="0" borderId="0" xfId="1" applyNumberFormat="1" applyFont="1" applyBorder="1" applyAlignment="1" applyProtection="1">
      <alignment horizontal="right" vertical="top" wrapText="1"/>
    </xf>
    <xf numFmtId="169" fontId="2" fillId="0" borderId="0" xfId="0" applyNumberFormat="1" applyFont="1" applyAlignment="1" applyProtection="1">
      <alignment horizontal="right"/>
    </xf>
    <xf numFmtId="169" fontId="2" fillId="0" borderId="0" xfId="0" applyNumberFormat="1" applyFont="1" applyBorder="1" applyAlignment="1" applyProtection="1">
      <alignment horizontal="right"/>
    </xf>
    <xf numFmtId="169" fontId="2" fillId="0" borderId="0" xfId="0" applyNumberFormat="1" applyFont="1" applyBorder="1" applyAlignment="1">
      <alignment horizontal="right"/>
    </xf>
    <xf numFmtId="169" fontId="2" fillId="0" borderId="0" xfId="0" applyNumberFormat="1" applyFont="1" applyBorder="1" applyAlignment="1" applyProtection="1">
      <alignment horizontal="right" vertical="top"/>
    </xf>
    <xf numFmtId="169" fontId="2" fillId="0" borderId="0" xfId="0" applyNumberFormat="1" applyFont="1" applyBorder="1" applyAlignment="1">
      <alignment horizontal="right" vertical="top"/>
    </xf>
    <xf numFmtId="169" fontId="2" fillId="0" borderId="0" xfId="2" applyNumberFormat="1" applyFont="1" applyBorder="1" applyAlignment="1">
      <alignment horizontal="right"/>
    </xf>
    <xf numFmtId="169" fontId="2" fillId="0" borderId="0" xfId="2" applyNumberFormat="1" applyFont="1" applyBorder="1" applyAlignment="1">
      <alignment horizontal="right" vertical="top"/>
    </xf>
    <xf numFmtId="169" fontId="2" fillId="0" borderId="0" xfId="2" applyNumberFormat="1" applyFont="1" applyAlignment="1">
      <alignment horizontal="right"/>
    </xf>
    <xf numFmtId="3" fontId="4" fillId="0" borderId="0" xfId="0" applyNumberFormat="1" applyFont="1" applyBorder="1" applyAlignment="1">
      <alignment horizontal="right" vertical="top" wrapText="1"/>
    </xf>
    <xf numFmtId="169" fontId="4" fillId="0" borderId="0" xfId="0" applyNumberFormat="1" applyFont="1" applyBorder="1" applyAlignment="1">
      <alignment horizontal="right" vertical="top" wrapText="1"/>
    </xf>
    <xf numFmtId="169" fontId="4" fillId="0" borderId="0" xfId="2" applyNumberFormat="1" applyFont="1" applyBorder="1" applyAlignment="1">
      <alignment horizontal="right" vertical="top" wrapText="1"/>
    </xf>
    <xf numFmtId="0" fontId="2" fillId="0" borderId="0" xfId="0" applyFont="1" applyBorder="1" applyAlignment="1" applyProtection="1">
      <alignment horizontal="left" indent="1"/>
    </xf>
    <xf numFmtId="169" fontId="2" fillId="0" borderId="1" xfId="1" applyNumberFormat="1" applyFont="1" applyBorder="1" applyAlignment="1">
      <alignment horizontal="right"/>
    </xf>
    <xf numFmtId="169" fontId="2" fillId="0" borderId="1" xfId="0" applyNumberFormat="1" applyFont="1" applyBorder="1"/>
    <xf numFmtId="169" fontId="2" fillId="0" borderId="1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 indent="1"/>
    </xf>
    <xf numFmtId="2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vertical="top" wrapText="1"/>
    </xf>
    <xf numFmtId="0" fontId="5" fillId="0" borderId="0" xfId="0" applyFont="1" applyAlignment="1">
      <alignment horizontal="left" vertical="top"/>
    </xf>
    <xf numFmtId="0" fontId="3" fillId="0" borderId="0" xfId="0" applyFont="1" applyFill="1" applyBorder="1"/>
    <xf numFmtId="0" fontId="2" fillId="0" borderId="0" xfId="0" applyFont="1" applyAlignment="1">
      <alignment horizontal="left" indent="1"/>
    </xf>
    <xf numFmtId="169" fontId="4" fillId="0" borderId="0" xfId="0" applyNumberFormat="1" applyFont="1" applyFill="1" applyBorder="1" applyAlignment="1">
      <alignment horizontal="center" vertical="top" wrapText="1"/>
    </xf>
    <xf numFmtId="169" fontId="4" fillId="0" borderId="0" xfId="0" applyNumberFormat="1" applyFont="1" applyFill="1" applyBorder="1" applyAlignment="1">
      <alignment horizontal="right" vertical="top" wrapText="1"/>
    </xf>
    <xf numFmtId="169" fontId="4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right" vertical="top" wrapText="1"/>
    </xf>
    <xf numFmtId="169" fontId="2" fillId="0" borderId="0" xfId="0" applyNumberFormat="1" applyFont="1" applyBorder="1"/>
    <xf numFmtId="169" fontId="2" fillId="0" borderId="0" xfId="0" applyNumberFormat="1" applyFont="1" applyAlignment="1">
      <alignment horizontal="justify" vertical="top" wrapText="1"/>
    </xf>
    <xf numFmtId="0" fontId="4" fillId="0" borderId="3" xfId="0" applyFont="1" applyBorder="1" applyAlignment="1">
      <alignment horizontal="left" vertical="top"/>
    </xf>
    <xf numFmtId="0" fontId="5" fillId="0" borderId="3" xfId="0" applyFont="1" applyBorder="1" applyAlignment="1">
      <alignment horizontal="left"/>
    </xf>
    <xf numFmtId="37" fontId="2" fillId="0" borderId="0" xfId="0" applyNumberFormat="1" applyFont="1" applyAlignment="1" applyProtection="1">
      <alignment horizontal="right"/>
    </xf>
    <xf numFmtId="169" fontId="2" fillId="0" borderId="0" xfId="0" applyNumberFormat="1" applyFont="1" applyProtection="1"/>
    <xf numFmtId="165" fontId="2" fillId="0" borderId="0" xfId="1" applyNumberFormat="1" applyFont="1" applyProtection="1"/>
    <xf numFmtId="3" fontId="2" fillId="0" borderId="0" xfId="1" applyNumberFormat="1" applyFont="1" applyProtection="1"/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 applyProtection="1">
      <alignment horizontal="center" vertical="top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left" indent="1"/>
    </xf>
    <xf numFmtId="0" fontId="2" fillId="0" borderId="1" xfId="0" applyFont="1" applyFill="1" applyBorder="1"/>
    <xf numFmtId="49" fontId="2" fillId="0" borderId="1" xfId="0" applyNumberFormat="1" applyFont="1" applyFill="1" applyBorder="1"/>
    <xf numFmtId="3" fontId="2" fillId="0" borderId="1" xfId="1" applyNumberFormat="1" applyFont="1" applyFill="1" applyBorder="1" applyAlignment="1">
      <alignment horizontal="right"/>
    </xf>
    <xf numFmtId="169" fontId="2" fillId="0" borderId="1" xfId="1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169" fontId="2" fillId="0" borderId="1" xfId="0" applyNumberFormat="1" applyFont="1" applyFill="1" applyBorder="1" applyAlignment="1">
      <alignment horizontal="right"/>
    </xf>
    <xf numFmtId="3" fontId="2" fillId="0" borderId="0" xfId="0" applyNumberFormat="1" applyFont="1" applyBorder="1"/>
    <xf numFmtId="0" fontId="2" fillId="0" borderId="0" xfId="0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right"/>
    </xf>
    <xf numFmtId="169" fontId="2" fillId="0" borderId="0" xfId="2" applyNumberFormat="1" applyFont="1" applyFill="1" applyBorder="1" applyAlignment="1">
      <alignment horizontal="right"/>
    </xf>
    <xf numFmtId="3" fontId="2" fillId="0" borderId="4" xfId="1" applyNumberFormat="1" applyFont="1" applyBorder="1" applyAlignment="1">
      <alignment horizontal="right"/>
    </xf>
    <xf numFmtId="169" fontId="2" fillId="0" borderId="4" xfId="1" applyNumberFormat="1" applyFont="1" applyBorder="1"/>
    <xf numFmtId="3" fontId="2" fillId="0" borderId="4" xfId="0" applyNumberFormat="1" applyFont="1" applyBorder="1"/>
    <xf numFmtId="169" fontId="2" fillId="0" borderId="4" xfId="1" applyNumberFormat="1" applyFont="1" applyBorder="1" applyAlignment="1">
      <alignment horizontal="right"/>
    </xf>
    <xf numFmtId="3" fontId="2" fillId="0" borderId="4" xfId="1" applyNumberFormat="1" applyFont="1" applyBorder="1"/>
    <xf numFmtId="169" fontId="2" fillId="0" borderId="4" xfId="1" applyNumberFormat="1" applyFont="1" applyBorder="1" applyAlignment="1">
      <alignment horizontal="right" vertical="top"/>
    </xf>
    <xf numFmtId="3" fontId="2" fillId="0" borderId="4" xfId="1" applyNumberFormat="1" applyFont="1" applyBorder="1" applyAlignment="1" applyProtection="1">
      <alignment horizontal="right"/>
    </xf>
    <xf numFmtId="3" fontId="2" fillId="0" borderId="4" xfId="0" applyNumberFormat="1" applyFont="1" applyBorder="1" applyAlignment="1">
      <alignment horizontal="right"/>
    </xf>
    <xf numFmtId="169" fontId="2" fillId="0" borderId="4" xfId="0" applyNumberFormat="1" applyFont="1" applyBorder="1"/>
    <xf numFmtId="169" fontId="2" fillId="0" borderId="4" xfId="0" applyNumberFormat="1" applyFont="1" applyBorder="1" applyAlignment="1">
      <alignment horizontal="right"/>
    </xf>
    <xf numFmtId="169" fontId="2" fillId="0" borderId="4" xfId="2" applyNumberFormat="1" applyFont="1" applyBorder="1" applyAlignment="1">
      <alignment horizontal="right"/>
    </xf>
    <xf numFmtId="3" fontId="2" fillId="0" borderId="4" xfId="1" applyNumberFormat="1" applyFont="1" applyBorder="1" applyAlignment="1">
      <alignment horizontal="right" wrapText="1"/>
    </xf>
    <xf numFmtId="3" fontId="2" fillId="0" borderId="4" xfId="0" applyNumberFormat="1" applyFont="1" applyBorder="1" applyAlignment="1" applyProtection="1">
      <alignment horizontal="right"/>
    </xf>
    <xf numFmtId="169" fontId="2" fillId="0" borderId="4" xfId="0" applyNumberFormat="1" applyFont="1" applyBorder="1" applyAlignment="1" applyProtection="1">
      <alignment horizontal="right"/>
    </xf>
    <xf numFmtId="3" fontId="2" fillId="0" borderId="4" xfId="0" applyNumberFormat="1" applyFont="1" applyFill="1" applyBorder="1" applyAlignment="1">
      <alignment horizontal="right"/>
    </xf>
    <xf numFmtId="169" fontId="2" fillId="0" borderId="4" xfId="2" applyNumberFormat="1" applyFont="1" applyBorder="1" applyAlignment="1">
      <alignment horizontal="right" vertical="top"/>
    </xf>
    <xf numFmtId="169" fontId="2" fillId="0" borderId="4" xfId="2" applyNumberFormat="1" applyFont="1" applyFill="1" applyBorder="1" applyAlignment="1">
      <alignment horizontal="right"/>
    </xf>
    <xf numFmtId="0" fontId="9" fillId="0" borderId="0" xfId="0" applyFont="1" applyBorder="1" applyAlignment="1"/>
    <xf numFmtId="3" fontId="9" fillId="0" borderId="0" xfId="0" applyNumberFormat="1" applyFont="1" applyBorder="1" applyAlignment="1">
      <alignment horizontal="right"/>
    </xf>
    <xf numFmtId="169" fontId="9" fillId="0" borderId="0" xfId="2" applyNumberFormat="1" applyFont="1" applyBorder="1" applyAlignment="1">
      <alignment horizontal="right"/>
    </xf>
    <xf numFmtId="166" fontId="2" fillId="0" borderId="0" xfId="0" applyNumberFormat="1" applyFont="1" applyBorder="1" applyAlignment="1"/>
    <xf numFmtId="166" fontId="2" fillId="0" borderId="0" xfId="2" applyNumberFormat="1" applyFont="1" applyBorder="1" applyAlignment="1">
      <alignment horizontal="right"/>
    </xf>
    <xf numFmtId="3" fontId="2" fillId="0" borderId="0" xfId="0" applyNumberFormat="1" applyFont="1" applyBorder="1" applyAlignment="1">
      <alignment horizontal="right" vertical="top" wrapText="1"/>
    </xf>
    <xf numFmtId="49" fontId="2" fillId="0" borderId="0" xfId="0" quotePrefix="1" applyNumberFormat="1" applyFont="1" applyFill="1" applyBorder="1"/>
    <xf numFmtId="0" fontId="13" fillId="0" borderId="0" xfId="0" applyFont="1"/>
    <xf numFmtId="0" fontId="10" fillId="0" borderId="0" xfId="0" applyFont="1"/>
    <xf numFmtId="3" fontId="10" fillId="0" borderId="0" xfId="0" applyNumberFormat="1" applyFont="1" applyAlignment="1">
      <alignment horizontal="right"/>
    </xf>
    <xf numFmtId="167" fontId="10" fillId="0" borderId="0" xfId="0" applyNumberFormat="1" applyFont="1"/>
    <xf numFmtId="3" fontId="10" fillId="0" borderId="0" xfId="0" applyNumberFormat="1" applyFont="1"/>
    <xf numFmtId="49" fontId="13" fillId="0" borderId="0" xfId="0" applyNumberFormat="1" applyFont="1"/>
    <xf numFmtId="49" fontId="10" fillId="0" borderId="0" xfId="0" applyNumberFormat="1" applyFont="1"/>
    <xf numFmtId="49" fontId="11" fillId="0" borderId="0" xfId="0" applyNumberFormat="1" applyFont="1"/>
    <xf numFmtId="167" fontId="11" fillId="0" borderId="0" xfId="0" applyNumberFormat="1" applyFont="1" applyBorder="1"/>
    <xf numFmtId="3" fontId="10" fillId="0" borderId="0" xfId="0" applyNumberFormat="1" applyFont="1" applyBorder="1"/>
    <xf numFmtId="167" fontId="10" fillId="0" borderId="0" xfId="0" applyNumberFormat="1" applyFont="1" applyBorder="1"/>
    <xf numFmtId="3" fontId="10" fillId="0" borderId="2" xfId="0" applyNumberFormat="1" applyFont="1" applyBorder="1"/>
    <xf numFmtId="167" fontId="10" fillId="0" borderId="2" xfId="0" applyNumberFormat="1" applyFont="1" applyBorder="1"/>
    <xf numFmtId="167" fontId="11" fillId="0" borderId="0" xfId="0" applyNumberFormat="1" applyFont="1"/>
    <xf numFmtId="0" fontId="14" fillId="0" borderId="0" xfId="0" applyFont="1"/>
    <xf numFmtId="0" fontId="13" fillId="0" borderId="5" xfId="0" applyFont="1" applyBorder="1" applyAlignment="1">
      <alignment horizontal="right"/>
    </xf>
    <xf numFmtId="0" fontId="15" fillId="0" borderId="2" xfId="0" applyFont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3" fontId="15" fillId="0" borderId="2" xfId="0" applyNumberFormat="1" applyFont="1" applyBorder="1" applyAlignment="1">
      <alignment horizontal="center" vertical="center" wrapText="1"/>
    </xf>
    <xf numFmtId="167" fontId="15" fillId="0" borderId="2" xfId="0" applyNumberFormat="1" applyFont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right"/>
    </xf>
    <xf numFmtId="3" fontId="15" fillId="0" borderId="2" xfId="0" applyNumberFormat="1" applyFont="1" applyBorder="1" applyAlignment="1">
      <alignment horizontal="right" vertical="center" wrapText="1"/>
    </xf>
    <xf numFmtId="3" fontId="11" fillId="0" borderId="0" xfId="0" applyNumberFormat="1" applyFont="1" applyBorder="1" applyAlignment="1">
      <alignment horizontal="right"/>
    </xf>
    <xf numFmtId="3" fontId="11" fillId="0" borderId="0" xfId="0" applyNumberFormat="1" applyFont="1" applyAlignment="1">
      <alignment horizontal="right"/>
    </xf>
    <xf numFmtId="0" fontId="2" fillId="0" borderId="0" xfId="0" applyFont="1" applyAlignment="1" applyProtection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2" xfId="0" applyNumberFormat="1" applyFont="1" applyBorder="1" applyAlignment="1">
      <alignment horizontal="left"/>
    </xf>
    <xf numFmtId="0" fontId="0" fillId="0" borderId="0" xfId="0" applyFill="1"/>
    <xf numFmtId="0" fontId="4" fillId="0" borderId="0" xfId="0" applyFont="1" applyFill="1" applyAlignment="1">
      <alignment horizontal="left" vertical="top"/>
    </xf>
    <xf numFmtId="3" fontId="4" fillId="0" borderId="3" xfId="1" applyNumberFormat="1" applyFont="1" applyFill="1" applyBorder="1" applyAlignment="1">
      <alignment horizontal="right" vertical="top" wrapText="1"/>
    </xf>
    <xf numFmtId="3" fontId="5" fillId="0" borderId="0" xfId="0" applyNumberFormat="1" applyFont="1" applyFill="1" applyAlignment="1">
      <alignment horizontal="right"/>
    </xf>
    <xf numFmtId="0" fontId="16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left"/>
    </xf>
    <xf numFmtId="169" fontId="2" fillId="0" borderId="0" xfId="1" applyNumberFormat="1" applyFont="1" applyFill="1" applyAlignment="1">
      <alignment horizontal="right"/>
    </xf>
    <xf numFmtId="169" fontId="2" fillId="0" borderId="0" xfId="0" applyNumberFormat="1" applyFont="1" applyFill="1" applyAlignment="1">
      <alignment horizontal="right"/>
    </xf>
    <xf numFmtId="3" fontId="2" fillId="0" borderId="4" xfId="1" applyNumberFormat="1" applyFont="1" applyFill="1" applyBorder="1" applyAlignment="1">
      <alignment horizontal="right"/>
    </xf>
    <xf numFmtId="169" fontId="2" fillId="0" borderId="4" xfId="1" applyNumberFormat="1" applyFont="1" applyFill="1" applyBorder="1" applyAlignment="1">
      <alignment horizontal="right"/>
    </xf>
    <xf numFmtId="169" fontId="2" fillId="0" borderId="4" xfId="0" applyNumberFormat="1" applyFont="1" applyFill="1" applyBorder="1" applyAlignment="1">
      <alignment horizontal="right"/>
    </xf>
    <xf numFmtId="0" fontId="17" fillId="0" borderId="0" xfId="0" applyFont="1" applyFill="1"/>
    <xf numFmtId="2" fontId="2" fillId="0" borderId="0" xfId="1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right"/>
    </xf>
    <xf numFmtId="3" fontId="2" fillId="0" borderId="0" xfId="1" applyNumberFormat="1" applyFont="1" applyFill="1" applyAlignment="1">
      <alignment horizontal="right" wrapText="1"/>
    </xf>
    <xf numFmtId="0" fontId="2" fillId="0" borderId="0" xfId="0" applyFont="1" applyFill="1" applyAlignment="1">
      <alignment horizontal="left" wrapText="1"/>
    </xf>
    <xf numFmtId="169" fontId="2" fillId="0" borderId="0" xfId="0" applyNumberFormat="1" applyFont="1" applyFill="1" applyAlignment="1">
      <alignment horizontal="right" wrapText="1"/>
    </xf>
    <xf numFmtId="0" fontId="2" fillId="0" borderId="0" xfId="0" applyFont="1" applyFill="1" applyProtection="1"/>
    <xf numFmtId="0" fontId="2" fillId="0" borderId="0" xfId="0" applyFont="1" applyFill="1" applyAlignment="1" applyProtection="1">
      <alignment horizontal="left"/>
    </xf>
    <xf numFmtId="37" fontId="2" fillId="0" borderId="0" xfId="0" applyNumberFormat="1" applyFont="1" applyFill="1" applyAlignment="1" applyProtection="1">
      <alignment horizontal="right"/>
    </xf>
    <xf numFmtId="169" fontId="2" fillId="0" borderId="0" xfId="0" applyNumberFormat="1" applyFont="1" applyFill="1" applyProtection="1"/>
    <xf numFmtId="165" fontId="2" fillId="0" borderId="0" xfId="1" applyNumberFormat="1" applyFont="1" applyFill="1" applyProtection="1"/>
    <xf numFmtId="169" fontId="2" fillId="0" borderId="0" xfId="0" applyNumberFormat="1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169" fontId="2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left" vertical="top" wrapText="1"/>
    </xf>
    <xf numFmtId="3" fontId="2" fillId="0" borderId="0" xfId="1" applyNumberFormat="1" applyFont="1" applyFill="1" applyBorder="1" applyAlignment="1">
      <alignment horizontal="right" vertical="top" wrapText="1"/>
    </xf>
    <xf numFmtId="169" fontId="2" fillId="0" borderId="0" xfId="1" applyNumberFormat="1" applyFont="1" applyFill="1" applyBorder="1" applyAlignment="1">
      <alignment horizontal="right" vertical="top" wrapText="1"/>
    </xf>
    <xf numFmtId="49" fontId="2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 wrapText="1"/>
    </xf>
    <xf numFmtId="49" fontId="3" fillId="0" borderId="0" xfId="0" applyNumberFormat="1" applyFont="1" applyFill="1" applyBorder="1" applyAlignment="1">
      <alignment wrapText="1"/>
    </xf>
    <xf numFmtId="3" fontId="2" fillId="0" borderId="0" xfId="1" applyNumberFormat="1" applyFont="1" applyFill="1" applyBorder="1" applyAlignment="1">
      <alignment horizontal="right" wrapText="1"/>
    </xf>
    <xf numFmtId="169" fontId="2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vertical="center" wrapText="1"/>
    </xf>
    <xf numFmtId="3" fontId="4" fillId="0" borderId="0" xfId="1" applyNumberFormat="1" applyFont="1" applyFill="1" applyBorder="1" applyAlignment="1">
      <alignment horizontal="center" vertical="center" wrapText="1"/>
    </xf>
    <xf numFmtId="169" fontId="4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top"/>
    </xf>
    <xf numFmtId="49" fontId="4" fillId="0" borderId="2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 applyProtection="1">
      <alignment horizontal="center"/>
    </xf>
    <xf numFmtId="3" fontId="2" fillId="0" borderId="0" xfId="1" applyNumberFormat="1" applyFont="1" applyBorder="1"/>
    <xf numFmtId="169" fontId="2" fillId="0" borderId="0" xfId="1" applyNumberFormat="1" applyFont="1" applyBorder="1" applyAlignment="1">
      <alignment horizontal="right" vertical="top"/>
    </xf>
    <xf numFmtId="169" fontId="2" fillId="0" borderId="0" xfId="1" applyNumberFormat="1" applyFont="1" applyAlignment="1">
      <alignment wrapText="1"/>
    </xf>
    <xf numFmtId="3" fontId="2" fillId="0" borderId="0" xfId="1" applyNumberFormat="1" applyFont="1" applyAlignment="1"/>
    <xf numFmtId="0" fontId="2" fillId="0" borderId="0" xfId="0" applyFont="1" applyAlignment="1"/>
    <xf numFmtId="3" fontId="2" fillId="0" borderId="0" xfId="0" applyNumberFormat="1" applyFont="1" applyAlignment="1">
      <alignment horizontal="left" indent="1"/>
    </xf>
    <xf numFmtId="3" fontId="2" fillId="0" borderId="0" xfId="0" applyNumberFormat="1" applyFont="1" applyAlignment="1"/>
    <xf numFmtId="0" fontId="4" fillId="0" borderId="0" xfId="0" applyFont="1" applyAlignment="1">
      <alignment vertical="top" wrapText="1"/>
    </xf>
    <xf numFmtId="169" fontId="2" fillId="0" borderId="0" xfId="1" applyNumberFormat="1" applyFont="1" applyAlignment="1">
      <alignment horizontal="left"/>
    </xf>
    <xf numFmtId="169" fontId="3" fillId="0" borderId="0" xfId="1" applyNumberFormat="1" applyFont="1" applyAlignment="1">
      <alignment horizontal="left"/>
    </xf>
    <xf numFmtId="0" fontId="7" fillId="0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 wrapText="1"/>
    </xf>
    <xf numFmtId="0" fontId="4" fillId="0" borderId="3" xfId="0" applyFont="1" applyFill="1" applyBorder="1" applyAlignment="1">
      <alignment horizontal="center" vertical="top" wrapText="1"/>
    </xf>
    <xf numFmtId="0" fontId="2" fillId="0" borderId="0" xfId="0" applyFont="1" applyFill="1" applyAlignment="1">
      <alignment horizontal="left"/>
    </xf>
    <xf numFmtId="0" fontId="1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canner\Desktop\StmtOffResult-Consolidated%20(rp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Summary of Results by ED"/>
      <sheetName val="TURNOUT SUMMARY to MLAs"/>
    </sheetNames>
    <sheetDataSet>
      <sheetData sheetId="0" refreshError="1">
        <row r="48">
          <cell r="C48">
            <v>12622</v>
          </cell>
        </row>
      </sheetData>
      <sheetData sheetId="1" refreshError="1"/>
      <sheetData sheetId="2" refreshError="1">
        <row r="65">
          <cell r="C65">
            <v>23510</v>
          </cell>
        </row>
      </sheetData>
      <sheetData sheetId="3" refreshError="1">
        <row r="64">
          <cell r="C64">
            <v>24844</v>
          </cell>
        </row>
      </sheetData>
      <sheetData sheetId="4" refreshError="1">
        <row r="61">
          <cell r="C61">
            <v>21920</v>
          </cell>
        </row>
      </sheetData>
      <sheetData sheetId="5" refreshError="1">
        <row r="81">
          <cell r="C81">
            <v>23220</v>
          </cell>
        </row>
      </sheetData>
      <sheetData sheetId="6" refreshError="1">
        <row r="61">
          <cell r="C61">
            <v>20509</v>
          </cell>
        </row>
      </sheetData>
      <sheetData sheetId="7" refreshError="1">
        <row r="71">
          <cell r="C71">
            <v>26749</v>
          </cell>
        </row>
      </sheetData>
      <sheetData sheetId="8" refreshError="1">
        <row r="78">
          <cell r="C78">
            <v>24786</v>
          </cell>
        </row>
      </sheetData>
      <sheetData sheetId="9" refreshError="1">
        <row r="57">
          <cell r="C57">
            <v>22554</v>
          </cell>
        </row>
      </sheetData>
      <sheetData sheetId="10" refreshError="1">
        <row r="91">
          <cell r="C91">
            <v>34208</v>
          </cell>
        </row>
      </sheetData>
      <sheetData sheetId="11" refreshError="1">
        <row r="61">
          <cell r="C61">
            <v>22882</v>
          </cell>
        </row>
      </sheetData>
      <sheetData sheetId="12" refreshError="1">
        <row r="61">
          <cell r="C61">
            <v>23644</v>
          </cell>
        </row>
      </sheetData>
      <sheetData sheetId="13" refreshError="1">
        <row r="56">
          <cell r="C56">
            <v>22099</v>
          </cell>
        </row>
      </sheetData>
      <sheetData sheetId="14" refreshError="1">
        <row r="69">
          <cell r="C69">
            <v>24070</v>
          </cell>
        </row>
      </sheetData>
      <sheetData sheetId="15" refreshError="1">
        <row r="60">
          <cell r="C60">
            <v>21633</v>
          </cell>
        </row>
      </sheetData>
      <sheetData sheetId="16" refreshError="1">
        <row r="62">
          <cell r="C62">
            <v>23213</v>
          </cell>
        </row>
      </sheetData>
      <sheetData sheetId="17" refreshError="1">
        <row r="70">
          <cell r="C70">
            <v>22630</v>
          </cell>
        </row>
      </sheetData>
      <sheetData sheetId="18" refreshError="1">
        <row r="111">
          <cell r="C111">
            <v>38742</v>
          </cell>
        </row>
      </sheetData>
      <sheetData sheetId="19" refreshError="1">
        <row r="104">
          <cell r="C104">
            <v>33778</v>
          </cell>
        </row>
      </sheetData>
      <sheetData sheetId="20" refreshError="1">
        <row r="135">
          <cell r="C135">
            <v>49366</v>
          </cell>
        </row>
      </sheetData>
      <sheetData sheetId="21" refreshError="1">
        <row r="73">
          <cell r="C73">
            <v>23260</v>
          </cell>
        </row>
      </sheetData>
      <sheetData sheetId="22" refreshError="1">
        <row r="109">
          <cell r="C109">
            <v>32302</v>
          </cell>
        </row>
      </sheetData>
      <sheetData sheetId="23" refreshError="1">
        <row r="62">
          <cell r="C62">
            <v>21290</v>
          </cell>
        </row>
      </sheetData>
      <sheetData sheetId="24" refreshError="1">
        <row r="69">
          <cell r="C69">
            <v>23671</v>
          </cell>
        </row>
      </sheetData>
      <sheetData sheetId="25" refreshError="1">
        <row r="68">
          <cell r="C68">
            <v>24921</v>
          </cell>
        </row>
      </sheetData>
      <sheetData sheetId="26" refreshError="1">
        <row r="74">
          <cell r="C74">
            <v>22648</v>
          </cell>
        </row>
      </sheetData>
      <sheetData sheetId="27" refreshError="1">
        <row r="53">
          <cell r="C53">
            <v>19210</v>
          </cell>
        </row>
      </sheetData>
      <sheetData sheetId="28" refreshError="1">
        <row r="63">
          <cell r="C63">
            <v>21763</v>
          </cell>
        </row>
      </sheetData>
      <sheetData sheetId="29" refreshError="1">
        <row r="60">
          <cell r="C60">
            <v>21343</v>
          </cell>
        </row>
      </sheetData>
      <sheetData sheetId="30" refreshError="1">
        <row r="70">
          <cell r="C70">
            <v>23337</v>
          </cell>
        </row>
      </sheetData>
      <sheetData sheetId="31" refreshError="1">
        <row r="70">
          <cell r="C70">
            <v>21539</v>
          </cell>
        </row>
      </sheetData>
      <sheetData sheetId="32" refreshError="1">
        <row r="78">
          <cell r="C78">
            <v>26021</v>
          </cell>
        </row>
      </sheetData>
      <sheetData sheetId="33" refreshError="1">
        <row r="65">
          <cell r="C65">
            <v>24723</v>
          </cell>
        </row>
      </sheetData>
      <sheetData sheetId="34" refreshError="1">
        <row r="63">
          <cell r="C63">
            <v>22491</v>
          </cell>
        </row>
      </sheetData>
      <sheetData sheetId="35" refreshError="1">
        <row r="81">
          <cell r="C81">
            <v>26307</v>
          </cell>
        </row>
      </sheetData>
      <sheetData sheetId="36" refreshError="1">
        <row r="55">
          <cell r="C55">
            <v>18546</v>
          </cell>
        </row>
      </sheetData>
      <sheetData sheetId="37" refreshError="1">
        <row r="64">
          <cell r="C64">
            <v>19343</v>
          </cell>
        </row>
      </sheetData>
      <sheetData sheetId="38" refreshError="1">
        <row r="73">
          <cell r="C73">
            <v>23208</v>
          </cell>
        </row>
      </sheetData>
      <sheetData sheetId="39" refreshError="1">
        <row r="69">
          <cell r="C69">
            <v>22762</v>
          </cell>
        </row>
      </sheetData>
      <sheetData sheetId="40" refreshError="1">
        <row r="63">
          <cell r="C63">
            <v>24381</v>
          </cell>
        </row>
      </sheetData>
      <sheetData sheetId="41" refreshError="1">
        <row r="85">
          <cell r="C85">
            <v>30853</v>
          </cell>
        </row>
      </sheetData>
      <sheetData sheetId="42" refreshError="1">
        <row r="84">
          <cell r="C84">
            <v>30546</v>
          </cell>
        </row>
      </sheetData>
      <sheetData sheetId="43" refreshError="1">
        <row r="84">
          <cell r="C84">
            <v>27228</v>
          </cell>
        </row>
      </sheetData>
      <sheetData sheetId="44" refreshError="1">
        <row r="59">
          <cell r="C59">
            <v>16794</v>
          </cell>
        </row>
      </sheetData>
      <sheetData sheetId="45" refreshError="1">
        <row r="51">
          <cell r="C51">
            <v>16688</v>
          </cell>
        </row>
      </sheetData>
      <sheetData sheetId="46" refreshError="1">
        <row r="63">
          <cell r="C63">
            <v>18470</v>
          </cell>
        </row>
      </sheetData>
      <sheetData sheetId="47" refreshError="1">
        <row r="72">
          <cell r="C72">
            <v>25620</v>
          </cell>
        </row>
      </sheetData>
      <sheetData sheetId="48" refreshError="1">
        <row r="64">
          <cell r="C64">
            <v>19878</v>
          </cell>
        </row>
      </sheetData>
      <sheetData sheetId="49" refreshError="1">
        <row r="64">
          <cell r="C64">
            <v>18416</v>
          </cell>
        </row>
      </sheetData>
      <sheetData sheetId="50" refreshError="1">
        <row r="57">
          <cell r="C57">
            <v>16066</v>
          </cell>
        </row>
      </sheetData>
      <sheetData sheetId="51" refreshError="1">
        <row r="60">
          <cell r="C60">
            <v>15907</v>
          </cell>
        </row>
      </sheetData>
      <sheetData sheetId="52" refreshError="1">
        <row r="61">
          <cell r="C61">
            <v>24170</v>
          </cell>
        </row>
      </sheetData>
      <sheetData sheetId="53" refreshError="1">
        <row r="75">
          <cell r="C75">
            <v>21068</v>
          </cell>
        </row>
      </sheetData>
      <sheetData sheetId="54" refreshError="1">
        <row r="63">
          <cell r="C63">
            <v>19730</v>
          </cell>
        </row>
      </sheetData>
      <sheetData sheetId="55" refreshError="1">
        <row r="81">
          <cell r="C81">
            <v>29806</v>
          </cell>
        </row>
      </sheetData>
      <sheetData sheetId="56" refreshError="1">
        <row r="68">
          <cell r="C68">
            <v>24028</v>
          </cell>
        </row>
      </sheetData>
      <sheetData sheetId="57" refreshError="1">
        <row r="50">
          <cell r="C50">
            <v>15641</v>
          </cell>
        </row>
      </sheetData>
      <sheetData sheetId="58" refreshError="1">
        <row r="60">
          <cell r="C60">
            <v>21103</v>
          </cell>
        </row>
      </sheetData>
      <sheetData sheetId="59" refreshError="1">
        <row r="74">
          <cell r="C74">
            <v>24286</v>
          </cell>
        </row>
      </sheetData>
      <sheetData sheetId="60" refreshError="1">
        <row r="64">
          <cell r="C64">
            <v>24040</v>
          </cell>
        </row>
      </sheetData>
      <sheetData sheetId="61" refreshError="1">
        <row r="71">
          <cell r="C71">
            <v>24561</v>
          </cell>
        </row>
      </sheetData>
      <sheetData sheetId="62" refreshError="1">
        <row r="61">
          <cell r="C61">
            <v>18771</v>
          </cell>
        </row>
      </sheetData>
      <sheetData sheetId="63" refreshError="1">
        <row r="59">
          <cell r="C59">
            <v>24270</v>
          </cell>
        </row>
      </sheetData>
      <sheetData sheetId="64" refreshError="1">
        <row r="78">
          <cell r="C78">
            <v>25360</v>
          </cell>
        </row>
      </sheetData>
      <sheetData sheetId="65" refreshError="1">
        <row r="64">
          <cell r="C64">
            <v>21391</v>
          </cell>
        </row>
      </sheetData>
      <sheetData sheetId="66" refreshError="1">
        <row r="57">
          <cell r="C57">
            <v>16176</v>
          </cell>
        </row>
      </sheetData>
      <sheetData sheetId="67" refreshError="1">
        <row r="56">
          <cell r="C56">
            <v>16158</v>
          </cell>
        </row>
      </sheetData>
      <sheetData sheetId="68" refreshError="1">
        <row r="59">
          <cell r="C59">
            <v>21651</v>
          </cell>
        </row>
      </sheetData>
      <sheetData sheetId="69" refreshError="1">
        <row r="68">
          <cell r="C68">
            <v>25283</v>
          </cell>
        </row>
      </sheetData>
      <sheetData sheetId="70" refreshError="1">
        <row r="69">
          <cell r="C69">
            <v>21656</v>
          </cell>
        </row>
      </sheetData>
      <sheetData sheetId="71" refreshError="1">
        <row r="63">
          <cell r="C63">
            <v>20051</v>
          </cell>
        </row>
      </sheetData>
      <sheetData sheetId="72" refreshError="1">
        <row r="79">
          <cell r="C79">
            <v>28444</v>
          </cell>
        </row>
      </sheetData>
      <sheetData sheetId="73" refreshError="1">
        <row r="89">
          <cell r="C89">
            <v>31837</v>
          </cell>
        </row>
      </sheetData>
      <sheetData sheetId="74" refreshError="1">
        <row r="69">
          <cell r="C69">
            <v>23855</v>
          </cell>
        </row>
      </sheetData>
      <sheetData sheetId="75" refreshError="1">
        <row r="68">
          <cell r="C68">
            <v>23668</v>
          </cell>
        </row>
      </sheetData>
      <sheetData sheetId="76" refreshError="1">
        <row r="70">
          <cell r="C70">
            <v>24372</v>
          </cell>
        </row>
      </sheetData>
      <sheetData sheetId="77" refreshError="1">
        <row r="62">
          <cell r="C62">
            <v>19187</v>
          </cell>
        </row>
      </sheetData>
      <sheetData sheetId="78" refreshError="1">
        <row r="64">
          <cell r="C64">
            <v>19847</v>
          </cell>
        </row>
      </sheetData>
      <sheetData sheetId="79" refreshError="1">
        <row r="70">
          <cell r="C70">
            <v>19292</v>
          </cell>
        </row>
      </sheetData>
      <sheetData sheetId="80" refreshError="1">
        <row r="70">
          <cell r="C70">
            <v>18995</v>
          </cell>
        </row>
      </sheetData>
      <sheetData sheetId="81" refreshError="1">
        <row r="65">
          <cell r="C65">
            <v>22866</v>
          </cell>
        </row>
      </sheetData>
      <sheetData sheetId="82" refreshError="1">
        <row r="67">
          <cell r="C67">
            <v>20462</v>
          </cell>
        </row>
      </sheetData>
      <sheetData sheetId="83" refreshError="1"/>
      <sheetData sheetId="8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zoomScaleNormal="100" workbookViewId="0">
      <pane ySplit="3" topLeftCell="A4" activePane="bottomLeft" state="frozen"/>
      <selection activeCell="G3" sqref="G3"/>
      <selection pane="bottomLeft" activeCell="G84" sqref="G84"/>
    </sheetView>
  </sheetViews>
  <sheetFormatPr defaultRowHeight="11.25" x14ac:dyDescent="0.2"/>
  <cols>
    <col min="1" max="1" width="20.7109375" style="1" customWidth="1"/>
    <col min="2" max="2" width="2.7109375" style="1" customWidth="1"/>
    <col min="3" max="3" width="20.7109375" style="1" customWidth="1"/>
    <col min="4" max="4" width="18.7109375" style="1" customWidth="1"/>
    <col min="5" max="5" width="9.7109375" style="16" customWidth="1"/>
    <col min="6" max="6" width="9.7109375" style="34" customWidth="1"/>
    <col min="7" max="7" width="8.7109375" style="21" customWidth="1"/>
    <col min="8" max="8" width="7.7109375" style="81" customWidth="1"/>
    <col min="9" max="16384" width="9.140625" style="1"/>
  </cols>
  <sheetData>
    <row r="1" spans="1:8" s="71" customFormat="1" ht="24" customHeight="1" x14ac:dyDescent="0.2">
      <c r="A1" s="270" t="s">
        <v>2332</v>
      </c>
      <c r="B1" s="270"/>
      <c r="C1" s="270"/>
      <c r="D1" s="270"/>
      <c r="E1" s="270"/>
      <c r="F1" s="270"/>
      <c r="G1" s="270"/>
      <c r="H1" s="270"/>
    </row>
    <row r="2" spans="1:8" s="37" customFormat="1" ht="42" customHeight="1" thickBot="1" x14ac:dyDescent="0.25">
      <c r="A2" s="36" t="s">
        <v>4782</v>
      </c>
      <c r="B2" s="36" t="s">
        <v>6373</v>
      </c>
      <c r="C2" s="267" t="s">
        <v>6954</v>
      </c>
      <c r="D2" s="75" t="s">
        <v>6955</v>
      </c>
      <c r="F2" s="271" t="s">
        <v>6374</v>
      </c>
      <c r="G2" s="271"/>
      <c r="H2" s="271"/>
    </row>
    <row r="3" spans="1:8" s="57" customFormat="1" ht="52.5" customHeight="1" thickBot="1" x14ac:dyDescent="0.25">
      <c r="A3" s="58" t="s">
        <v>1284</v>
      </c>
      <c r="B3" s="59"/>
      <c r="C3" s="59" t="s">
        <v>1285</v>
      </c>
      <c r="D3" s="59" t="s">
        <v>2652</v>
      </c>
      <c r="E3" s="73" t="s">
        <v>2653</v>
      </c>
      <c r="F3" s="74" t="s">
        <v>1286</v>
      </c>
      <c r="G3" s="73" t="s">
        <v>1287</v>
      </c>
      <c r="H3" s="74" t="s">
        <v>2656</v>
      </c>
    </row>
    <row r="4" spans="1:8" s="38" customFormat="1" ht="11.25" customHeight="1" x14ac:dyDescent="0.2">
      <c r="A4" s="62"/>
      <c r="B4" s="63"/>
      <c r="C4" s="63"/>
      <c r="D4" s="63"/>
      <c r="E4" s="64"/>
      <c r="F4" s="129"/>
      <c r="G4" s="64"/>
      <c r="H4" s="130"/>
    </row>
    <row r="5" spans="1:8" ht="11.25" customHeight="1" x14ac:dyDescent="0.2">
      <c r="A5" s="1" t="s">
        <v>2266</v>
      </c>
      <c r="C5" s="2" t="s">
        <v>6956</v>
      </c>
      <c r="D5" s="1" t="s">
        <v>1072</v>
      </c>
      <c r="E5" s="263" t="s">
        <v>1200</v>
      </c>
      <c r="G5" s="24"/>
    </row>
    <row r="6" spans="1:8" ht="11.25" customHeight="1" x14ac:dyDescent="0.2">
      <c r="E6" s="155"/>
      <c r="F6" s="156"/>
      <c r="H6" s="158"/>
    </row>
    <row r="7" spans="1:8" ht="11.25" customHeight="1" x14ac:dyDescent="0.2">
      <c r="A7" s="1" t="s">
        <v>4787</v>
      </c>
      <c r="C7" s="2" t="s">
        <v>6957</v>
      </c>
      <c r="D7" s="1" t="s">
        <v>1072</v>
      </c>
      <c r="E7" s="27">
        <v>421</v>
      </c>
      <c r="F7" s="35"/>
      <c r="H7" s="85"/>
    </row>
    <row r="8" spans="1:8" ht="11.25" customHeight="1" x14ac:dyDescent="0.2">
      <c r="C8" s="1" t="s">
        <v>6888</v>
      </c>
      <c r="D8" s="1" t="s">
        <v>1239</v>
      </c>
      <c r="E8" s="27">
        <v>363</v>
      </c>
      <c r="F8" s="35"/>
      <c r="G8" s="21">
        <v>784</v>
      </c>
      <c r="H8" s="85"/>
    </row>
    <row r="9" spans="1:8" ht="11.25" customHeight="1" x14ac:dyDescent="0.2">
      <c r="E9" s="27"/>
      <c r="F9" s="35"/>
      <c r="H9" s="85"/>
    </row>
    <row r="10" spans="1:8" s="81" customFormat="1" ht="11.25" customHeight="1" x14ac:dyDescent="0.2">
      <c r="A10" s="1" t="s">
        <v>6958</v>
      </c>
      <c r="B10" s="1"/>
      <c r="C10" s="2" t="s">
        <v>6876</v>
      </c>
      <c r="D10" s="1" t="s">
        <v>1072</v>
      </c>
      <c r="E10" s="16">
        <v>1030</v>
      </c>
      <c r="F10" s="25"/>
      <c r="G10" s="21"/>
    </row>
    <row r="11" spans="1:8" s="81" customFormat="1" ht="11.25" customHeight="1" x14ac:dyDescent="0.2">
      <c r="A11" s="1"/>
      <c r="B11" s="1"/>
      <c r="C11" s="1" t="s">
        <v>6959</v>
      </c>
      <c r="D11" s="1" t="s">
        <v>1239</v>
      </c>
      <c r="E11" s="16">
        <v>993</v>
      </c>
      <c r="F11" s="25"/>
      <c r="G11" s="21"/>
    </row>
    <row r="12" spans="1:8" s="81" customFormat="1" ht="11.25" customHeight="1" x14ac:dyDescent="0.2">
      <c r="A12" s="1"/>
      <c r="B12" s="1"/>
      <c r="C12" s="1" t="s">
        <v>6960</v>
      </c>
      <c r="D12" s="1" t="s">
        <v>653</v>
      </c>
      <c r="E12" s="16">
        <v>407</v>
      </c>
      <c r="F12" s="25"/>
      <c r="G12" s="21">
        <v>2430</v>
      </c>
    </row>
    <row r="13" spans="1:8" s="81" customFormat="1" ht="11.25" customHeight="1" x14ac:dyDescent="0.2">
      <c r="A13" s="1"/>
      <c r="B13" s="1"/>
      <c r="C13" s="1"/>
      <c r="D13" s="1"/>
      <c r="E13" s="16"/>
      <c r="F13" s="34"/>
      <c r="G13" s="21"/>
    </row>
    <row r="14" spans="1:8" s="81" customFormat="1" ht="11.25" customHeight="1" x14ac:dyDescent="0.2">
      <c r="A14" s="1" t="s">
        <v>1427</v>
      </c>
      <c r="B14" s="1"/>
      <c r="C14" s="2" t="s">
        <v>6961</v>
      </c>
      <c r="D14" s="1" t="s">
        <v>1072</v>
      </c>
      <c r="E14" s="16">
        <v>480</v>
      </c>
      <c r="F14" s="34"/>
      <c r="G14" s="21"/>
    </row>
    <row r="15" spans="1:8" s="81" customFormat="1" ht="11.25" customHeight="1" x14ac:dyDescent="0.2">
      <c r="A15" s="1"/>
      <c r="B15" s="1"/>
      <c r="C15" s="1" t="s">
        <v>6962</v>
      </c>
      <c r="D15" s="1" t="s">
        <v>1239</v>
      </c>
      <c r="E15" s="16">
        <v>210</v>
      </c>
      <c r="F15" s="34"/>
      <c r="G15" s="155">
        <v>690</v>
      </c>
    </row>
    <row r="16" spans="1:8" ht="11.25" customHeight="1" x14ac:dyDescent="0.2"/>
    <row r="17" spans="1:8" ht="11.25" customHeight="1" x14ac:dyDescent="0.2">
      <c r="A17" s="1" t="s">
        <v>6963</v>
      </c>
      <c r="C17" s="2" t="s">
        <v>6964</v>
      </c>
      <c r="D17" s="1" t="s">
        <v>1072</v>
      </c>
      <c r="E17" s="16">
        <v>1209</v>
      </c>
    </row>
    <row r="18" spans="1:8" ht="11.25" customHeight="1" x14ac:dyDescent="0.2">
      <c r="C18" s="1" t="s">
        <v>6789</v>
      </c>
      <c r="D18" s="1" t="s">
        <v>1239</v>
      </c>
      <c r="E18" s="16">
        <v>516</v>
      </c>
      <c r="G18" s="21">
        <v>1725</v>
      </c>
    </row>
    <row r="19" spans="1:8" s="21" customFormat="1" ht="11.25" customHeight="1" x14ac:dyDescent="0.2">
      <c r="A19" s="1"/>
      <c r="B19" s="1"/>
      <c r="C19" s="1"/>
      <c r="D19" s="1"/>
      <c r="E19" s="16"/>
      <c r="F19" s="34"/>
      <c r="H19" s="81"/>
    </row>
    <row r="20" spans="1:8" ht="11.25" customHeight="1" x14ac:dyDescent="0.2">
      <c r="A20" s="1" t="s">
        <v>3265</v>
      </c>
      <c r="C20" s="2" t="s">
        <v>6965</v>
      </c>
      <c r="D20" s="1" t="s">
        <v>1072</v>
      </c>
      <c r="E20" s="16">
        <v>667</v>
      </c>
    </row>
    <row r="21" spans="1:8" ht="11.25" customHeight="1" x14ac:dyDescent="0.2">
      <c r="C21" s="1" t="s">
        <v>6966</v>
      </c>
      <c r="D21" s="1" t="s">
        <v>1239</v>
      </c>
      <c r="E21" s="16">
        <v>640</v>
      </c>
      <c r="G21" s="162">
        <v>1307</v>
      </c>
    </row>
    <row r="22" spans="1:8" ht="11.25" customHeight="1" x14ac:dyDescent="0.2">
      <c r="E22" s="27"/>
      <c r="F22" s="35"/>
      <c r="G22" s="151"/>
      <c r="H22" s="85"/>
    </row>
    <row r="23" spans="1:8" ht="11.25" customHeight="1" x14ac:dyDescent="0.2">
      <c r="A23" s="1" t="s">
        <v>6573</v>
      </c>
      <c r="C23" s="2" t="s">
        <v>6967</v>
      </c>
      <c r="D23" s="1" t="s">
        <v>1239</v>
      </c>
      <c r="E23" s="27">
        <v>578</v>
      </c>
      <c r="F23" s="35"/>
      <c r="G23" s="151"/>
      <c r="H23" s="85"/>
    </row>
    <row r="24" spans="1:8" ht="11.25" customHeight="1" x14ac:dyDescent="0.2">
      <c r="C24" s="1" t="s">
        <v>6968</v>
      </c>
      <c r="D24" s="1" t="s">
        <v>653</v>
      </c>
      <c r="E24" s="27">
        <v>182</v>
      </c>
      <c r="F24" s="35"/>
      <c r="G24" s="157"/>
      <c r="H24" s="85"/>
    </row>
    <row r="25" spans="1:8" ht="11.25" customHeight="1" x14ac:dyDescent="0.2">
      <c r="C25" s="1" t="s">
        <v>6969</v>
      </c>
      <c r="D25" s="1" t="s">
        <v>1072</v>
      </c>
      <c r="E25" s="27">
        <v>555</v>
      </c>
      <c r="F25" s="35"/>
      <c r="G25" s="151">
        <v>1315</v>
      </c>
      <c r="H25" s="85"/>
    </row>
    <row r="26" spans="1:8" ht="11.25" customHeight="1" x14ac:dyDescent="0.2">
      <c r="E26" s="27"/>
      <c r="F26" s="35"/>
      <c r="G26" s="151"/>
      <c r="H26" s="85"/>
    </row>
    <row r="27" spans="1:8" ht="11.25" customHeight="1" x14ac:dyDescent="0.2">
      <c r="A27" s="1" t="s">
        <v>1742</v>
      </c>
      <c r="C27" s="2" t="s">
        <v>6970</v>
      </c>
      <c r="D27" s="1" t="s">
        <v>1072</v>
      </c>
      <c r="E27" s="16">
        <v>408</v>
      </c>
    </row>
    <row r="28" spans="1:8" ht="11.25" customHeight="1" x14ac:dyDescent="0.2">
      <c r="C28" s="1" t="s">
        <v>6971</v>
      </c>
      <c r="D28" s="1" t="s">
        <v>1239</v>
      </c>
      <c r="E28" s="16">
        <v>407</v>
      </c>
      <c r="G28" s="19">
        <v>815</v>
      </c>
    </row>
    <row r="29" spans="1:8" ht="11.25" customHeight="1" x14ac:dyDescent="0.2"/>
    <row r="30" spans="1:8" ht="11.25" customHeight="1" x14ac:dyDescent="0.2">
      <c r="A30" s="1" t="s">
        <v>1744</v>
      </c>
      <c r="C30" s="2" t="s">
        <v>6972</v>
      </c>
      <c r="D30" s="1" t="s">
        <v>1072</v>
      </c>
      <c r="E30" s="263">
        <v>612</v>
      </c>
    </row>
    <row r="31" spans="1:8" ht="11.25" customHeight="1" x14ac:dyDescent="0.2">
      <c r="C31" s="1" t="s">
        <v>6973</v>
      </c>
      <c r="D31" s="1" t="s">
        <v>1239</v>
      </c>
      <c r="E31" s="263">
        <v>547</v>
      </c>
      <c r="G31" s="21">
        <v>1159</v>
      </c>
    </row>
    <row r="32" spans="1:8" ht="11.25" customHeight="1" x14ac:dyDescent="0.2">
      <c r="G32" s="24"/>
    </row>
    <row r="33" spans="1:7" ht="11.25" customHeight="1" x14ac:dyDescent="0.2">
      <c r="A33" s="1" t="s">
        <v>1931</v>
      </c>
      <c r="C33" s="2" t="s">
        <v>6902</v>
      </c>
      <c r="D33" s="1" t="s">
        <v>1072</v>
      </c>
      <c r="E33" s="263">
        <v>481</v>
      </c>
    </row>
    <row r="34" spans="1:7" ht="11.25" customHeight="1" x14ac:dyDescent="0.2">
      <c r="C34" s="1" t="s">
        <v>6974</v>
      </c>
      <c r="D34" s="1" t="s">
        <v>1239</v>
      </c>
      <c r="E34" s="263">
        <v>277</v>
      </c>
      <c r="G34" s="21">
        <v>758</v>
      </c>
    </row>
    <row r="35" spans="1:7" ht="11.25" customHeight="1" x14ac:dyDescent="0.2">
      <c r="G35" s="24"/>
    </row>
    <row r="36" spans="1:7" ht="11.25" customHeight="1" x14ac:dyDescent="0.2">
      <c r="A36" s="1" t="s">
        <v>3</v>
      </c>
      <c r="C36" s="1" t="s">
        <v>6975</v>
      </c>
      <c r="D36" s="1" t="s">
        <v>1239</v>
      </c>
      <c r="E36" s="263">
        <v>491</v>
      </c>
      <c r="G36" s="24"/>
    </row>
    <row r="37" spans="1:7" ht="11.25" customHeight="1" x14ac:dyDescent="0.2">
      <c r="C37" s="2" t="s">
        <v>6976</v>
      </c>
      <c r="D37" s="1" t="s">
        <v>1072</v>
      </c>
      <c r="E37" s="263">
        <v>639</v>
      </c>
      <c r="G37" s="24">
        <v>1130</v>
      </c>
    </row>
    <row r="38" spans="1:7" ht="11.25" customHeight="1" x14ac:dyDescent="0.2"/>
    <row r="39" spans="1:7" ht="11.25" customHeight="1" x14ac:dyDescent="0.2">
      <c r="A39" s="1" t="s">
        <v>1752</v>
      </c>
      <c r="C39" s="1" t="s">
        <v>6977</v>
      </c>
      <c r="D39" s="1" t="s">
        <v>1239</v>
      </c>
      <c r="E39" s="16">
        <v>368</v>
      </c>
    </row>
    <row r="40" spans="1:7" ht="11.25" customHeight="1" x14ac:dyDescent="0.2">
      <c r="C40" s="2" t="s">
        <v>6978</v>
      </c>
      <c r="D40" s="1" t="s">
        <v>1072</v>
      </c>
      <c r="E40" s="16">
        <v>584</v>
      </c>
    </row>
    <row r="41" spans="1:7" ht="11.25" customHeight="1" x14ac:dyDescent="0.2">
      <c r="C41" s="1" t="s">
        <v>6979</v>
      </c>
      <c r="D41" s="1" t="s">
        <v>653</v>
      </c>
      <c r="E41" s="16">
        <v>53</v>
      </c>
      <c r="G41" s="162">
        <v>1005</v>
      </c>
    </row>
    <row r="42" spans="1:7" ht="11.25" customHeight="1" x14ac:dyDescent="0.2"/>
    <row r="43" spans="1:7" ht="11.25" customHeight="1" x14ac:dyDescent="0.2">
      <c r="A43" s="1" t="s">
        <v>2300</v>
      </c>
      <c r="C43" s="2" t="s">
        <v>6980</v>
      </c>
      <c r="D43" s="1" t="s">
        <v>1072</v>
      </c>
      <c r="E43" s="263">
        <v>575</v>
      </c>
    </row>
    <row r="44" spans="1:7" s="81" customFormat="1" ht="11.25" customHeight="1" x14ac:dyDescent="0.2">
      <c r="A44" s="1"/>
      <c r="B44" s="1"/>
      <c r="C44" s="1" t="s">
        <v>6981</v>
      </c>
      <c r="D44" s="1" t="s">
        <v>1239</v>
      </c>
      <c r="E44" s="263">
        <v>537</v>
      </c>
      <c r="F44" s="34"/>
      <c r="G44" s="162">
        <v>1112</v>
      </c>
    </row>
    <row r="45" spans="1:7" s="81" customFormat="1" ht="11.25" customHeight="1" x14ac:dyDescent="0.2">
      <c r="A45" s="1"/>
      <c r="B45" s="1"/>
      <c r="C45" s="1"/>
      <c r="D45" s="1"/>
      <c r="E45" s="16"/>
      <c r="F45" s="34"/>
      <c r="G45" s="21"/>
    </row>
    <row r="46" spans="1:7" s="81" customFormat="1" ht="11.25" customHeight="1" x14ac:dyDescent="0.2">
      <c r="A46" s="1" t="s">
        <v>415</v>
      </c>
      <c r="B46" s="1"/>
      <c r="C46" s="269" t="s">
        <v>6982</v>
      </c>
      <c r="D46" s="268" t="s">
        <v>1072</v>
      </c>
      <c r="E46" s="263">
        <v>125</v>
      </c>
      <c r="F46" s="34"/>
      <c r="G46" s="21"/>
    </row>
    <row r="47" spans="1:7" s="81" customFormat="1" ht="11.25" customHeight="1" x14ac:dyDescent="0.2">
      <c r="A47" s="1"/>
      <c r="B47" s="1"/>
      <c r="C47" s="1" t="s">
        <v>6556</v>
      </c>
      <c r="D47" s="1" t="s">
        <v>1072</v>
      </c>
      <c r="E47" s="263">
        <v>33</v>
      </c>
      <c r="F47" s="34"/>
      <c r="G47" s="21">
        <v>158</v>
      </c>
    </row>
    <row r="48" spans="1:7" s="81" customFormat="1" ht="11.25" customHeight="1" x14ac:dyDescent="0.2">
      <c r="A48" s="1"/>
      <c r="B48" s="1"/>
      <c r="C48" s="1"/>
      <c r="D48" s="1"/>
      <c r="E48" s="263"/>
      <c r="F48" s="34"/>
      <c r="G48" s="21"/>
    </row>
    <row r="49" spans="1:8" s="81" customFormat="1" ht="11.25" customHeight="1" x14ac:dyDescent="0.2">
      <c r="A49" s="1" t="s">
        <v>794</v>
      </c>
      <c r="B49" s="1"/>
      <c r="C49" s="2" t="s">
        <v>6985</v>
      </c>
      <c r="D49" s="1" t="s">
        <v>1072</v>
      </c>
      <c r="E49" s="263">
        <v>550</v>
      </c>
      <c r="F49" s="34"/>
      <c r="G49" s="21"/>
    </row>
    <row r="50" spans="1:8" s="81" customFormat="1" ht="11.25" customHeight="1" x14ac:dyDescent="0.2">
      <c r="A50" s="1"/>
      <c r="B50" s="1"/>
      <c r="C50" s="1" t="s">
        <v>6986</v>
      </c>
      <c r="D50" s="1" t="s">
        <v>1239</v>
      </c>
      <c r="E50" s="263">
        <v>436</v>
      </c>
      <c r="F50" s="34"/>
      <c r="G50" s="21"/>
    </row>
    <row r="51" spans="1:8" s="81" customFormat="1" ht="11.25" customHeight="1" x14ac:dyDescent="0.2">
      <c r="A51" s="1"/>
      <c r="B51" s="1"/>
      <c r="C51" s="1" t="s">
        <v>6695</v>
      </c>
      <c r="D51" s="1" t="s">
        <v>653</v>
      </c>
      <c r="E51" s="263">
        <v>410</v>
      </c>
      <c r="F51" s="34"/>
      <c r="G51" s="21">
        <v>1396</v>
      </c>
    </row>
    <row r="52" spans="1:8" s="81" customFormat="1" ht="11.25" customHeight="1" x14ac:dyDescent="0.2">
      <c r="A52" s="1"/>
      <c r="B52" s="1"/>
      <c r="C52" s="1"/>
      <c r="D52" s="1"/>
      <c r="E52" s="16"/>
      <c r="F52" s="34"/>
      <c r="G52" s="24"/>
    </row>
    <row r="53" spans="1:8" ht="11.25" customHeight="1" x14ac:dyDescent="0.2">
      <c r="A53" s="1" t="s">
        <v>2340</v>
      </c>
      <c r="C53" s="2" t="s">
        <v>6984</v>
      </c>
      <c r="D53" s="1" t="s">
        <v>1072</v>
      </c>
      <c r="E53" s="16">
        <v>375</v>
      </c>
      <c r="H53" s="158"/>
    </row>
    <row r="54" spans="1:8" ht="11.25" customHeight="1" x14ac:dyDescent="0.2">
      <c r="C54" s="1" t="s">
        <v>6983</v>
      </c>
      <c r="D54" s="1" t="s">
        <v>1239</v>
      </c>
      <c r="E54" s="16">
        <v>265</v>
      </c>
      <c r="G54" s="21">
        <v>640</v>
      </c>
      <c r="H54" s="85"/>
    </row>
    <row r="55" spans="1:8" ht="11.25" customHeight="1" x14ac:dyDescent="0.2"/>
    <row r="56" spans="1:8" ht="11.25" customHeight="1" x14ac:dyDescent="0.2">
      <c r="A56" s="1" t="s">
        <v>2341</v>
      </c>
      <c r="C56" s="1" t="s">
        <v>6987</v>
      </c>
      <c r="D56" s="1" t="s">
        <v>1239</v>
      </c>
      <c r="E56" s="16">
        <v>479</v>
      </c>
    </row>
    <row r="57" spans="1:8" ht="11.25" customHeight="1" x14ac:dyDescent="0.2">
      <c r="C57" s="2" t="s">
        <v>6928</v>
      </c>
      <c r="D57" s="1" t="s">
        <v>1072</v>
      </c>
      <c r="E57" s="16">
        <v>524</v>
      </c>
    </row>
    <row r="58" spans="1:8" ht="11.25" customHeight="1" x14ac:dyDescent="0.2">
      <c r="C58" s="1" t="s">
        <v>6988</v>
      </c>
      <c r="D58" s="1" t="s">
        <v>653</v>
      </c>
      <c r="E58" s="16">
        <v>88</v>
      </c>
      <c r="G58" s="21">
        <v>1091</v>
      </c>
    </row>
    <row r="59" spans="1:8" ht="11.25" customHeight="1" x14ac:dyDescent="0.2"/>
    <row r="60" spans="1:8" ht="11.25" customHeight="1" x14ac:dyDescent="0.2">
      <c r="A60" s="1" t="s">
        <v>6989</v>
      </c>
      <c r="C60" s="1" t="s">
        <v>6990</v>
      </c>
      <c r="D60" s="1" t="s">
        <v>1072</v>
      </c>
      <c r="E60" s="263">
        <v>545</v>
      </c>
    </row>
    <row r="61" spans="1:8" ht="11.25" customHeight="1" x14ac:dyDescent="0.2">
      <c r="C61" s="2" t="s">
        <v>6991</v>
      </c>
      <c r="D61" s="1" t="s">
        <v>1239</v>
      </c>
      <c r="E61" s="263">
        <v>589</v>
      </c>
    </row>
    <row r="62" spans="1:8" ht="11.25" customHeight="1" x14ac:dyDescent="0.2">
      <c r="C62" s="1" t="s">
        <v>6992</v>
      </c>
      <c r="D62" s="1" t="s">
        <v>653</v>
      </c>
      <c r="E62" s="263">
        <v>126</v>
      </c>
      <c r="G62" s="266">
        <v>1260</v>
      </c>
    </row>
    <row r="63" spans="1:8" ht="11.25" customHeight="1" x14ac:dyDescent="0.2">
      <c r="E63" s="27"/>
      <c r="F63" s="35"/>
      <c r="G63" s="151"/>
      <c r="H63" s="85"/>
    </row>
    <row r="64" spans="1:8" ht="11.25" customHeight="1" x14ac:dyDescent="0.2">
      <c r="A64" s="1" t="s">
        <v>446</v>
      </c>
      <c r="C64" s="2" t="s">
        <v>6993</v>
      </c>
      <c r="D64" s="1" t="s">
        <v>1072</v>
      </c>
      <c r="E64" s="16">
        <v>407</v>
      </c>
      <c r="G64" s="24"/>
    </row>
    <row r="65" spans="1:8" ht="11.25" customHeight="1" x14ac:dyDescent="0.2">
      <c r="C65" s="1" t="s">
        <v>6934</v>
      </c>
      <c r="D65" s="1" t="s">
        <v>1072</v>
      </c>
      <c r="E65" s="16">
        <v>391</v>
      </c>
      <c r="G65" s="24">
        <v>798</v>
      </c>
    </row>
    <row r="66" spans="1:8" ht="11.25" customHeight="1" x14ac:dyDescent="0.2"/>
    <row r="67" spans="1:8" ht="11.25" customHeight="1" x14ac:dyDescent="0.2">
      <c r="A67" s="1" t="s">
        <v>2545</v>
      </c>
      <c r="C67" s="2" t="s">
        <v>6995</v>
      </c>
      <c r="D67" s="1" t="s">
        <v>1072</v>
      </c>
      <c r="E67" s="16">
        <v>354</v>
      </c>
    </row>
    <row r="68" spans="1:8" ht="11.25" customHeight="1" x14ac:dyDescent="0.2">
      <c r="C68" s="1" t="s">
        <v>6941</v>
      </c>
      <c r="D68" s="1" t="s">
        <v>1239</v>
      </c>
      <c r="E68" s="16">
        <v>187</v>
      </c>
    </row>
    <row r="69" spans="1:8" ht="11.25" customHeight="1" x14ac:dyDescent="0.2">
      <c r="C69" s="1" t="s">
        <v>6994</v>
      </c>
      <c r="D69" s="1" t="s">
        <v>653</v>
      </c>
      <c r="E69" s="16">
        <v>70</v>
      </c>
      <c r="G69" s="21">
        <v>611</v>
      </c>
    </row>
    <row r="70" spans="1:8" ht="11.25" customHeight="1" x14ac:dyDescent="0.2"/>
    <row r="71" spans="1:8" ht="11.25" customHeight="1" x14ac:dyDescent="0.2">
      <c r="A71" s="1" t="s">
        <v>2054</v>
      </c>
      <c r="C71" s="2" t="s">
        <v>6792</v>
      </c>
      <c r="D71" s="1" t="s">
        <v>1072</v>
      </c>
      <c r="E71" s="16">
        <v>625</v>
      </c>
    </row>
    <row r="72" spans="1:8" ht="11.25" customHeight="1" x14ac:dyDescent="0.2">
      <c r="C72" s="1" t="s">
        <v>6996</v>
      </c>
      <c r="D72" s="1" t="s">
        <v>1239</v>
      </c>
      <c r="E72" s="16">
        <v>306</v>
      </c>
      <c r="G72" s="21">
        <v>931</v>
      </c>
    </row>
    <row r="73" spans="1:8" ht="11.25" customHeight="1" x14ac:dyDescent="0.2">
      <c r="E73" s="27"/>
      <c r="F73" s="35"/>
      <c r="G73" s="13"/>
      <c r="H73" s="85"/>
    </row>
    <row r="74" spans="1:8" ht="11.25" customHeight="1" x14ac:dyDescent="0.2">
      <c r="A74" s="1" t="s">
        <v>1470</v>
      </c>
      <c r="C74" s="2" t="s">
        <v>6998</v>
      </c>
      <c r="D74" s="1" t="s">
        <v>1072</v>
      </c>
      <c r="E74" s="263">
        <v>625</v>
      </c>
    </row>
    <row r="75" spans="1:8" ht="11.25" customHeight="1" x14ac:dyDescent="0.2">
      <c r="C75" s="1" t="s">
        <v>6997</v>
      </c>
      <c r="D75" s="1" t="s">
        <v>1239</v>
      </c>
      <c r="E75" s="263">
        <v>306</v>
      </c>
      <c r="G75" s="21">
        <v>939</v>
      </c>
    </row>
    <row r="76" spans="1:8" s="81" customFormat="1" ht="11.25" customHeight="1" x14ac:dyDescent="0.2">
      <c r="A76" s="1"/>
      <c r="B76" s="1"/>
      <c r="C76" s="1"/>
      <c r="D76" s="1"/>
      <c r="E76" s="16"/>
      <c r="F76" s="34"/>
      <c r="G76" s="21"/>
    </row>
    <row r="77" spans="1:8" s="81" customFormat="1" ht="11.25" customHeight="1" x14ac:dyDescent="0.2">
      <c r="A77" s="1" t="s">
        <v>1309</v>
      </c>
      <c r="B77" s="1"/>
      <c r="C77" s="2" t="s">
        <v>6999</v>
      </c>
      <c r="D77" s="1" t="s">
        <v>1072</v>
      </c>
      <c r="E77" s="16">
        <v>673</v>
      </c>
      <c r="F77" s="34"/>
      <c r="G77" s="24"/>
    </row>
    <row r="78" spans="1:8" s="81" customFormat="1" ht="11.25" customHeight="1" x14ac:dyDescent="0.2">
      <c r="A78" s="1"/>
      <c r="B78" s="1"/>
      <c r="C78" s="1" t="s">
        <v>7000</v>
      </c>
      <c r="D78" s="1" t="s">
        <v>1239</v>
      </c>
      <c r="E78" s="16">
        <v>248</v>
      </c>
      <c r="F78" s="34"/>
      <c r="G78" s="16">
        <v>921</v>
      </c>
    </row>
    <row r="79" spans="1:8" s="81" customFormat="1" ht="11.25" customHeight="1" x14ac:dyDescent="0.2">
      <c r="A79" s="1"/>
      <c r="B79" s="1"/>
      <c r="C79" s="1"/>
      <c r="D79" s="1"/>
      <c r="E79" s="16"/>
      <c r="F79" s="34"/>
      <c r="G79" s="21"/>
    </row>
    <row r="80" spans="1:8" s="81" customFormat="1" ht="11.25" customHeight="1" x14ac:dyDescent="0.2">
      <c r="A80" s="1" t="s">
        <v>1492</v>
      </c>
      <c r="B80" s="1"/>
      <c r="C80" s="2" t="s">
        <v>7001</v>
      </c>
      <c r="D80" s="1" t="s">
        <v>1072</v>
      </c>
      <c r="E80" s="263">
        <v>949</v>
      </c>
      <c r="F80" s="34"/>
      <c r="G80" s="21"/>
    </row>
    <row r="81" spans="1:8" s="81" customFormat="1" ht="11.25" customHeight="1" x14ac:dyDescent="0.2">
      <c r="A81" s="1"/>
      <c r="B81" s="1"/>
      <c r="C81" s="1" t="s">
        <v>7002</v>
      </c>
      <c r="D81" s="1" t="s">
        <v>1239</v>
      </c>
      <c r="E81" s="263">
        <v>409</v>
      </c>
      <c r="F81" s="34"/>
      <c r="G81" s="21">
        <v>1358</v>
      </c>
    </row>
    <row r="82" spans="1:8" s="81" customFormat="1" ht="11.25" customHeight="1" x14ac:dyDescent="0.2">
      <c r="A82" s="1"/>
      <c r="B82" s="1"/>
      <c r="C82" s="1"/>
      <c r="D82" s="1"/>
      <c r="E82" s="16"/>
      <c r="F82" s="34"/>
      <c r="G82" s="21"/>
    </row>
    <row r="83" spans="1:8" s="81" customFormat="1" ht="11.25" customHeight="1" x14ac:dyDescent="0.2">
      <c r="A83" s="1" t="s">
        <v>1311</v>
      </c>
      <c r="B83" s="1"/>
      <c r="C83" s="2" t="s">
        <v>7003</v>
      </c>
      <c r="D83" s="1" t="s">
        <v>1072</v>
      </c>
      <c r="E83" s="16">
        <v>552</v>
      </c>
      <c r="F83" s="34"/>
      <c r="G83" s="21"/>
    </row>
    <row r="84" spans="1:8" s="81" customFormat="1" ht="11.25" customHeight="1" x14ac:dyDescent="0.2">
      <c r="A84" s="1"/>
      <c r="B84" s="1"/>
      <c r="C84" s="1" t="s">
        <v>7004</v>
      </c>
      <c r="D84" s="1" t="s">
        <v>1239</v>
      </c>
      <c r="E84" s="16">
        <v>278</v>
      </c>
      <c r="F84" s="34"/>
      <c r="G84" s="19">
        <v>830</v>
      </c>
    </row>
    <row r="85" spans="1:8" ht="11.25" customHeight="1" x14ac:dyDescent="0.2">
      <c r="F85" s="35"/>
      <c r="G85" s="24"/>
    </row>
    <row r="86" spans="1:8" ht="11.25" customHeight="1" x14ac:dyDescent="0.2">
      <c r="A86" s="22" t="s">
        <v>1131</v>
      </c>
      <c r="B86" s="22"/>
      <c r="C86" s="22"/>
      <c r="D86" s="22"/>
      <c r="E86" s="33" t="s">
        <v>766</v>
      </c>
      <c r="F86" s="39"/>
      <c r="G86" s="23">
        <f>SUM(G5:G84)</f>
        <v>25163</v>
      </c>
      <c r="H86" s="120">
        <f>(188219+7707)/G86*100</f>
        <v>778.6273496800859</v>
      </c>
    </row>
    <row r="87" spans="1:8" ht="11.25" customHeight="1" x14ac:dyDescent="0.2"/>
    <row r="88" spans="1:8" s="5" customFormat="1" ht="11.25" customHeight="1" x14ac:dyDescent="0.2">
      <c r="A88" s="6" t="s">
        <v>1289</v>
      </c>
      <c r="B88" s="6"/>
      <c r="C88" s="8"/>
      <c r="D88" s="8"/>
      <c r="E88" s="137"/>
      <c r="F88" s="138"/>
      <c r="G88" s="139"/>
      <c r="H88" s="82"/>
    </row>
    <row r="89" spans="1:8" s="143" customFormat="1" ht="33.75" customHeight="1" x14ac:dyDescent="0.2">
      <c r="A89" s="272" t="s">
        <v>2651</v>
      </c>
      <c r="B89" s="272"/>
      <c r="C89" s="272"/>
      <c r="D89" s="272"/>
      <c r="E89" s="272"/>
      <c r="F89" s="272"/>
      <c r="G89" s="272"/>
      <c r="H89" s="272"/>
    </row>
    <row r="90" spans="1:8" s="26" customFormat="1" ht="11.25" customHeight="1" x14ac:dyDescent="0.2">
      <c r="A90" s="273" t="s">
        <v>1288</v>
      </c>
      <c r="B90" s="273"/>
      <c r="C90" s="273"/>
      <c r="D90" s="273"/>
      <c r="E90" s="273"/>
      <c r="F90" s="273"/>
      <c r="G90" s="273"/>
      <c r="H90" s="273"/>
    </row>
    <row r="91" spans="1:8" s="26" customFormat="1" ht="11.25" customHeight="1" x14ac:dyDescent="0.2">
      <c r="A91" s="274" t="s">
        <v>2654</v>
      </c>
      <c r="B91" s="274"/>
      <c r="C91" s="274"/>
      <c r="D91" s="274"/>
      <c r="E91" s="274"/>
      <c r="F91" s="274"/>
      <c r="G91" s="274"/>
      <c r="H91" s="274"/>
    </row>
    <row r="92" spans="1:8" s="26" customFormat="1" ht="11.25" customHeight="1" x14ac:dyDescent="0.2">
      <c r="A92" s="273" t="s">
        <v>2655</v>
      </c>
      <c r="B92" s="273"/>
      <c r="C92" s="273"/>
      <c r="D92" s="273"/>
      <c r="E92" s="273"/>
      <c r="F92" s="273"/>
      <c r="G92" s="273"/>
      <c r="H92" s="273"/>
    </row>
    <row r="93" spans="1:8" ht="11.25" customHeight="1" x14ac:dyDescent="0.2"/>
  </sheetData>
  <mergeCells count="6">
    <mergeCell ref="A92:H92"/>
    <mergeCell ref="A1:H1"/>
    <mergeCell ref="F2:H2"/>
    <mergeCell ref="A89:H89"/>
    <mergeCell ref="A90:H90"/>
    <mergeCell ref="A91:H91"/>
  </mergeCells>
  <pageMargins left="0.5" right="0.16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0"/>
  <sheetViews>
    <sheetView topLeftCell="A283" workbookViewId="0">
      <selection activeCell="A328" sqref="A328:H328"/>
    </sheetView>
  </sheetViews>
  <sheetFormatPr defaultRowHeight="12.75" x14ac:dyDescent="0.2"/>
  <cols>
    <col min="1" max="1" width="18.5703125" style="209" customWidth="1"/>
    <col min="2" max="2" width="4.7109375" style="256" customWidth="1"/>
    <col min="3" max="3" width="23.140625" style="209" bestFit="1" customWidth="1"/>
    <col min="4" max="4" width="23.5703125" style="209" customWidth="1"/>
    <col min="5" max="5" width="12.85546875" style="209" customWidth="1"/>
    <col min="6" max="6" width="9.140625" style="209"/>
    <col min="7" max="7" width="11.28515625" style="209" bestFit="1" customWidth="1"/>
    <col min="8" max="16384" width="9.140625" style="209"/>
  </cols>
  <sheetData>
    <row r="1" spans="1:10" ht="15.75" x14ac:dyDescent="0.2">
      <c r="A1" s="270" t="s">
        <v>2332</v>
      </c>
      <c r="B1" s="270"/>
      <c r="C1" s="270"/>
      <c r="D1" s="270"/>
      <c r="E1" s="270"/>
      <c r="F1" s="270"/>
      <c r="G1" s="270"/>
      <c r="H1" s="270"/>
    </row>
    <row r="2" spans="1:10" ht="13.5" thickBot="1" x14ac:dyDescent="0.25">
      <c r="A2" s="210" t="s">
        <v>4782</v>
      </c>
      <c r="B2" s="253"/>
      <c r="C2" s="210" t="s">
        <v>6139</v>
      </c>
      <c r="D2" s="211" t="s">
        <v>6020</v>
      </c>
      <c r="E2" s="212"/>
      <c r="F2" s="275" t="s">
        <v>2933</v>
      </c>
      <c r="G2" s="275"/>
      <c r="H2" s="275"/>
    </row>
    <row r="3" spans="1:10" ht="39" thickBot="1" x14ac:dyDescent="0.25">
      <c r="A3" s="58" t="s">
        <v>1284</v>
      </c>
      <c r="B3" s="254"/>
      <c r="C3" s="59" t="s">
        <v>1300</v>
      </c>
      <c r="D3" s="59" t="s">
        <v>2652</v>
      </c>
      <c r="E3" s="73" t="s">
        <v>4765</v>
      </c>
      <c r="F3" s="74" t="s">
        <v>1286</v>
      </c>
      <c r="G3" s="73" t="s">
        <v>1287</v>
      </c>
      <c r="H3" s="74" t="s">
        <v>4766</v>
      </c>
      <c r="J3" s="213"/>
    </row>
    <row r="4" spans="1:10" x14ac:dyDescent="0.2">
      <c r="A4" s="247"/>
      <c r="B4" s="255"/>
      <c r="C4" s="248"/>
      <c r="D4" s="248"/>
      <c r="E4" s="249"/>
      <c r="F4" s="250"/>
      <c r="G4" s="249"/>
      <c r="H4" s="250"/>
      <c r="J4" s="213"/>
    </row>
    <row r="5" spans="1:10" x14ac:dyDescent="0.2">
      <c r="A5" s="60"/>
      <c r="B5" s="60"/>
      <c r="C5" s="61"/>
      <c r="D5" s="66"/>
      <c r="E5" s="87"/>
      <c r="F5" s="80"/>
      <c r="G5" s="87"/>
      <c r="H5" s="80"/>
    </row>
    <row r="6" spans="1:10" x14ac:dyDescent="0.2">
      <c r="A6" s="152" t="s">
        <v>5571</v>
      </c>
      <c r="B6" s="243"/>
      <c r="C6" s="244" t="s">
        <v>5731</v>
      </c>
      <c r="D6" s="242" t="s">
        <v>1071</v>
      </c>
      <c r="E6" s="245">
        <v>2930</v>
      </c>
      <c r="F6" s="246"/>
      <c r="G6" s="245"/>
      <c r="H6" s="246"/>
    </row>
    <row r="7" spans="1:10" x14ac:dyDescent="0.2">
      <c r="A7" s="152"/>
      <c r="B7" s="243"/>
      <c r="C7" s="241" t="s">
        <v>6140</v>
      </c>
      <c r="D7" s="242" t="s">
        <v>5573</v>
      </c>
      <c r="E7" s="245">
        <v>1215</v>
      </c>
      <c r="F7" s="246"/>
      <c r="G7" s="245"/>
      <c r="H7" s="246"/>
    </row>
    <row r="8" spans="1:10" x14ac:dyDescent="0.2">
      <c r="A8" s="152"/>
      <c r="B8" s="243"/>
      <c r="C8" s="241" t="s">
        <v>6141</v>
      </c>
      <c r="D8" s="242" t="s">
        <v>653</v>
      </c>
      <c r="E8" s="245">
        <v>595</v>
      </c>
      <c r="F8" s="246"/>
      <c r="G8" s="245"/>
      <c r="H8" s="246"/>
    </row>
    <row r="9" spans="1:10" x14ac:dyDescent="0.2">
      <c r="A9" s="152"/>
      <c r="B9" s="243"/>
      <c r="C9" s="241"/>
      <c r="D9" s="242"/>
      <c r="E9" s="245">
        <v>4838</v>
      </c>
      <c r="F9" s="246"/>
      <c r="G9" s="245">
        <v>5878</v>
      </c>
      <c r="H9" s="246">
        <v>82.3</v>
      </c>
    </row>
    <row r="10" spans="1:10" x14ac:dyDescent="0.2">
      <c r="A10" s="60"/>
      <c r="B10" s="60"/>
      <c r="C10" s="61"/>
      <c r="D10" s="66"/>
      <c r="E10" s="87"/>
      <c r="F10" s="80"/>
      <c r="G10" s="87"/>
      <c r="H10" s="80"/>
    </row>
    <row r="11" spans="1:10" x14ac:dyDescent="0.2">
      <c r="A11" s="242" t="s">
        <v>3267</v>
      </c>
      <c r="B11" s="243"/>
      <c r="C11" s="244" t="s">
        <v>1166</v>
      </c>
      <c r="D11" s="242" t="s">
        <v>1071</v>
      </c>
      <c r="E11" s="245">
        <v>2212</v>
      </c>
      <c r="F11" s="246"/>
      <c r="G11" s="245"/>
      <c r="H11" s="246"/>
    </row>
    <row r="12" spans="1:10" x14ac:dyDescent="0.2">
      <c r="A12" s="243"/>
      <c r="B12" s="243"/>
      <c r="C12" s="241" t="s">
        <v>6142</v>
      </c>
      <c r="D12" s="234" t="s">
        <v>5573</v>
      </c>
      <c r="E12" s="245">
        <v>1504</v>
      </c>
      <c r="F12" s="246"/>
      <c r="G12" s="245"/>
      <c r="H12" s="246"/>
    </row>
    <row r="13" spans="1:10" x14ac:dyDescent="0.2">
      <c r="A13" s="243"/>
      <c r="B13" s="243"/>
      <c r="C13" s="241" t="s">
        <v>3082</v>
      </c>
      <c r="D13" s="234" t="s">
        <v>5578</v>
      </c>
      <c r="E13" s="245">
        <v>151</v>
      </c>
      <c r="F13" s="246"/>
      <c r="G13" s="245"/>
      <c r="H13" s="246"/>
    </row>
    <row r="14" spans="1:10" x14ac:dyDescent="0.2">
      <c r="A14" s="243"/>
      <c r="B14" s="243"/>
      <c r="C14" s="241"/>
      <c r="D14" s="242"/>
      <c r="E14" s="245">
        <v>3949</v>
      </c>
      <c r="F14" s="246"/>
      <c r="G14" s="245">
        <v>5994</v>
      </c>
      <c r="H14" s="246">
        <v>65.900000000000006</v>
      </c>
    </row>
    <row r="15" spans="1:10" x14ac:dyDescent="0.2">
      <c r="A15" s="237"/>
      <c r="B15" s="237"/>
      <c r="C15" s="76"/>
      <c r="D15" s="238"/>
      <c r="E15" s="239"/>
      <c r="F15" s="240"/>
      <c r="G15" s="239"/>
      <c r="H15" s="240"/>
    </row>
    <row r="16" spans="1:10" x14ac:dyDescent="0.2">
      <c r="A16" s="26" t="s">
        <v>2266</v>
      </c>
      <c r="B16" s="251"/>
      <c r="C16" s="214" t="s">
        <v>6025</v>
      </c>
      <c r="D16" s="234" t="s">
        <v>1071</v>
      </c>
      <c r="E16" s="31">
        <v>2288</v>
      </c>
      <c r="F16" s="216"/>
      <c r="G16" s="31"/>
      <c r="H16" s="217"/>
    </row>
    <row r="17" spans="1:8" x14ac:dyDescent="0.2">
      <c r="A17" s="26"/>
      <c r="B17" s="252"/>
      <c r="C17" s="26" t="s">
        <v>6143</v>
      </c>
      <c r="D17" s="234" t="s">
        <v>5573</v>
      </c>
      <c r="E17" s="31">
        <v>1410</v>
      </c>
      <c r="F17" s="216"/>
      <c r="G17" s="31"/>
      <c r="H17" s="217"/>
    </row>
    <row r="18" spans="1:8" x14ac:dyDescent="0.2">
      <c r="A18" s="26"/>
      <c r="B18" s="252"/>
      <c r="C18" s="26" t="s">
        <v>6144</v>
      </c>
      <c r="D18" s="234" t="s">
        <v>5578</v>
      </c>
      <c r="E18" s="31">
        <v>560</v>
      </c>
      <c r="F18" s="216"/>
      <c r="G18" s="31"/>
      <c r="H18" s="217"/>
    </row>
    <row r="19" spans="1:8" x14ac:dyDescent="0.2">
      <c r="A19" s="26"/>
      <c r="B19" s="252"/>
      <c r="C19" s="26"/>
      <c r="D19" s="234"/>
      <c r="E19" s="218">
        <v>4378</v>
      </c>
      <c r="F19" s="219"/>
      <c r="G19" s="218">
        <v>7132</v>
      </c>
      <c r="H19" s="220">
        <v>61.4</v>
      </c>
    </row>
    <row r="20" spans="1:8" x14ac:dyDescent="0.2">
      <c r="A20" s="26"/>
      <c r="B20" s="252"/>
      <c r="C20" s="26" t="s">
        <v>2318</v>
      </c>
      <c r="D20" s="234"/>
      <c r="E20" s="31"/>
      <c r="F20" s="216"/>
      <c r="G20" s="31"/>
      <c r="H20" s="217"/>
    </row>
    <row r="21" spans="1:8" x14ac:dyDescent="0.2">
      <c r="A21" s="26" t="s">
        <v>1008</v>
      </c>
      <c r="B21" s="252">
        <v>1</v>
      </c>
      <c r="C21" s="26" t="s">
        <v>6028</v>
      </c>
      <c r="D21" s="234" t="s">
        <v>653</v>
      </c>
      <c r="E21" s="31">
        <v>1602</v>
      </c>
      <c r="F21" s="216"/>
      <c r="G21" s="31"/>
      <c r="H21" s="217"/>
    </row>
    <row r="22" spans="1:8" x14ac:dyDescent="0.2">
      <c r="A22" s="26"/>
      <c r="B22" s="252"/>
      <c r="C22" s="26" t="s">
        <v>5901</v>
      </c>
      <c r="D22" s="234" t="s">
        <v>1071</v>
      </c>
      <c r="E22" s="31">
        <v>1568</v>
      </c>
      <c r="F22" s="216"/>
      <c r="G22" s="31"/>
      <c r="H22" s="217"/>
    </row>
    <row r="23" spans="1:8" x14ac:dyDescent="0.2">
      <c r="A23" s="26"/>
      <c r="B23" s="252"/>
      <c r="C23" s="26" t="s">
        <v>6145</v>
      </c>
      <c r="D23" s="234" t="s">
        <v>5573</v>
      </c>
      <c r="E23" s="31">
        <v>902</v>
      </c>
      <c r="F23" s="216"/>
      <c r="G23" s="31"/>
      <c r="H23" s="217"/>
    </row>
    <row r="24" spans="1:8" x14ac:dyDescent="0.2">
      <c r="A24" s="26"/>
      <c r="B24" s="252"/>
      <c r="C24" s="26" t="s">
        <v>2318</v>
      </c>
      <c r="D24" s="234"/>
      <c r="E24" s="218">
        <v>4190</v>
      </c>
      <c r="F24" s="219"/>
      <c r="G24" s="218">
        <v>5698</v>
      </c>
      <c r="H24" s="220">
        <v>73.5</v>
      </c>
    </row>
    <row r="25" spans="1:8" x14ac:dyDescent="0.2">
      <c r="A25" s="26"/>
      <c r="B25" s="252"/>
      <c r="C25" s="26"/>
      <c r="D25" s="234"/>
      <c r="E25" s="88"/>
      <c r="F25" s="84"/>
      <c r="G25" s="88"/>
      <c r="H25" s="235"/>
    </row>
    <row r="26" spans="1:8" x14ac:dyDescent="0.2">
      <c r="A26" s="26"/>
      <c r="B26" s="252">
        <v>2</v>
      </c>
      <c r="C26" s="214" t="s">
        <v>5901</v>
      </c>
      <c r="D26" s="234" t="s">
        <v>1071</v>
      </c>
      <c r="E26" s="88">
        <v>1805</v>
      </c>
      <c r="F26" s="84"/>
      <c r="G26" s="88"/>
      <c r="H26" s="235"/>
    </row>
    <row r="27" spans="1:8" x14ac:dyDescent="0.2">
      <c r="A27" s="26"/>
      <c r="B27" s="252"/>
      <c r="C27" s="26" t="s">
        <v>6028</v>
      </c>
      <c r="D27" s="234" t="s">
        <v>4877</v>
      </c>
      <c r="E27" s="88">
        <v>1757</v>
      </c>
      <c r="F27" s="84"/>
      <c r="G27" s="88"/>
      <c r="H27" s="235"/>
    </row>
    <row r="28" spans="1:8" x14ac:dyDescent="0.2">
      <c r="A28" s="26"/>
      <c r="B28" s="252"/>
      <c r="C28" s="26" t="s">
        <v>2318</v>
      </c>
      <c r="D28" s="234"/>
      <c r="E28" s="31"/>
      <c r="F28" s="216"/>
      <c r="G28" s="31"/>
      <c r="H28" s="217"/>
    </row>
    <row r="29" spans="1:8" x14ac:dyDescent="0.2">
      <c r="A29" s="26" t="s">
        <v>1923</v>
      </c>
      <c r="B29" s="252"/>
      <c r="C29" s="214" t="s">
        <v>5862</v>
      </c>
      <c r="D29" s="234" t="s">
        <v>1071</v>
      </c>
      <c r="E29" s="31">
        <v>2747</v>
      </c>
      <c r="F29" s="216"/>
      <c r="G29" s="31"/>
      <c r="H29" s="217"/>
    </row>
    <row r="30" spans="1:8" x14ac:dyDescent="0.2">
      <c r="A30" s="26"/>
      <c r="B30" s="252"/>
      <c r="C30" s="26" t="s">
        <v>6032</v>
      </c>
      <c r="D30" s="234" t="s">
        <v>5573</v>
      </c>
      <c r="E30" s="31">
        <v>1403</v>
      </c>
      <c r="F30" s="216"/>
      <c r="G30" s="31"/>
      <c r="H30" s="217"/>
    </row>
    <row r="31" spans="1:8" x14ac:dyDescent="0.2">
      <c r="A31" s="26"/>
      <c r="B31" s="252"/>
      <c r="C31" s="26" t="s">
        <v>6146</v>
      </c>
      <c r="D31" s="234" t="s">
        <v>5578</v>
      </c>
      <c r="E31" s="31">
        <v>385</v>
      </c>
      <c r="F31" s="216"/>
      <c r="G31" s="31"/>
      <c r="H31" s="217"/>
    </row>
    <row r="32" spans="1:8" x14ac:dyDescent="0.2">
      <c r="A32" s="26"/>
      <c r="B32" s="252"/>
      <c r="C32" s="26" t="s">
        <v>2318</v>
      </c>
      <c r="D32" s="234"/>
      <c r="E32" s="218">
        <v>4694</v>
      </c>
      <c r="F32" s="219"/>
      <c r="G32" s="218">
        <v>6757</v>
      </c>
      <c r="H32" s="220">
        <v>69.5</v>
      </c>
    </row>
    <row r="33" spans="1:9" x14ac:dyDescent="0.2">
      <c r="A33" s="26"/>
      <c r="B33" s="252"/>
      <c r="C33" s="26" t="s">
        <v>2318</v>
      </c>
      <c r="D33" s="234"/>
      <c r="E33" s="31"/>
      <c r="F33" s="216"/>
      <c r="G33" s="31"/>
      <c r="H33" s="217"/>
    </row>
    <row r="34" spans="1:9" x14ac:dyDescent="0.2">
      <c r="A34" s="26" t="s">
        <v>5197</v>
      </c>
      <c r="B34" s="252"/>
      <c r="C34" s="214" t="s">
        <v>1085</v>
      </c>
      <c r="D34" s="234" t="s">
        <v>1071</v>
      </c>
      <c r="E34" s="31">
        <v>2131</v>
      </c>
      <c r="F34" s="216"/>
      <c r="G34" s="31"/>
      <c r="H34" s="217"/>
    </row>
    <row r="35" spans="1:9" x14ac:dyDescent="0.2">
      <c r="A35" s="26"/>
      <c r="B35" s="252"/>
      <c r="C35" s="26" t="s">
        <v>6147</v>
      </c>
      <c r="D35" s="234" t="s">
        <v>5573</v>
      </c>
      <c r="E35" s="31">
        <v>1033</v>
      </c>
      <c r="F35" s="216"/>
      <c r="G35" s="31"/>
      <c r="H35" s="217"/>
    </row>
    <row r="36" spans="1:9" x14ac:dyDescent="0.2">
      <c r="A36" s="26"/>
      <c r="B36" s="252"/>
      <c r="C36" s="26" t="s">
        <v>6148</v>
      </c>
      <c r="D36" s="234" t="s">
        <v>4877</v>
      </c>
      <c r="E36" s="31">
        <v>625</v>
      </c>
      <c r="F36" s="216"/>
      <c r="G36" s="31"/>
      <c r="H36" s="217"/>
    </row>
    <row r="37" spans="1:9" x14ac:dyDescent="0.2">
      <c r="A37" s="26"/>
      <c r="B37" s="252"/>
      <c r="C37" s="26" t="s">
        <v>2318</v>
      </c>
      <c r="D37" s="234"/>
      <c r="E37" s="218">
        <v>3933</v>
      </c>
      <c r="F37" s="219"/>
      <c r="G37" s="218">
        <v>5290</v>
      </c>
      <c r="H37" s="220">
        <v>74.3</v>
      </c>
    </row>
    <row r="38" spans="1:9" x14ac:dyDescent="0.2">
      <c r="A38" s="26"/>
      <c r="B38" s="252"/>
      <c r="C38" s="26" t="s">
        <v>2318</v>
      </c>
      <c r="D38" s="234"/>
      <c r="E38" s="31"/>
      <c r="F38" s="216"/>
      <c r="G38" s="31"/>
      <c r="H38" s="217"/>
    </row>
    <row r="39" spans="1:9" x14ac:dyDescent="0.2">
      <c r="A39" s="26" t="s">
        <v>5584</v>
      </c>
      <c r="B39" s="252"/>
      <c r="C39" s="214" t="s">
        <v>6149</v>
      </c>
      <c r="D39" s="234" t="s">
        <v>1071</v>
      </c>
      <c r="E39" s="31">
        <v>2024</v>
      </c>
      <c r="F39" s="216"/>
      <c r="G39" s="31"/>
      <c r="H39" s="217"/>
    </row>
    <row r="40" spans="1:9" x14ac:dyDescent="0.2">
      <c r="B40" s="252"/>
      <c r="C40" s="26" t="s">
        <v>6150</v>
      </c>
      <c r="D40" s="234" t="s">
        <v>5573</v>
      </c>
      <c r="E40" s="31">
        <v>1274</v>
      </c>
      <c r="F40" s="216"/>
      <c r="G40" s="31"/>
      <c r="H40" s="217"/>
    </row>
    <row r="41" spans="1:9" x14ac:dyDescent="0.2">
      <c r="B41" s="252"/>
      <c r="C41" s="26" t="s">
        <v>6151</v>
      </c>
      <c r="D41" s="234" t="s">
        <v>4877</v>
      </c>
      <c r="E41" s="31">
        <v>467</v>
      </c>
      <c r="F41" s="216"/>
      <c r="G41" s="31"/>
      <c r="H41" s="217"/>
    </row>
    <row r="42" spans="1:9" x14ac:dyDescent="0.2">
      <c r="B42" s="252"/>
      <c r="C42" s="26"/>
      <c r="D42" s="234"/>
      <c r="E42" s="218">
        <v>3862</v>
      </c>
      <c r="F42" s="219"/>
      <c r="G42" s="218">
        <v>5745</v>
      </c>
      <c r="H42" s="220">
        <v>67.2</v>
      </c>
    </row>
    <row r="43" spans="1:9" x14ac:dyDescent="0.2">
      <c r="B43" s="252"/>
      <c r="C43" s="26"/>
      <c r="D43" s="234"/>
      <c r="E43" s="88"/>
      <c r="F43" s="84"/>
      <c r="G43" s="88"/>
      <c r="H43" s="235"/>
    </row>
    <row r="44" spans="1:9" x14ac:dyDescent="0.2">
      <c r="A44" s="26" t="s">
        <v>1086</v>
      </c>
      <c r="B44" s="252">
        <v>1</v>
      </c>
      <c r="C44" s="26" t="s">
        <v>6152</v>
      </c>
      <c r="D44" s="234" t="s">
        <v>653</v>
      </c>
      <c r="E44" s="31">
        <v>7754</v>
      </c>
      <c r="F44" s="216"/>
      <c r="G44" s="31"/>
      <c r="H44" s="217"/>
      <c r="I44" s="26"/>
    </row>
    <row r="45" spans="1:9" x14ac:dyDescent="0.2">
      <c r="A45" s="26"/>
      <c r="B45" s="252"/>
      <c r="C45" s="26" t="s">
        <v>6153</v>
      </c>
      <c r="D45" s="234" t="s">
        <v>1071</v>
      </c>
      <c r="E45" s="31">
        <v>6655</v>
      </c>
      <c r="F45" s="216"/>
      <c r="G45" s="31"/>
      <c r="H45" s="217"/>
      <c r="I45" s="26"/>
    </row>
    <row r="46" spans="1:9" x14ac:dyDescent="0.2">
      <c r="A46" s="26"/>
      <c r="B46" s="252"/>
      <c r="C46" s="26" t="s">
        <v>5762</v>
      </c>
      <c r="D46" s="234" t="s">
        <v>1071</v>
      </c>
      <c r="E46" s="31">
        <v>5042</v>
      </c>
      <c r="F46" s="216"/>
      <c r="G46" s="31"/>
      <c r="H46" s="217"/>
      <c r="I46" s="26"/>
    </row>
    <row r="47" spans="1:9" x14ac:dyDescent="0.2">
      <c r="A47" s="26"/>
      <c r="B47" s="252"/>
      <c r="C47" s="26" t="s">
        <v>2037</v>
      </c>
      <c r="D47" s="234" t="s">
        <v>5573</v>
      </c>
      <c r="E47" s="31">
        <v>3560</v>
      </c>
      <c r="F47" s="1"/>
      <c r="G47" s="1"/>
      <c r="H47" s="1"/>
      <c r="I47" s="26"/>
    </row>
    <row r="48" spans="1:9" x14ac:dyDescent="0.2">
      <c r="A48" s="26"/>
      <c r="B48" s="252"/>
      <c r="C48" s="26" t="s">
        <v>5754</v>
      </c>
      <c r="D48" s="234" t="s">
        <v>653</v>
      </c>
      <c r="E48" s="31">
        <v>2365</v>
      </c>
      <c r="F48" s="1"/>
      <c r="G48" s="1"/>
      <c r="H48" s="1"/>
      <c r="I48" s="26"/>
    </row>
    <row r="49" spans="1:9" x14ac:dyDescent="0.2">
      <c r="A49" s="26"/>
      <c r="B49" s="252"/>
      <c r="C49" s="26" t="s">
        <v>6154</v>
      </c>
      <c r="D49" s="234" t="s">
        <v>653</v>
      </c>
      <c r="E49" s="31">
        <v>2192</v>
      </c>
      <c r="F49" s="1"/>
      <c r="G49" s="1"/>
      <c r="H49" s="1"/>
      <c r="I49" s="26"/>
    </row>
    <row r="50" spans="1:9" x14ac:dyDescent="0.2">
      <c r="A50" s="26"/>
      <c r="B50" s="252"/>
      <c r="C50" s="26" t="s">
        <v>5906</v>
      </c>
      <c r="D50" s="234" t="s">
        <v>5573</v>
      </c>
      <c r="E50" s="31">
        <v>2088</v>
      </c>
      <c r="F50" s="1"/>
      <c r="G50" s="1"/>
      <c r="H50" s="1"/>
      <c r="I50" s="26"/>
    </row>
    <row r="51" spans="1:9" x14ac:dyDescent="0.2">
      <c r="A51" s="26"/>
      <c r="B51" s="252"/>
      <c r="C51" s="26" t="s">
        <v>6155</v>
      </c>
      <c r="D51" s="234" t="s">
        <v>5573</v>
      </c>
      <c r="E51" s="31">
        <v>1655</v>
      </c>
      <c r="F51" s="1"/>
      <c r="G51" s="1"/>
      <c r="H51" s="1"/>
      <c r="I51" s="26"/>
    </row>
    <row r="52" spans="1:9" x14ac:dyDescent="0.2">
      <c r="A52" s="26"/>
      <c r="B52" s="252"/>
      <c r="C52" s="26" t="s">
        <v>6156</v>
      </c>
      <c r="D52" s="234" t="s">
        <v>5573</v>
      </c>
      <c r="E52" s="31">
        <v>1462</v>
      </c>
      <c r="F52" s="1"/>
      <c r="G52" s="1"/>
      <c r="H52" s="1"/>
      <c r="I52" s="26"/>
    </row>
    <row r="53" spans="1:9" x14ac:dyDescent="0.2">
      <c r="A53" s="26"/>
      <c r="B53" s="252"/>
      <c r="C53" s="26" t="s">
        <v>6157</v>
      </c>
      <c r="D53" s="234" t="s">
        <v>653</v>
      </c>
      <c r="E53" s="31">
        <v>1433</v>
      </c>
      <c r="F53" s="1"/>
      <c r="G53" s="1"/>
      <c r="H53" s="1"/>
      <c r="I53" s="26"/>
    </row>
    <row r="54" spans="1:9" x14ac:dyDescent="0.2">
      <c r="A54" s="26"/>
      <c r="B54" s="252"/>
      <c r="C54" s="26" t="s">
        <v>6158</v>
      </c>
      <c r="D54" s="234" t="s">
        <v>1071</v>
      </c>
      <c r="E54" s="31">
        <v>1351</v>
      </c>
      <c r="F54" s="1"/>
      <c r="G54" s="1"/>
      <c r="H54" s="1"/>
      <c r="I54" s="26"/>
    </row>
    <row r="55" spans="1:9" x14ac:dyDescent="0.2">
      <c r="A55" s="26"/>
      <c r="B55" s="252"/>
      <c r="C55" s="26" t="s">
        <v>6159</v>
      </c>
      <c r="D55" s="234" t="s">
        <v>1071</v>
      </c>
      <c r="E55" s="31">
        <v>1162</v>
      </c>
      <c r="F55" s="1"/>
      <c r="G55" s="1"/>
      <c r="H55" s="1"/>
      <c r="I55" s="26"/>
    </row>
    <row r="56" spans="1:9" x14ac:dyDescent="0.2">
      <c r="A56" s="26"/>
      <c r="B56" s="252"/>
      <c r="C56" s="26" t="s">
        <v>6160</v>
      </c>
      <c r="D56" s="234" t="s">
        <v>1071</v>
      </c>
      <c r="E56" s="31">
        <v>834</v>
      </c>
      <c r="F56" s="1"/>
      <c r="G56" s="1"/>
      <c r="H56" s="1"/>
      <c r="I56" s="26"/>
    </row>
    <row r="57" spans="1:9" x14ac:dyDescent="0.2">
      <c r="A57" s="26"/>
      <c r="B57" s="252"/>
      <c r="C57" s="26" t="s">
        <v>6161</v>
      </c>
      <c r="D57" s="234" t="s">
        <v>5573</v>
      </c>
      <c r="E57" s="31">
        <v>504</v>
      </c>
      <c r="F57" s="1"/>
      <c r="G57" s="1"/>
      <c r="H57" s="1"/>
      <c r="I57" s="26"/>
    </row>
    <row r="58" spans="1:9" x14ac:dyDescent="0.2">
      <c r="A58" s="26"/>
      <c r="B58" s="252"/>
      <c r="C58" s="26" t="s">
        <v>6162</v>
      </c>
      <c r="D58" s="234" t="s">
        <v>5578</v>
      </c>
      <c r="E58" s="31">
        <v>491</v>
      </c>
      <c r="F58" s="1"/>
      <c r="G58" s="1"/>
      <c r="H58" s="1"/>
      <c r="I58" s="26"/>
    </row>
    <row r="59" spans="1:9" x14ac:dyDescent="0.2">
      <c r="A59" s="26"/>
      <c r="B59" s="252"/>
      <c r="C59" s="26" t="s">
        <v>6163</v>
      </c>
      <c r="D59" s="234" t="s">
        <v>5578</v>
      </c>
      <c r="E59" s="31">
        <v>304</v>
      </c>
      <c r="F59" s="1"/>
      <c r="G59" s="1"/>
      <c r="H59" s="1"/>
      <c r="I59" s="26"/>
    </row>
    <row r="60" spans="1:9" x14ac:dyDescent="0.2">
      <c r="A60" s="26"/>
      <c r="B60" s="252"/>
      <c r="C60" s="26" t="s">
        <v>6164</v>
      </c>
      <c r="D60" s="234" t="s">
        <v>5578</v>
      </c>
      <c r="E60" s="31">
        <v>258</v>
      </c>
      <c r="F60" s="1"/>
      <c r="G60" s="1"/>
      <c r="H60" s="1"/>
      <c r="I60" s="26"/>
    </row>
    <row r="61" spans="1:9" x14ac:dyDescent="0.2">
      <c r="A61" s="26"/>
      <c r="B61" s="252"/>
      <c r="C61" s="26" t="s">
        <v>6165</v>
      </c>
      <c r="D61" s="234" t="s">
        <v>5578</v>
      </c>
      <c r="E61" s="31">
        <v>128</v>
      </c>
      <c r="F61" s="1"/>
      <c r="G61" s="1"/>
      <c r="H61" s="1"/>
      <c r="I61" s="26"/>
    </row>
    <row r="62" spans="1:9" x14ac:dyDescent="0.2">
      <c r="A62" s="26"/>
      <c r="B62" s="252"/>
      <c r="C62" s="26" t="s">
        <v>6166</v>
      </c>
      <c r="D62" s="234" t="s">
        <v>5578</v>
      </c>
      <c r="E62" s="31">
        <v>71</v>
      </c>
      <c r="F62" s="1"/>
      <c r="G62" s="1"/>
      <c r="H62" s="1"/>
      <c r="I62" s="26"/>
    </row>
    <row r="63" spans="1:9" x14ac:dyDescent="0.2">
      <c r="A63" s="26"/>
      <c r="B63" s="252"/>
      <c r="C63" s="26"/>
      <c r="D63" s="234"/>
      <c r="E63" s="31">
        <v>40826</v>
      </c>
      <c r="F63" s="1"/>
      <c r="G63" s="1">
        <v>62807</v>
      </c>
      <c r="H63" s="1">
        <v>65</v>
      </c>
      <c r="I63" s="26"/>
    </row>
    <row r="64" spans="1:9" x14ac:dyDescent="0.2">
      <c r="A64" s="26"/>
      <c r="B64" s="252"/>
      <c r="C64" s="26"/>
      <c r="D64" s="234"/>
      <c r="E64" s="1"/>
      <c r="F64" s="1"/>
      <c r="G64" s="1"/>
      <c r="H64" s="1"/>
      <c r="I64" s="26"/>
    </row>
    <row r="65" spans="1:9" x14ac:dyDescent="0.2">
      <c r="A65" s="26"/>
      <c r="B65" s="252">
        <v>2</v>
      </c>
      <c r="C65" s="214" t="s">
        <v>6152</v>
      </c>
      <c r="D65" s="234" t="s">
        <v>653</v>
      </c>
      <c r="E65" s="31">
        <v>6560</v>
      </c>
      <c r="F65" s="1"/>
      <c r="G65" s="1"/>
      <c r="H65" s="1"/>
      <c r="I65" s="26"/>
    </row>
    <row r="66" spans="1:9" x14ac:dyDescent="0.2">
      <c r="A66" s="26"/>
      <c r="B66" s="252"/>
      <c r="C66" s="214" t="s">
        <v>6153</v>
      </c>
      <c r="D66" s="234" t="s">
        <v>1071</v>
      </c>
      <c r="E66" s="31">
        <v>6558</v>
      </c>
      <c r="F66" s="1"/>
      <c r="G66" s="1"/>
      <c r="H66" s="1"/>
      <c r="I66" s="26"/>
    </row>
    <row r="67" spans="1:9" x14ac:dyDescent="0.2">
      <c r="A67" s="26"/>
      <c r="B67" s="252"/>
      <c r="C67" s="214" t="s">
        <v>5762</v>
      </c>
      <c r="D67" s="234" t="s">
        <v>1071</v>
      </c>
      <c r="E67" s="31">
        <v>8038</v>
      </c>
      <c r="F67" s="1"/>
      <c r="G67" s="1"/>
      <c r="H67" s="1"/>
      <c r="I67" s="26"/>
    </row>
    <row r="68" spans="1:9" x14ac:dyDescent="0.2">
      <c r="A68" s="26"/>
      <c r="B68" s="252"/>
      <c r="C68" s="214" t="s">
        <v>5754</v>
      </c>
      <c r="D68" s="234" t="s">
        <v>653</v>
      </c>
      <c r="E68" s="31">
        <v>6897</v>
      </c>
      <c r="F68" s="1"/>
      <c r="G68" s="1"/>
      <c r="H68" s="1"/>
      <c r="I68" s="26"/>
    </row>
    <row r="69" spans="1:9" x14ac:dyDescent="0.2">
      <c r="A69" s="26"/>
      <c r="B69" s="252"/>
      <c r="C69" s="214" t="s">
        <v>2037</v>
      </c>
      <c r="D69" s="234" t="s">
        <v>5573</v>
      </c>
      <c r="E69" s="31">
        <v>6077</v>
      </c>
      <c r="F69" s="1"/>
      <c r="G69" s="1"/>
      <c r="H69" s="1"/>
      <c r="I69" s="26"/>
    </row>
    <row r="70" spans="1:9" x14ac:dyDescent="0.2">
      <c r="A70" s="26"/>
      <c r="B70" s="252"/>
      <c r="C70" s="26" t="s">
        <v>2318</v>
      </c>
      <c r="D70" s="234"/>
      <c r="E70" s="31"/>
      <c r="F70" s="216"/>
      <c r="G70" s="31"/>
      <c r="H70" s="217"/>
    </row>
    <row r="71" spans="1:9" x14ac:dyDescent="0.2">
      <c r="A71" s="26" t="s">
        <v>1125</v>
      </c>
      <c r="B71" s="252"/>
      <c r="C71" s="214" t="s">
        <v>5235</v>
      </c>
      <c r="D71" s="234" t="s">
        <v>1071</v>
      </c>
      <c r="E71" s="31">
        <v>2763</v>
      </c>
      <c r="F71" s="216"/>
      <c r="G71" s="31"/>
      <c r="H71" s="217"/>
    </row>
    <row r="72" spans="1:9" x14ac:dyDescent="0.2">
      <c r="A72" s="26"/>
      <c r="B72" s="252"/>
      <c r="C72" s="26" t="s">
        <v>6054</v>
      </c>
      <c r="D72" s="234" t="s">
        <v>5573</v>
      </c>
      <c r="E72" s="31">
        <v>1590</v>
      </c>
      <c r="F72" s="216"/>
      <c r="G72" s="31"/>
      <c r="H72" s="217"/>
    </row>
    <row r="73" spans="1:9" x14ac:dyDescent="0.2">
      <c r="A73" s="26"/>
      <c r="B73" s="252"/>
      <c r="C73" s="26" t="s">
        <v>6167</v>
      </c>
      <c r="D73" s="234" t="s">
        <v>653</v>
      </c>
      <c r="E73" s="31">
        <v>623</v>
      </c>
      <c r="F73" s="216"/>
      <c r="G73" s="31"/>
      <c r="H73" s="217"/>
    </row>
    <row r="74" spans="1:9" x14ac:dyDescent="0.2">
      <c r="A74" s="26"/>
      <c r="B74" s="252"/>
      <c r="C74" s="26" t="s">
        <v>2318</v>
      </c>
      <c r="D74" s="234"/>
      <c r="E74" s="218">
        <v>5002</v>
      </c>
      <c r="F74" s="219"/>
      <c r="G74" s="218">
        <v>6941</v>
      </c>
      <c r="H74" s="220">
        <v>72.099999999999994</v>
      </c>
    </row>
    <row r="75" spans="1:9" x14ac:dyDescent="0.2">
      <c r="A75" s="26"/>
      <c r="B75" s="252"/>
      <c r="C75" s="26"/>
      <c r="D75" s="234"/>
      <c r="E75" s="88"/>
      <c r="F75" s="84"/>
      <c r="G75" s="88"/>
      <c r="H75" s="235"/>
    </row>
    <row r="76" spans="1:9" x14ac:dyDescent="0.2">
      <c r="A76" s="26" t="s">
        <v>1427</v>
      </c>
      <c r="B76" s="252"/>
      <c r="C76" s="214" t="s">
        <v>6056</v>
      </c>
      <c r="D76" s="234" t="s">
        <v>1071</v>
      </c>
      <c r="E76" s="31">
        <v>2104</v>
      </c>
      <c r="F76" s="216"/>
      <c r="G76" s="31"/>
      <c r="H76" s="217"/>
    </row>
    <row r="77" spans="1:9" x14ac:dyDescent="0.2">
      <c r="A77" s="26"/>
      <c r="B77" s="252"/>
      <c r="C77" s="26" t="s">
        <v>6168</v>
      </c>
      <c r="D77" s="234" t="s">
        <v>653</v>
      </c>
      <c r="E77" s="31">
        <v>592</v>
      </c>
      <c r="F77" s="216"/>
      <c r="G77" s="31"/>
      <c r="H77" s="217"/>
    </row>
    <row r="78" spans="1:9" x14ac:dyDescent="0.2">
      <c r="A78" s="26"/>
      <c r="B78" s="252"/>
      <c r="C78" s="26" t="s">
        <v>6169</v>
      </c>
      <c r="D78" s="234" t="s">
        <v>5573</v>
      </c>
      <c r="E78" s="31">
        <v>569</v>
      </c>
      <c r="F78" s="216"/>
      <c r="G78" s="31"/>
      <c r="H78" s="217"/>
    </row>
    <row r="79" spans="1:9" x14ac:dyDescent="0.2">
      <c r="A79" s="26"/>
      <c r="B79" s="252"/>
      <c r="C79" s="26" t="s">
        <v>2318</v>
      </c>
      <c r="D79" s="234"/>
      <c r="E79" s="218">
        <v>3285</v>
      </c>
      <c r="F79" s="219"/>
      <c r="G79" s="218">
        <v>4549</v>
      </c>
      <c r="H79" s="220">
        <v>72.2</v>
      </c>
    </row>
    <row r="80" spans="1:9" x14ac:dyDescent="0.2">
      <c r="A80" s="26"/>
      <c r="B80" s="252"/>
      <c r="C80" s="26" t="s">
        <v>2318</v>
      </c>
      <c r="D80" s="234"/>
      <c r="E80" s="31"/>
      <c r="F80" s="216"/>
      <c r="G80" s="31"/>
      <c r="H80" s="217"/>
    </row>
    <row r="81" spans="1:24" x14ac:dyDescent="0.2">
      <c r="A81" s="26" t="s">
        <v>1430</v>
      </c>
      <c r="B81" s="252"/>
      <c r="C81" s="214" t="s">
        <v>5450</v>
      </c>
      <c r="D81" s="234" t="s">
        <v>1071</v>
      </c>
      <c r="E81" s="31">
        <v>2969</v>
      </c>
      <c r="F81" s="216"/>
      <c r="G81" s="31"/>
      <c r="H81" s="217"/>
      <c r="X81" s="221"/>
    </row>
    <row r="82" spans="1:24" x14ac:dyDescent="0.2">
      <c r="A82" s="26"/>
      <c r="B82" s="252"/>
      <c r="C82" s="26" t="s">
        <v>6170</v>
      </c>
      <c r="D82" s="234" t="s">
        <v>5573</v>
      </c>
      <c r="E82" s="31">
        <v>1693</v>
      </c>
      <c r="F82" s="216"/>
      <c r="G82" s="31"/>
      <c r="H82" s="217"/>
      <c r="X82" s="221"/>
    </row>
    <row r="83" spans="1:24" x14ac:dyDescent="0.2">
      <c r="A83" s="26"/>
      <c r="B83" s="252"/>
      <c r="C83" s="26" t="s">
        <v>2318</v>
      </c>
      <c r="D83" s="234"/>
      <c r="E83" s="218">
        <v>4715</v>
      </c>
      <c r="F83" s="219"/>
      <c r="G83" s="218">
        <v>6560</v>
      </c>
      <c r="H83" s="220">
        <v>71.900000000000006</v>
      </c>
    </row>
    <row r="84" spans="1:24" x14ac:dyDescent="0.2">
      <c r="A84" s="26"/>
      <c r="B84" s="252"/>
      <c r="C84" s="26"/>
      <c r="D84" s="234"/>
      <c r="E84" s="88"/>
      <c r="F84" s="84"/>
      <c r="G84" s="88"/>
      <c r="H84" s="235"/>
    </row>
    <row r="85" spans="1:24" x14ac:dyDescent="0.2">
      <c r="A85" s="26" t="s">
        <v>2268</v>
      </c>
      <c r="B85" s="252"/>
      <c r="C85" s="214" t="s">
        <v>6171</v>
      </c>
      <c r="D85" s="234" t="s">
        <v>1071</v>
      </c>
      <c r="E85" s="31">
        <v>1747</v>
      </c>
      <c r="F85" s="216"/>
      <c r="G85" s="31"/>
      <c r="H85" s="217"/>
    </row>
    <row r="86" spans="1:24" x14ac:dyDescent="0.2">
      <c r="A86" s="26"/>
      <c r="B86" s="252"/>
      <c r="C86" s="26" t="s">
        <v>6172</v>
      </c>
      <c r="D86" s="234" t="s">
        <v>653</v>
      </c>
      <c r="E86" s="31">
        <v>973</v>
      </c>
      <c r="F86" s="216"/>
      <c r="G86" s="31"/>
      <c r="H86" s="217"/>
    </row>
    <row r="87" spans="1:24" x14ac:dyDescent="0.2">
      <c r="A87" s="26"/>
      <c r="B87" s="252"/>
      <c r="C87" s="26" t="s">
        <v>6173</v>
      </c>
      <c r="D87" s="234" t="s">
        <v>5573</v>
      </c>
      <c r="E87" s="31">
        <v>705</v>
      </c>
      <c r="F87" s="216"/>
      <c r="G87" s="31"/>
      <c r="H87" s="217"/>
    </row>
    <row r="88" spans="1:24" x14ac:dyDescent="0.2">
      <c r="A88" s="26"/>
      <c r="B88" s="252"/>
      <c r="C88" s="26" t="s">
        <v>2318</v>
      </c>
      <c r="D88" s="234"/>
      <c r="E88" s="218">
        <v>3533</v>
      </c>
      <c r="F88" s="219"/>
      <c r="G88" s="218">
        <v>4723</v>
      </c>
      <c r="H88" s="220">
        <v>74.8</v>
      </c>
    </row>
    <row r="89" spans="1:24" x14ac:dyDescent="0.2">
      <c r="A89" s="26"/>
      <c r="B89" s="252"/>
      <c r="C89" s="26" t="s">
        <v>2318</v>
      </c>
      <c r="D89" s="234"/>
      <c r="E89" s="31"/>
      <c r="F89" s="216"/>
      <c r="G89" s="31"/>
      <c r="H89" s="217"/>
    </row>
    <row r="90" spans="1:24" x14ac:dyDescent="0.2">
      <c r="A90" s="26" t="s">
        <v>369</v>
      </c>
      <c r="B90" s="252"/>
      <c r="C90" s="214" t="s">
        <v>5931</v>
      </c>
      <c r="D90" s="234" t="s">
        <v>1071</v>
      </c>
      <c r="E90" s="31">
        <v>2485</v>
      </c>
      <c r="F90" s="216"/>
      <c r="G90" s="31"/>
      <c r="H90" s="217"/>
    </row>
    <row r="91" spans="1:24" x14ac:dyDescent="0.2">
      <c r="A91" s="26"/>
      <c r="B91" s="252"/>
      <c r="C91" s="26" t="s">
        <v>6174</v>
      </c>
      <c r="D91" s="234" t="s">
        <v>653</v>
      </c>
      <c r="E91" s="31">
        <v>966</v>
      </c>
      <c r="F91" s="216"/>
      <c r="G91" s="31"/>
      <c r="H91" s="217"/>
    </row>
    <row r="92" spans="1:24" x14ac:dyDescent="0.2">
      <c r="A92" s="26"/>
      <c r="B92" s="252"/>
      <c r="C92" s="26" t="s">
        <v>6063</v>
      </c>
      <c r="D92" s="234" t="s">
        <v>5573</v>
      </c>
      <c r="E92" s="31">
        <v>728</v>
      </c>
      <c r="F92" s="216"/>
      <c r="G92" s="31"/>
      <c r="H92" s="217"/>
    </row>
    <row r="93" spans="1:24" x14ac:dyDescent="0.2">
      <c r="A93" s="26"/>
      <c r="B93" s="252"/>
      <c r="C93" s="26" t="s">
        <v>2318</v>
      </c>
      <c r="D93" s="234"/>
      <c r="E93" s="218">
        <v>4004</v>
      </c>
      <c r="F93" s="219"/>
      <c r="G93" s="218">
        <v>6056</v>
      </c>
      <c r="H93" s="220">
        <v>66.099999999999994</v>
      </c>
    </row>
    <row r="94" spans="1:24" x14ac:dyDescent="0.2">
      <c r="A94" s="26"/>
      <c r="B94" s="252"/>
      <c r="C94" s="26" t="s">
        <v>2318</v>
      </c>
      <c r="D94" s="234"/>
      <c r="E94" s="31"/>
      <c r="F94" s="216"/>
      <c r="G94" s="31"/>
      <c r="H94" s="217"/>
    </row>
    <row r="95" spans="1:24" x14ac:dyDescent="0.2">
      <c r="A95" s="26" t="s">
        <v>1977</v>
      </c>
      <c r="B95" s="252"/>
      <c r="C95" s="214" t="s">
        <v>5934</v>
      </c>
      <c r="D95" s="234" t="s">
        <v>1071</v>
      </c>
      <c r="E95" s="31">
        <v>2243</v>
      </c>
      <c r="F95" s="216"/>
      <c r="G95" s="31"/>
      <c r="H95" s="217"/>
    </row>
    <row r="96" spans="1:24" x14ac:dyDescent="0.2">
      <c r="A96" s="26"/>
      <c r="B96" s="252"/>
      <c r="C96" s="26" t="s">
        <v>6175</v>
      </c>
      <c r="D96" s="234" t="s">
        <v>5578</v>
      </c>
      <c r="E96" s="31">
        <v>713</v>
      </c>
      <c r="F96" s="216"/>
      <c r="G96" s="31"/>
      <c r="H96" s="217"/>
    </row>
    <row r="97" spans="1:8" x14ac:dyDescent="0.2">
      <c r="A97" s="26"/>
      <c r="B97" s="252"/>
      <c r="C97" s="26" t="s">
        <v>6176</v>
      </c>
      <c r="D97" s="234" t="s">
        <v>5573</v>
      </c>
      <c r="E97" s="31">
        <v>671</v>
      </c>
      <c r="F97" s="216"/>
      <c r="G97" s="31"/>
      <c r="H97" s="217"/>
    </row>
    <row r="98" spans="1:8" x14ac:dyDescent="0.2">
      <c r="A98" s="26"/>
      <c r="B98" s="252"/>
      <c r="C98" s="26" t="s">
        <v>2318</v>
      </c>
      <c r="D98" s="234"/>
      <c r="E98" s="218">
        <v>3697</v>
      </c>
      <c r="F98" s="219"/>
      <c r="G98" s="218">
        <v>4725</v>
      </c>
      <c r="H98" s="220">
        <v>78.2</v>
      </c>
    </row>
    <row r="99" spans="1:8" x14ac:dyDescent="0.2">
      <c r="A99" s="26"/>
      <c r="B99" s="252"/>
      <c r="C99" s="26" t="s">
        <v>2318</v>
      </c>
      <c r="D99" s="234"/>
      <c r="E99" s="31"/>
      <c r="F99" s="216"/>
      <c r="G99" s="31"/>
      <c r="H99" s="217"/>
    </row>
    <row r="100" spans="1:8" x14ac:dyDescent="0.2">
      <c r="A100" s="26" t="s">
        <v>1919</v>
      </c>
      <c r="B100" s="252">
        <v>1</v>
      </c>
      <c r="C100" s="26" t="s">
        <v>5789</v>
      </c>
      <c r="D100" s="234" t="s">
        <v>1071</v>
      </c>
      <c r="E100" s="31">
        <v>14271</v>
      </c>
      <c r="F100" s="216"/>
      <c r="G100" s="31"/>
      <c r="H100" s="217"/>
    </row>
    <row r="101" spans="1:8" x14ac:dyDescent="0.2">
      <c r="A101" s="26"/>
      <c r="B101" s="252"/>
      <c r="C101" s="26" t="s">
        <v>5795</v>
      </c>
      <c r="D101" s="234" t="s">
        <v>5573</v>
      </c>
      <c r="E101" s="31">
        <v>5253</v>
      </c>
      <c r="F101" s="216"/>
      <c r="G101" s="31"/>
      <c r="H101" s="217"/>
    </row>
    <row r="102" spans="1:8" x14ac:dyDescent="0.2">
      <c r="A102" s="26"/>
      <c r="B102" s="252"/>
      <c r="C102" s="26" t="s">
        <v>5657</v>
      </c>
      <c r="D102" s="234" t="s">
        <v>653</v>
      </c>
      <c r="E102" s="31">
        <v>4603</v>
      </c>
      <c r="F102" s="216"/>
      <c r="G102" s="31"/>
      <c r="H102" s="217"/>
    </row>
    <row r="103" spans="1:8" x14ac:dyDescent="0.2">
      <c r="A103" s="26"/>
      <c r="B103" s="252"/>
      <c r="C103" s="26" t="s">
        <v>6177</v>
      </c>
      <c r="D103" s="234" t="s">
        <v>6191</v>
      </c>
      <c r="E103" s="31">
        <v>3532</v>
      </c>
      <c r="F103" s="216"/>
      <c r="G103" s="31"/>
      <c r="H103" s="217"/>
    </row>
    <row r="104" spans="1:8" x14ac:dyDescent="0.2">
      <c r="A104" s="26"/>
      <c r="B104" s="252"/>
      <c r="C104" s="26" t="s">
        <v>6178</v>
      </c>
      <c r="D104" s="234" t="s">
        <v>653</v>
      </c>
      <c r="E104" s="218">
        <v>1400</v>
      </c>
      <c r="F104" s="219"/>
      <c r="G104" s="218"/>
      <c r="H104" s="220"/>
    </row>
    <row r="105" spans="1:8" x14ac:dyDescent="0.2">
      <c r="A105" s="26"/>
      <c r="B105" s="252"/>
      <c r="C105" s="26" t="s">
        <v>6179</v>
      </c>
      <c r="D105" s="234" t="s">
        <v>1071</v>
      </c>
      <c r="E105" s="31">
        <v>1188</v>
      </c>
      <c r="F105" s="216"/>
      <c r="G105" s="31"/>
      <c r="H105" s="217"/>
    </row>
    <row r="106" spans="1:8" x14ac:dyDescent="0.2">
      <c r="A106" s="26"/>
      <c r="B106" s="252"/>
      <c r="C106" s="26" t="s">
        <v>6180</v>
      </c>
      <c r="D106" s="234" t="s">
        <v>1071</v>
      </c>
      <c r="E106" s="31">
        <v>876</v>
      </c>
      <c r="F106" s="216"/>
      <c r="G106" s="31"/>
      <c r="H106" s="217"/>
    </row>
    <row r="107" spans="1:8" x14ac:dyDescent="0.2">
      <c r="A107" s="26"/>
      <c r="B107" s="252"/>
      <c r="C107" s="26" t="s">
        <v>6181</v>
      </c>
      <c r="D107" s="234" t="s">
        <v>5573</v>
      </c>
      <c r="E107" s="31">
        <v>854</v>
      </c>
      <c r="F107" s="216"/>
      <c r="G107" s="31"/>
      <c r="H107" s="217"/>
    </row>
    <row r="108" spans="1:8" x14ac:dyDescent="0.2">
      <c r="A108" s="26"/>
      <c r="B108" s="252"/>
      <c r="C108" s="26" t="s">
        <v>3083</v>
      </c>
      <c r="D108" s="234" t="s">
        <v>1071</v>
      </c>
      <c r="E108" s="31">
        <v>781</v>
      </c>
      <c r="F108" s="216"/>
      <c r="G108" s="31"/>
      <c r="H108" s="217"/>
    </row>
    <row r="109" spans="1:8" x14ac:dyDescent="0.2">
      <c r="A109" s="26"/>
      <c r="B109" s="252"/>
      <c r="C109" s="26" t="s">
        <v>6070</v>
      </c>
      <c r="D109" s="234" t="s">
        <v>1071</v>
      </c>
      <c r="E109" s="218">
        <v>755</v>
      </c>
      <c r="F109" s="219"/>
      <c r="G109" s="218"/>
      <c r="H109" s="220"/>
    </row>
    <row r="110" spans="1:8" x14ac:dyDescent="0.2">
      <c r="A110" s="26"/>
      <c r="B110" s="252"/>
      <c r="C110" s="26" t="s">
        <v>6182</v>
      </c>
      <c r="D110" s="234" t="s">
        <v>5578</v>
      </c>
      <c r="E110" s="31">
        <v>742</v>
      </c>
      <c r="F110" s="216"/>
      <c r="G110" s="31"/>
      <c r="H110" s="217"/>
    </row>
    <row r="111" spans="1:8" x14ac:dyDescent="0.2">
      <c r="A111" s="26"/>
      <c r="B111" s="252"/>
      <c r="C111" s="26" t="s">
        <v>6183</v>
      </c>
      <c r="D111" s="234" t="s">
        <v>5573</v>
      </c>
      <c r="E111" s="31">
        <v>649</v>
      </c>
      <c r="F111" s="216"/>
      <c r="G111" s="31"/>
      <c r="H111" s="217"/>
    </row>
    <row r="112" spans="1:8" x14ac:dyDescent="0.2">
      <c r="A112" s="26"/>
      <c r="B112" s="252"/>
      <c r="C112" s="26" t="s">
        <v>6184</v>
      </c>
      <c r="D112" s="234" t="s">
        <v>5573</v>
      </c>
      <c r="E112" s="31">
        <v>549</v>
      </c>
      <c r="F112" s="216"/>
      <c r="G112" s="31"/>
      <c r="H112" s="217"/>
    </row>
    <row r="113" spans="1:8" x14ac:dyDescent="0.2">
      <c r="A113" s="26"/>
      <c r="B113" s="252"/>
      <c r="C113" s="26" t="s">
        <v>6185</v>
      </c>
      <c r="D113" s="234" t="s">
        <v>5573</v>
      </c>
      <c r="E113" s="31">
        <v>545</v>
      </c>
      <c r="F113" s="216"/>
      <c r="G113" s="31"/>
      <c r="H113" s="217"/>
    </row>
    <row r="114" spans="1:8" x14ac:dyDescent="0.2">
      <c r="A114" s="26"/>
      <c r="B114" s="252"/>
      <c r="C114" s="26" t="s">
        <v>6186</v>
      </c>
      <c r="D114" s="234" t="s">
        <v>5578</v>
      </c>
      <c r="E114" s="31">
        <v>496</v>
      </c>
      <c r="F114" s="216"/>
      <c r="G114" s="31"/>
      <c r="H114" s="217"/>
    </row>
    <row r="115" spans="1:8" x14ac:dyDescent="0.2">
      <c r="A115" s="26"/>
      <c r="B115" s="252"/>
      <c r="C115" s="26" t="s">
        <v>6187</v>
      </c>
      <c r="D115" s="234" t="s">
        <v>653</v>
      </c>
      <c r="E115" s="31">
        <v>476</v>
      </c>
      <c r="F115" s="216"/>
      <c r="G115" s="31"/>
      <c r="H115" s="217"/>
    </row>
    <row r="116" spans="1:8" x14ac:dyDescent="0.2">
      <c r="A116" s="26"/>
      <c r="B116" s="252"/>
      <c r="C116" s="26" t="s">
        <v>6188</v>
      </c>
      <c r="D116" s="234" t="s">
        <v>653</v>
      </c>
      <c r="E116" s="31">
        <v>422</v>
      </c>
      <c r="F116" s="216"/>
      <c r="G116" s="31"/>
      <c r="H116" s="217"/>
    </row>
    <row r="117" spans="1:8" x14ac:dyDescent="0.2">
      <c r="A117" s="26"/>
      <c r="B117" s="252"/>
      <c r="C117" s="26" t="s">
        <v>1693</v>
      </c>
      <c r="D117" s="234" t="s">
        <v>5578</v>
      </c>
      <c r="E117" s="31">
        <v>251</v>
      </c>
      <c r="F117" s="216"/>
      <c r="G117" s="31"/>
      <c r="H117" s="217"/>
    </row>
    <row r="118" spans="1:8" x14ac:dyDescent="0.2">
      <c r="A118" s="26"/>
      <c r="B118" s="252"/>
      <c r="C118" s="26" t="s">
        <v>6189</v>
      </c>
      <c r="D118" s="234" t="s">
        <v>5578</v>
      </c>
      <c r="E118" s="31">
        <v>119</v>
      </c>
      <c r="F118" s="216"/>
      <c r="G118" s="31"/>
      <c r="H118" s="217"/>
    </row>
    <row r="119" spans="1:8" x14ac:dyDescent="0.2">
      <c r="A119" s="26"/>
      <c r="B119" s="252"/>
      <c r="C119" s="26" t="s">
        <v>6190</v>
      </c>
      <c r="D119" s="234" t="s">
        <v>5578</v>
      </c>
      <c r="E119" s="31">
        <v>72</v>
      </c>
      <c r="F119" s="216"/>
      <c r="G119" s="31"/>
      <c r="H119" s="217"/>
    </row>
    <row r="120" spans="1:8" x14ac:dyDescent="0.2">
      <c r="A120" s="26"/>
      <c r="B120" s="252"/>
      <c r="C120" s="26"/>
      <c r="D120" s="234"/>
      <c r="E120" s="31">
        <v>40047</v>
      </c>
      <c r="F120" s="216"/>
      <c r="G120" s="31">
        <v>65651</v>
      </c>
      <c r="H120" s="217">
        <v>61</v>
      </c>
    </row>
    <row r="121" spans="1:8" x14ac:dyDescent="0.2">
      <c r="A121" s="26"/>
      <c r="B121" s="252"/>
      <c r="C121" s="26"/>
      <c r="D121" s="234"/>
      <c r="E121" s="31"/>
      <c r="F121" s="216"/>
      <c r="G121" s="31"/>
      <c r="H121" s="217"/>
    </row>
    <row r="122" spans="1:8" x14ac:dyDescent="0.2">
      <c r="A122" s="26"/>
      <c r="B122" s="252">
        <v>2</v>
      </c>
      <c r="C122" s="214" t="s">
        <v>5789</v>
      </c>
      <c r="D122" s="234" t="s">
        <v>1071</v>
      </c>
      <c r="E122" s="31">
        <v>6306</v>
      </c>
      <c r="F122" s="216"/>
      <c r="G122" s="31"/>
      <c r="H122" s="217"/>
    </row>
    <row r="123" spans="1:8" x14ac:dyDescent="0.2">
      <c r="A123" s="26"/>
      <c r="B123" s="252"/>
      <c r="C123" s="214" t="s">
        <v>5795</v>
      </c>
      <c r="D123" s="234" t="s">
        <v>5573</v>
      </c>
      <c r="E123" s="31">
        <v>6345</v>
      </c>
      <c r="F123" s="216"/>
      <c r="G123" s="31"/>
      <c r="H123" s="217"/>
    </row>
    <row r="124" spans="1:8" x14ac:dyDescent="0.2">
      <c r="A124" s="26"/>
      <c r="B124" s="252"/>
      <c r="C124" s="214" t="s">
        <v>5657</v>
      </c>
      <c r="D124" s="234" t="s">
        <v>653</v>
      </c>
      <c r="E124" s="31">
        <v>6333</v>
      </c>
      <c r="F124" s="216"/>
      <c r="G124" s="31"/>
      <c r="H124" s="217"/>
    </row>
    <row r="125" spans="1:8" x14ac:dyDescent="0.2">
      <c r="A125" s="26"/>
      <c r="B125" s="252"/>
      <c r="C125" s="214" t="s">
        <v>6177</v>
      </c>
      <c r="D125" s="234" t="s">
        <v>6191</v>
      </c>
      <c r="E125" s="31">
        <v>5535</v>
      </c>
      <c r="F125" s="216"/>
      <c r="G125" s="31"/>
      <c r="H125" s="217"/>
    </row>
    <row r="126" spans="1:8" x14ac:dyDescent="0.2">
      <c r="A126" s="26"/>
      <c r="B126" s="252"/>
      <c r="C126" s="214" t="s">
        <v>3083</v>
      </c>
      <c r="D126" s="234" t="s">
        <v>1071</v>
      </c>
      <c r="E126" s="31">
        <v>3532</v>
      </c>
      <c r="F126" s="216"/>
      <c r="G126" s="31"/>
      <c r="H126" s="217"/>
    </row>
    <row r="127" spans="1:8" x14ac:dyDescent="0.2">
      <c r="A127" s="26"/>
      <c r="B127" s="252"/>
      <c r="C127" s="26" t="s">
        <v>2318</v>
      </c>
      <c r="D127" s="234"/>
      <c r="E127" s="31"/>
      <c r="F127" s="216"/>
      <c r="G127" s="31"/>
      <c r="H127" s="217"/>
    </row>
    <row r="128" spans="1:8" x14ac:dyDescent="0.2">
      <c r="A128" s="26" t="s">
        <v>2269</v>
      </c>
      <c r="B128" s="252"/>
      <c r="C128" s="214" t="s">
        <v>5956</v>
      </c>
      <c r="D128" s="234" t="s">
        <v>1071</v>
      </c>
      <c r="E128" s="31">
        <v>2536</v>
      </c>
      <c r="F128" s="216"/>
      <c r="G128" s="31"/>
      <c r="H128" s="217"/>
    </row>
    <row r="129" spans="1:8" x14ac:dyDescent="0.2">
      <c r="A129" s="26"/>
      <c r="B129" s="252"/>
      <c r="C129" s="26" t="s">
        <v>6192</v>
      </c>
      <c r="D129" s="234" t="s">
        <v>5573</v>
      </c>
      <c r="E129" s="31">
        <v>1280</v>
      </c>
      <c r="F129" s="216"/>
      <c r="G129" s="31"/>
      <c r="H129" s="217"/>
    </row>
    <row r="130" spans="1:8" x14ac:dyDescent="0.2">
      <c r="A130" s="26"/>
      <c r="B130" s="252"/>
      <c r="C130" s="26" t="s">
        <v>6193</v>
      </c>
      <c r="D130" s="234" t="s">
        <v>5578</v>
      </c>
      <c r="E130" s="31">
        <v>587</v>
      </c>
      <c r="F130" s="216"/>
      <c r="G130" s="31"/>
      <c r="H130" s="217"/>
    </row>
    <row r="131" spans="1:8" x14ac:dyDescent="0.2">
      <c r="A131" s="26"/>
      <c r="B131" s="252"/>
      <c r="C131" s="26" t="s">
        <v>2318</v>
      </c>
      <c r="D131" s="234"/>
      <c r="E131" s="218">
        <v>4514</v>
      </c>
      <c r="F131" s="219"/>
      <c r="G131" s="218">
        <v>6747</v>
      </c>
      <c r="H131" s="220">
        <v>66.900000000000006</v>
      </c>
    </row>
    <row r="132" spans="1:8" x14ac:dyDescent="0.2">
      <c r="A132" s="26"/>
      <c r="B132" s="252"/>
      <c r="C132" s="26" t="s">
        <v>2318</v>
      </c>
      <c r="D132" s="234"/>
      <c r="E132" s="31"/>
      <c r="F132" s="216"/>
      <c r="G132" s="31"/>
      <c r="H132" s="217"/>
    </row>
    <row r="133" spans="1:8" x14ac:dyDescent="0.2">
      <c r="A133" s="26" t="s">
        <v>3265</v>
      </c>
      <c r="B133" s="252"/>
      <c r="C133" s="214" t="s">
        <v>5643</v>
      </c>
      <c r="D133" s="234" t="s">
        <v>1071</v>
      </c>
      <c r="E133" s="31">
        <v>2032</v>
      </c>
      <c r="F133" s="216"/>
      <c r="G133" s="31"/>
      <c r="H133" s="217"/>
    </row>
    <row r="134" spans="1:8" x14ac:dyDescent="0.2">
      <c r="A134" s="26"/>
      <c r="B134" s="252"/>
      <c r="C134" s="26" t="s">
        <v>6194</v>
      </c>
      <c r="D134" s="234" t="s">
        <v>653</v>
      </c>
      <c r="E134" s="31">
        <v>1072</v>
      </c>
      <c r="F134" s="216"/>
      <c r="G134" s="31"/>
      <c r="H134" s="217"/>
    </row>
    <row r="135" spans="1:8" x14ac:dyDescent="0.2">
      <c r="A135" s="26"/>
      <c r="B135" s="252"/>
      <c r="C135" s="26" t="s">
        <v>6195</v>
      </c>
      <c r="D135" s="234" t="s">
        <v>5573</v>
      </c>
      <c r="E135" s="31">
        <v>942</v>
      </c>
      <c r="F135" s="216"/>
      <c r="G135" s="31"/>
      <c r="H135" s="217"/>
    </row>
    <row r="136" spans="1:8" x14ac:dyDescent="0.2">
      <c r="A136" s="26"/>
      <c r="B136" s="252"/>
      <c r="C136" s="26" t="s">
        <v>2318</v>
      </c>
      <c r="D136" s="234"/>
      <c r="E136" s="218">
        <v>4157</v>
      </c>
      <c r="F136" s="219"/>
      <c r="G136" s="218">
        <v>5560</v>
      </c>
      <c r="H136" s="220">
        <v>74.8</v>
      </c>
    </row>
    <row r="137" spans="1:8" x14ac:dyDescent="0.2">
      <c r="A137" s="26"/>
      <c r="B137" s="252"/>
      <c r="C137" s="26" t="s">
        <v>2318</v>
      </c>
      <c r="D137" s="234"/>
      <c r="E137" s="31"/>
      <c r="F137" s="216"/>
      <c r="G137" s="31"/>
      <c r="H137" s="217"/>
    </row>
    <row r="138" spans="1:8" x14ac:dyDescent="0.2">
      <c r="A138" s="26" t="s">
        <v>1920</v>
      </c>
      <c r="B138" s="252"/>
      <c r="C138" s="214" t="s">
        <v>5285</v>
      </c>
      <c r="D138" s="234" t="s">
        <v>1071</v>
      </c>
      <c r="E138" s="31">
        <v>2366</v>
      </c>
      <c r="F138" s="216"/>
      <c r="G138" s="31"/>
      <c r="H138" s="217"/>
    </row>
    <row r="139" spans="1:8" x14ac:dyDescent="0.2">
      <c r="A139" s="26"/>
      <c r="B139" s="252"/>
      <c r="C139" s="26" t="s">
        <v>6196</v>
      </c>
      <c r="D139" s="234" t="s">
        <v>5573</v>
      </c>
      <c r="E139" s="31">
        <v>1128</v>
      </c>
      <c r="F139" s="216"/>
      <c r="G139" s="31"/>
      <c r="H139" s="217"/>
    </row>
    <row r="140" spans="1:8" x14ac:dyDescent="0.2">
      <c r="A140" s="26"/>
      <c r="B140" s="252"/>
      <c r="C140" s="26" t="s">
        <v>6197</v>
      </c>
      <c r="D140" s="234" t="s">
        <v>1072</v>
      </c>
      <c r="E140" s="31">
        <v>736</v>
      </c>
      <c r="F140" s="216"/>
      <c r="G140" s="31"/>
      <c r="H140" s="217"/>
    </row>
    <row r="141" spans="1:8" x14ac:dyDescent="0.2">
      <c r="A141" s="26"/>
      <c r="B141" s="252"/>
      <c r="C141" s="26" t="s">
        <v>2318</v>
      </c>
      <c r="D141" s="234"/>
      <c r="E141" s="218">
        <v>4230</v>
      </c>
      <c r="F141" s="219"/>
      <c r="G141" s="218">
        <v>4328</v>
      </c>
      <c r="H141" s="220">
        <v>97.7</v>
      </c>
    </row>
    <row r="142" spans="1:8" ht="12.75" customHeight="1" x14ac:dyDescent="0.2">
      <c r="A142" s="26"/>
      <c r="B142" s="252"/>
      <c r="C142" s="26"/>
      <c r="D142" s="234"/>
      <c r="E142" s="88"/>
      <c r="F142" s="84"/>
      <c r="G142" s="88"/>
      <c r="H142" s="235"/>
    </row>
    <row r="143" spans="1:8" x14ac:dyDescent="0.2">
      <c r="A143" s="26" t="s">
        <v>0</v>
      </c>
      <c r="B143" s="252"/>
      <c r="C143" s="214" t="s">
        <v>6198</v>
      </c>
      <c r="D143" s="234" t="s">
        <v>1071</v>
      </c>
      <c r="E143" s="31">
        <v>2612</v>
      </c>
      <c r="F143" s="216"/>
      <c r="G143" s="31"/>
      <c r="H143" s="217"/>
    </row>
    <row r="144" spans="1:8" x14ac:dyDescent="0.2">
      <c r="A144" s="26"/>
      <c r="B144" s="252"/>
      <c r="C144" s="26" t="s">
        <v>6199</v>
      </c>
      <c r="D144" s="234" t="s">
        <v>5573</v>
      </c>
      <c r="E144" s="31">
        <v>1560</v>
      </c>
      <c r="F144" s="216"/>
      <c r="G144" s="31"/>
      <c r="H144" s="217"/>
    </row>
    <row r="145" spans="1:8" x14ac:dyDescent="0.2">
      <c r="A145" s="26"/>
      <c r="B145" s="252"/>
      <c r="C145" s="26" t="s">
        <v>6200</v>
      </c>
      <c r="D145" s="234" t="s">
        <v>5578</v>
      </c>
      <c r="E145" s="31">
        <v>387</v>
      </c>
      <c r="F145" s="216"/>
      <c r="G145" s="31"/>
      <c r="H145" s="217"/>
    </row>
    <row r="146" spans="1:8" x14ac:dyDescent="0.2">
      <c r="A146" s="26"/>
      <c r="B146" s="252"/>
      <c r="C146" s="26" t="s">
        <v>2318</v>
      </c>
      <c r="D146" s="234"/>
      <c r="E146" s="218">
        <v>4727</v>
      </c>
      <c r="F146" s="219"/>
      <c r="G146" s="218">
        <v>7019</v>
      </c>
      <c r="H146" s="220">
        <v>67.3</v>
      </c>
    </row>
    <row r="147" spans="1:8" x14ac:dyDescent="0.2">
      <c r="A147" s="26"/>
      <c r="B147" s="252"/>
      <c r="C147" s="26" t="s">
        <v>2318</v>
      </c>
      <c r="D147" s="234"/>
      <c r="E147" s="31"/>
      <c r="F147" s="216"/>
      <c r="G147" s="31"/>
      <c r="H147" s="217"/>
    </row>
    <row r="148" spans="1:8" x14ac:dyDescent="0.2">
      <c r="A148" s="26" t="s">
        <v>370</v>
      </c>
      <c r="B148" s="252"/>
      <c r="C148" s="214" t="s">
        <v>5812</v>
      </c>
      <c r="D148" s="234" t="s">
        <v>1071</v>
      </c>
      <c r="E148" s="31">
        <v>3125</v>
      </c>
      <c r="F148" s="216"/>
      <c r="G148" s="31"/>
      <c r="H148" s="217"/>
    </row>
    <row r="149" spans="1:8" x14ac:dyDescent="0.2">
      <c r="A149" s="26"/>
      <c r="B149" s="252"/>
      <c r="C149" s="26" t="s">
        <v>6201</v>
      </c>
      <c r="D149" s="234" t="s">
        <v>5573</v>
      </c>
      <c r="E149" s="31">
        <v>873</v>
      </c>
      <c r="F149" s="216"/>
      <c r="G149" s="31"/>
      <c r="H149" s="217"/>
    </row>
    <row r="150" spans="1:8" x14ac:dyDescent="0.2">
      <c r="A150" s="26"/>
      <c r="B150" s="252"/>
      <c r="C150" s="26" t="s">
        <v>6202</v>
      </c>
      <c r="D150" s="234" t="s">
        <v>653</v>
      </c>
      <c r="E150" s="31">
        <v>532</v>
      </c>
      <c r="F150" s="216"/>
      <c r="G150" s="31"/>
      <c r="H150" s="217"/>
    </row>
    <row r="151" spans="1:8" x14ac:dyDescent="0.2">
      <c r="A151" s="26"/>
      <c r="B151" s="252"/>
      <c r="C151" s="26" t="s">
        <v>2318</v>
      </c>
      <c r="D151" s="234"/>
      <c r="E151" s="218">
        <v>4580</v>
      </c>
      <c r="F151" s="219"/>
      <c r="G151" s="218">
        <v>5688</v>
      </c>
      <c r="H151" s="220">
        <v>80.5</v>
      </c>
    </row>
    <row r="152" spans="1:8" x14ac:dyDescent="0.2">
      <c r="A152" s="26"/>
      <c r="B152" s="252"/>
      <c r="C152" s="26" t="s">
        <v>2318</v>
      </c>
      <c r="D152" s="234"/>
      <c r="E152" s="31"/>
      <c r="F152" s="216"/>
      <c r="G152" s="31"/>
      <c r="H152" s="217"/>
    </row>
    <row r="153" spans="1:8" x14ac:dyDescent="0.2">
      <c r="A153" s="26" t="s">
        <v>1744</v>
      </c>
      <c r="B153" s="252"/>
      <c r="C153" s="214" t="s">
        <v>6086</v>
      </c>
      <c r="D153" s="234" t="s">
        <v>1071</v>
      </c>
      <c r="E153" s="31">
        <v>2442</v>
      </c>
      <c r="F153" s="216"/>
      <c r="G153" s="31"/>
      <c r="H153" s="217"/>
    </row>
    <row r="154" spans="1:8" x14ac:dyDescent="0.2">
      <c r="A154" s="26"/>
      <c r="B154" s="252"/>
      <c r="C154" s="26" t="s">
        <v>5530</v>
      </c>
      <c r="D154" s="234" t="s">
        <v>5573</v>
      </c>
      <c r="E154" s="31">
        <v>1324</v>
      </c>
      <c r="F154" s="216"/>
      <c r="G154" s="31"/>
      <c r="H154" s="217"/>
    </row>
    <row r="155" spans="1:8" x14ac:dyDescent="0.2">
      <c r="A155" s="26"/>
      <c r="B155" s="252"/>
      <c r="C155" s="26" t="s">
        <v>6203</v>
      </c>
      <c r="D155" s="234" t="s">
        <v>653</v>
      </c>
      <c r="E155" s="31">
        <v>775</v>
      </c>
      <c r="F155" s="216"/>
      <c r="G155" s="31"/>
      <c r="H155" s="217"/>
    </row>
    <row r="156" spans="1:8" x14ac:dyDescent="0.2">
      <c r="A156" s="26"/>
      <c r="B156" s="252"/>
      <c r="C156" s="26" t="s">
        <v>2318</v>
      </c>
      <c r="D156" s="234"/>
      <c r="E156" s="218">
        <v>4625</v>
      </c>
      <c r="F156" s="219"/>
      <c r="G156" s="218">
        <v>6286</v>
      </c>
      <c r="H156" s="220">
        <v>73.599999999999994</v>
      </c>
    </row>
    <row r="157" spans="1:8" x14ac:dyDescent="0.2">
      <c r="A157" s="26"/>
      <c r="B157" s="252"/>
      <c r="C157" s="26"/>
      <c r="D157" s="234"/>
      <c r="E157" s="88"/>
      <c r="F157" s="84"/>
      <c r="G157" s="88"/>
      <c r="H157" s="235"/>
    </row>
    <row r="158" spans="1:8" x14ac:dyDescent="0.2">
      <c r="A158" s="26" t="s">
        <v>1</v>
      </c>
      <c r="B158" s="252"/>
      <c r="C158" s="214" t="s">
        <v>5262</v>
      </c>
      <c r="D158" s="234" t="s">
        <v>1071</v>
      </c>
      <c r="E158" s="31">
        <v>2209</v>
      </c>
      <c r="F158" s="216"/>
      <c r="G158" s="31"/>
      <c r="H158" s="217"/>
    </row>
    <row r="159" spans="1:8" x14ac:dyDescent="0.2">
      <c r="A159" s="26"/>
      <c r="B159" s="252"/>
      <c r="C159" s="26" t="s">
        <v>6088</v>
      </c>
      <c r="D159" s="234" t="s">
        <v>5573</v>
      </c>
      <c r="E159" s="31">
        <v>1767</v>
      </c>
      <c r="F159" s="216"/>
      <c r="G159" s="31"/>
      <c r="H159" s="217"/>
    </row>
    <row r="160" spans="1:8" x14ac:dyDescent="0.2">
      <c r="A160" s="26"/>
      <c r="B160" s="252"/>
      <c r="C160" s="26" t="s">
        <v>2318</v>
      </c>
      <c r="D160" s="234"/>
      <c r="E160" s="218">
        <v>4002</v>
      </c>
      <c r="F160" s="219"/>
      <c r="G160" s="218">
        <v>6293</v>
      </c>
      <c r="H160" s="220">
        <v>63.6</v>
      </c>
    </row>
    <row r="161" spans="1:8" x14ac:dyDescent="0.2">
      <c r="A161" s="26"/>
      <c r="B161" s="252"/>
      <c r="C161" s="26"/>
      <c r="D161" s="234"/>
      <c r="E161" s="88"/>
      <c r="F161" s="84"/>
      <c r="G161" s="88"/>
      <c r="H161" s="235"/>
    </row>
    <row r="162" spans="1:8" x14ac:dyDescent="0.2">
      <c r="A162" s="26" t="s">
        <v>1931</v>
      </c>
      <c r="B162" s="252"/>
      <c r="C162" s="214" t="s">
        <v>5969</v>
      </c>
      <c r="D162" s="234" t="s">
        <v>1071</v>
      </c>
      <c r="E162" s="31">
        <v>2764</v>
      </c>
      <c r="F162" s="216"/>
      <c r="G162" s="31"/>
      <c r="H162" s="217"/>
    </row>
    <row r="163" spans="1:8" x14ac:dyDescent="0.2">
      <c r="A163" s="26"/>
      <c r="B163" s="252"/>
      <c r="C163" s="26" t="s">
        <v>1924</v>
      </c>
      <c r="D163" s="234" t="s">
        <v>5636</v>
      </c>
      <c r="E163" s="31">
        <v>1186</v>
      </c>
      <c r="F163" s="216"/>
      <c r="G163" s="31"/>
      <c r="H163" s="217"/>
    </row>
    <row r="164" spans="1:8" x14ac:dyDescent="0.2">
      <c r="A164" s="26"/>
      <c r="B164" s="252"/>
      <c r="C164" s="26" t="s">
        <v>6204</v>
      </c>
      <c r="D164" s="234" t="s">
        <v>5578</v>
      </c>
      <c r="E164" s="31">
        <v>155</v>
      </c>
      <c r="F164" s="216"/>
      <c r="G164" s="31"/>
      <c r="H164" s="217"/>
    </row>
    <row r="165" spans="1:8" x14ac:dyDescent="0.2">
      <c r="A165" s="26"/>
      <c r="B165" s="252"/>
      <c r="C165" s="26" t="s">
        <v>2318</v>
      </c>
      <c r="D165" s="234"/>
      <c r="E165" s="218">
        <v>4179</v>
      </c>
      <c r="F165" s="219"/>
      <c r="G165" s="218">
        <v>6218</v>
      </c>
      <c r="H165" s="220">
        <v>67.2</v>
      </c>
    </row>
    <row r="166" spans="1:8" x14ac:dyDescent="0.2">
      <c r="A166" s="26"/>
      <c r="B166" s="252"/>
      <c r="C166" s="26" t="s">
        <v>2318</v>
      </c>
      <c r="D166" s="234"/>
      <c r="E166" s="31"/>
      <c r="F166" s="216"/>
      <c r="G166" s="31"/>
      <c r="H166" s="217"/>
    </row>
    <row r="167" spans="1:8" x14ac:dyDescent="0.2">
      <c r="A167" s="26" t="s">
        <v>3</v>
      </c>
      <c r="B167" s="252">
        <v>1</v>
      </c>
      <c r="C167" s="26" t="s">
        <v>5302</v>
      </c>
      <c r="D167" s="234" t="s">
        <v>1071</v>
      </c>
      <c r="E167" s="31">
        <v>2367</v>
      </c>
      <c r="F167" s="216"/>
      <c r="G167" s="31"/>
      <c r="H167" s="217"/>
    </row>
    <row r="168" spans="1:8" x14ac:dyDescent="0.2">
      <c r="A168" s="26"/>
      <c r="B168" s="252"/>
      <c r="C168" s="26" t="s">
        <v>6205</v>
      </c>
      <c r="D168" s="234" t="s">
        <v>653</v>
      </c>
      <c r="E168" s="31">
        <v>2247</v>
      </c>
      <c r="F168" s="216"/>
      <c r="G168" s="31"/>
      <c r="H168" s="217"/>
    </row>
    <row r="169" spans="1:8" x14ac:dyDescent="0.2">
      <c r="A169" s="26"/>
      <c r="B169" s="252"/>
      <c r="C169" s="26" t="s">
        <v>6206</v>
      </c>
      <c r="D169" s="234" t="s">
        <v>5636</v>
      </c>
      <c r="E169" s="31">
        <v>1464</v>
      </c>
      <c r="F169" s="216"/>
      <c r="G169" s="31"/>
      <c r="H169" s="217"/>
    </row>
    <row r="170" spans="1:8" x14ac:dyDescent="0.2">
      <c r="A170" s="26"/>
      <c r="B170" s="252"/>
      <c r="C170" s="26" t="s">
        <v>6207</v>
      </c>
      <c r="D170" s="234" t="s">
        <v>5578</v>
      </c>
      <c r="E170" s="31">
        <v>219</v>
      </c>
      <c r="F170" s="216"/>
      <c r="G170" s="31"/>
      <c r="H170" s="217"/>
    </row>
    <row r="171" spans="1:8" x14ac:dyDescent="0.2">
      <c r="A171" s="26"/>
      <c r="B171" s="252"/>
      <c r="C171" s="26" t="s">
        <v>2318</v>
      </c>
      <c r="D171" s="234"/>
      <c r="E171" s="218">
        <v>6339</v>
      </c>
      <c r="F171" s="219"/>
      <c r="G171" s="218">
        <v>9190</v>
      </c>
      <c r="H171" s="220">
        <v>69</v>
      </c>
    </row>
    <row r="172" spans="1:8" x14ac:dyDescent="0.2">
      <c r="A172" s="26"/>
      <c r="B172" s="252"/>
      <c r="C172" s="26"/>
      <c r="D172" s="234"/>
      <c r="E172" s="88"/>
      <c r="F172" s="84"/>
      <c r="G172" s="88"/>
      <c r="H172" s="235"/>
    </row>
    <row r="173" spans="1:8" x14ac:dyDescent="0.2">
      <c r="A173" s="26"/>
      <c r="B173" s="252">
        <v>2</v>
      </c>
      <c r="C173" s="214" t="s">
        <v>5302</v>
      </c>
      <c r="D173" s="234" t="s">
        <v>1071</v>
      </c>
      <c r="E173" s="88">
        <v>2692</v>
      </c>
      <c r="F173" s="84"/>
      <c r="G173" s="88"/>
      <c r="H173" s="235"/>
    </row>
    <row r="174" spans="1:8" x14ac:dyDescent="0.2">
      <c r="A174" s="26"/>
      <c r="B174" s="252"/>
      <c r="C174" s="26" t="s">
        <v>6205</v>
      </c>
      <c r="D174" s="234" t="s">
        <v>653</v>
      </c>
      <c r="E174" s="88">
        <v>2388</v>
      </c>
      <c r="F174" s="84"/>
      <c r="G174" s="88"/>
      <c r="H174" s="235"/>
    </row>
    <row r="175" spans="1:8" x14ac:dyDescent="0.2">
      <c r="A175" s="26"/>
      <c r="B175" s="252"/>
      <c r="C175" s="26" t="s">
        <v>2318</v>
      </c>
      <c r="D175" s="234"/>
      <c r="E175" s="31"/>
      <c r="F175" s="216"/>
      <c r="G175" s="31"/>
      <c r="H175" s="217"/>
    </row>
    <row r="176" spans="1:8" x14ac:dyDescent="0.2">
      <c r="A176" s="26" t="s">
        <v>3185</v>
      </c>
      <c r="B176" s="252"/>
      <c r="C176" s="214" t="s">
        <v>5974</v>
      </c>
      <c r="D176" s="234" t="s">
        <v>1071</v>
      </c>
      <c r="E176" s="31">
        <v>1958</v>
      </c>
      <c r="F176" s="216"/>
      <c r="G176" s="31"/>
      <c r="H176" s="217"/>
    </row>
    <row r="177" spans="1:8" x14ac:dyDescent="0.2">
      <c r="A177" s="26"/>
      <c r="B177" s="252"/>
      <c r="C177" s="26" t="s">
        <v>6208</v>
      </c>
      <c r="D177" s="234" t="s">
        <v>653</v>
      </c>
      <c r="E177" s="31">
        <v>826</v>
      </c>
      <c r="F177" s="216"/>
      <c r="G177" s="31"/>
      <c r="H177" s="217"/>
    </row>
    <row r="178" spans="1:8" x14ac:dyDescent="0.2">
      <c r="C178" s="26" t="s">
        <v>6209</v>
      </c>
      <c r="D178" s="234" t="s">
        <v>5636</v>
      </c>
      <c r="E178" s="31">
        <v>767</v>
      </c>
      <c r="F178" s="216"/>
    </row>
    <row r="179" spans="1:8" x14ac:dyDescent="0.2">
      <c r="A179" s="26"/>
      <c r="B179" s="252"/>
      <c r="C179" s="26" t="s">
        <v>2318</v>
      </c>
      <c r="D179" s="234"/>
      <c r="E179" s="218">
        <v>3569</v>
      </c>
      <c r="F179" s="219"/>
      <c r="G179" s="218">
        <v>4674</v>
      </c>
      <c r="H179" s="220">
        <v>76.3</v>
      </c>
    </row>
    <row r="180" spans="1:8" x14ac:dyDescent="0.2">
      <c r="A180" s="26"/>
      <c r="B180" s="252"/>
      <c r="C180" s="26" t="s">
        <v>2318</v>
      </c>
      <c r="D180" s="234"/>
      <c r="E180" s="31"/>
      <c r="F180" s="216"/>
      <c r="G180" s="31"/>
      <c r="H180" s="217"/>
    </row>
    <row r="181" spans="1:8" x14ac:dyDescent="0.2">
      <c r="A181" s="26" t="s">
        <v>1752</v>
      </c>
      <c r="B181" s="252"/>
      <c r="C181" s="214" t="s">
        <v>5500</v>
      </c>
      <c r="D181" s="234" t="s">
        <v>1071</v>
      </c>
      <c r="E181" s="31">
        <v>2440</v>
      </c>
      <c r="F181" s="216"/>
      <c r="G181" s="31"/>
      <c r="H181" s="217"/>
    </row>
    <row r="182" spans="1:8" x14ac:dyDescent="0.2">
      <c r="A182" s="26"/>
      <c r="B182" s="252"/>
      <c r="C182" s="26" t="s">
        <v>6210</v>
      </c>
      <c r="D182" s="234" t="s">
        <v>653</v>
      </c>
      <c r="E182" s="31">
        <v>989</v>
      </c>
      <c r="F182" s="216"/>
      <c r="G182" s="31"/>
      <c r="H182" s="217"/>
    </row>
    <row r="183" spans="1:8" x14ac:dyDescent="0.2">
      <c r="A183" s="26"/>
      <c r="B183" s="252"/>
      <c r="C183" s="26" t="s">
        <v>6211</v>
      </c>
      <c r="D183" s="234" t="s">
        <v>5636</v>
      </c>
      <c r="E183" s="31">
        <v>972</v>
      </c>
      <c r="F183" s="216"/>
      <c r="G183" s="31"/>
      <c r="H183" s="217"/>
    </row>
    <row r="184" spans="1:8" x14ac:dyDescent="0.2">
      <c r="A184" s="26"/>
      <c r="B184" s="252"/>
      <c r="C184" s="26" t="s">
        <v>6212</v>
      </c>
      <c r="D184" s="234" t="s">
        <v>5578</v>
      </c>
      <c r="E184" s="31">
        <v>152</v>
      </c>
      <c r="F184" s="216"/>
      <c r="G184" s="31"/>
      <c r="H184" s="217"/>
    </row>
    <row r="185" spans="1:8" x14ac:dyDescent="0.2">
      <c r="A185" s="26"/>
      <c r="B185" s="252"/>
      <c r="C185" s="26" t="s">
        <v>2318</v>
      </c>
      <c r="D185" s="234"/>
      <c r="E185" s="218">
        <v>4631</v>
      </c>
      <c r="F185" s="219"/>
      <c r="G185" s="218">
        <v>6141</v>
      </c>
      <c r="H185" s="220">
        <v>75.400000000000006</v>
      </c>
    </row>
    <row r="186" spans="1:8" x14ac:dyDescent="0.2">
      <c r="A186" s="26"/>
      <c r="B186" s="252"/>
      <c r="C186" s="26" t="s">
        <v>2318</v>
      </c>
      <c r="D186" s="234"/>
      <c r="E186" s="31"/>
      <c r="F186" s="216"/>
      <c r="G186" s="31"/>
      <c r="H186" s="217"/>
    </row>
    <row r="187" spans="1:8" x14ac:dyDescent="0.2">
      <c r="A187" s="26" t="s">
        <v>3195</v>
      </c>
      <c r="B187" s="252"/>
      <c r="C187" s="214" t="s">
        <v>6213</v>
      </c>
      <c r="D187" s="234" t="s">
        <v>1071</v>
      </c>
      <c r="E187" s="31">
        <v>2977</v>
      </c>
      <c r="F187" s="216"/>
      <c r="G187" s="31"/>
      <c r="H187" s="217"/>
    </row>
    <row r="188" spans="1:8" x14ac:dyDescent="0.2">
      <c r="A188" s="26"/>
      <c r="B188" s="252"/>
      <c r="C188" s="26" t="s">
        <v>6214</v>
      </c>
      <c r="D188" s="234" t="s">
        <v>653</v>
      </c>
      <c r="E188" s="31">
        <v>1457</v>
      </c>
      <c r="F188" s="216"/>
      <c r="G188" s="31"/>
      <c r="H188" s="217"/>
    </row>
    <row r="189" spans="1:8" x14ac:dyDescent="0.2">
      <c r="A189" s="26"/>
      <c r="B189" s="252"/>
      <c r="C189" s="26" t="s">
        <v>6215</v>
      </c>
      <c r="D189" s="234" t="s">
        <v>5636</v>
      </c>
      <c r="E189" s="31">
        <v>696</v>
      </c>
      <c r="F189" s="216"/>
      <c r="G189" s="31"/>
      <c r="H189" s="217"/>
    </row>
    <row r="190" spans="1:8" x14ac:dyDescent="0.2">
      <c r="A190" s="26"/>
      <c r="B190" s="252"/>
      <c r="C190" s="26" t="s">
        <v>6216</v>
      </c>
      <c r="D190" s="234" t="s">
        <v>5578</v>
      </c>
      <c r="E190" s="31">
        <v>236</v>
      </c>
      <c r="F190" s="216"/>
      <c r="G190" s="31"/>
      <c r="H190" s="217"/>
    </row>
    <row r="191" spans="1:8" x14ac:dyDescent="0.2">
      <c r="A191" s="26"/>
      <c r="B191" s="252"/>
      <c r="C191" s="26" t="s">
        <v>2318</v>
      </c>
      <c r="D191" s="234"/>
      <c r="E191" s="218">
        <v>5590</v>
      </c>
      <c r="F191" s="219"/>
      <c r="G191" s="218">
        <v>7844</v>
      </c>
      <c r="H191" s="220">
        <v>71.3</v>
      </c>
    </row>
    <row r="192" spans="1:8" x14ac:dyDescent="0.2">
      <c r="A192" s="26"/>
      <c r="B192" s="252"/>
      <c r="C192" s="26"/>
      <c r="D192" s="234"/>
      <c r="E192" s="88"/>
      <c r="F192" s="84"/>
      <c r="G192" s="88"/>
      <c r="H192" s="235"/>
    </row>
    <row r="193" spans="1:8" x14ac:dyDescent="0.2">
      <c r="A193" s="26" t="s">
        <v>716</v>
      </c>
      <c r="B193" s="252">
        <v>1</v>
      </c>
      <c r="C193" s="26" t="s">
        <v>6217</v>
      </c>
      <c r="D193" s="234" t="s">
        <v>1071</v>
      </c>
      <c r="E193" s="31">
        <v>2932</v>
      </c>
      <c r="F193" s="216"/>
      <c r="G193" s="31"/>
      <c r="H193" s="217"/>
    </row>
    <row r="194" spans="1:8" x14ac:dyDescent="0.2">
      <c r="A194" s="26"/>
      <c r="B194" s="252"/>
      <c r="C194" s="26" t="s">
        <v>6218</v>
      </c>
      <c r="D194" s="234" t="s">
        <v>653</v>
      </c>
      <c r="E194" s="31">
        <v>2196</v>
      </c>
      <c r="F194" s="216"/>
      <c r="G194" s="31"/>
      <c r="H194" s="217"/>
    </row>
    <row r="195" spans="1:8" x14ac:dyDescent="0.2">
      <c r="A195" s="26"/>
      <c r="B195" s="252"/>
      <c r="C195" s="26" t="s">
        <v>6219</v>
      </c>
      <c r="D195" s="234" t="s">
        <v>5573</v>
      </c>
      <c r="E195" s="31">
        <v>1444</v>
      </c>
      <c r="F195" s="216"/>
      <c r="G195" s="31"/>
      <c r="H195" s="217"/>
    </row>
    <row r="196" spans="1:8" x14ac:dyDescent="0.2">
      <c r="A196" s="26"/>
      <c r="B196" s="252"/>
      <c r="C196" s="26" t="s">
        <v>2318</v>
      </c>
      <c r="D196" s="234"/>
      <c r="E196" s="218">
        <v>6679</v>
      </c>
      <c r="F196" s="219"/>
      <c r="G196" s="218">
        <v>9854</v>
      </c>
      <c r="H196" s="220">
        <v>67.8</v>
      </c>
    </row>
    <row r="197" spans="1:8" x14ac:dyDescent="0.2">
      <c r="A197" s="26"/>
      <c r="B197" s="252"/>
      <c r="C197" s="26"/>
      <c r="D197" s="234"/>
      <c r="E197" s="88"/>
      <c r="F197" s="84"/>
      <c r="G197" s="88"/>
      <c r="H197" s="235"/>
    </row>
    <row r="198" spans="1:8" x14ac:dyDescent="0.2">
      <c r="A198" s="26"/>
      <c r="B198" s="252">
        <v>2</v>
      </c>
      <c r="C198" s="214" t="s">
        <v>6217</v>
      </c>
      <c r="D198" s="234" t="s">
        <v>1071</v>
      </c>
      <c r="E198" s="88">
        <v>3425</v>
      </c>
      <c r="F198" s="84"/>
      <c r="G198" s="88"/>
      <c r="H198" s="235"/>
    </row>
    <row r="199" spans="1:8" x14ac:dyDescent="0.2">
      <c r="A199" s="26"/>
      <c r="B199" s="252"/>
      <c r="C199" s="26" t="s">
        <v>6218</v>
      </c>
      <c r="D199" s="234" t="s">
        <v>653</v>
      </c>
      <c r="E199" s="88">
        <v>2347</v>
      </c>
      <c r="F199" s="84"/>
      <c r="G199" s="88"/>
      <c r="H199" s="235"/>
    </row>
    <row r="200" spans="1:8" x14ac:dyDescent="0.2">
      <c r="A200" s="26"/>
      <c r="B200" s="252"/>
      <c r="C200" s="26" t="s">
        <v>2318</v>
      </c>
      <c r="D200" s="234"/>
      <c r="E200" s="31"/>
      <c r="F200" s="216"/>
      <c r="G200" s="31"/>
      <c r="H200" s="217"/>
    </row>
    <row r="201" spans="1:8" x14ac:dyDescent="0.2">
      <c r="A201" s="26" t="s">
        <v>1241</v>
      </c>
      <c r="B201" s="252"/>
      <c r="C201" s="214" t="s">
        <v>6103</v>
      </c>
      <c r="D201" s="234" t="s">
        <v>1071</v>
      </c>
      <c r="E201" s="31">
        <v>3196</v>
      </c>
      <c r="F201" s="216"/>
      <c r="G201" s="31"/>
      <c r="H201" s="217"/>
    </row>
    <row r="202" spans="1:8" x14ac:dyDescent="0.2">
      <c r="A202" s="26"/>
      <c r="B202" s="252"/>
      <c r="C202" s="26" t="s">
        <v>6220</v>
      </c>
      <c r="D202" s="234" t="s">
        <v>653</v>
      </c>
      <c r="E202" s="31">
        <v>832</v>
      </c>
      <c r="F202" s="216"/>
      <c r="G202" s="31"/>
      <c r="H202" s="217"/>
    </row>
    <row r="203" spans="1:8" x14ac:dyDescent="0.2">
      <c r="A203" s="26"/>
      <c r="B203" s="252"/>
      <c r="C203" s="26" t="s">
        <v>6221</v>
      </c>
      <c r="D203" s="234" t="s">
        <v>5573</v>
      </c>
      <c r="E203" s="31">
        <v>776</v>
      </c>
      <c r="F203" s="216"/>
      <c r="G203" s="31"/>
      <c r="H203" s="217"/>
    </row>
    <row r="204" spans="1:8" x14ac:dyDescent="0.2">
      <c r="A204" s="26"/>
      <c r="B204" s="252"/>
      <c r="C204" s="26" t="s">
        <v>2318</v>
      </c>
      <c r="D204" s="234"/>
      <c r="E204" s="218">
        <v>4855</v>
      </c>
      <c r="F204" s="219"/>
      <c r="G204" s="218">
        <v>5377</v>
      </c>
      <c r="H204" s="220">
        <v>90.3</v>
      </c>
    </row>
    <row r="205" spans="1:8" x14ac:dyDescent="0.2">
      <c r="A205" s="26"/>
      <c r="B205" s="252"/>
      <c r="C205" s="26" t="s">
        <v>2318</v>
      </c>
      <c r="D205" s="234"/>
      <c r="E205" s="31"/>
      <c r="F205" s="216"/>
      <c r="G205" s="31"/>
      <c r="H205" s="217"/>
    </row>
    <row r="206" spans="1:8" x14ac:dyDescent="0.2">
      <c r="A206" s="26" t="s">
        <v>415</v>
      </c>
      <c r="B206" s="252"/>
      <c r="C206" s="214" t="s">
        <v>5673</v>
      </c>
      <c r="D206" s="234" t="s">
        <v>1071</v>
      </c>
      <c r="E206" s="31">
        <v>2503</v>
      </c>
      <c r="F206" s="216"/>
      <c r="G206" s="31"/>
      <c r="H206" s="217"/>
    </row>
    <row r="207" spans="1:8" x14ac:dyDescent="0.2">
      <c r="A207" s="26"/>
      <c r="B207" s="252"/>
      <c r="C207" s="26" t="s">
        <v>6222</v>
      </c>
      <c r="D207" s="234" t="s">
        <v>5573</v>
      </c>
      <c r="E207" s="31">
        <v>940</v>
      </c>
      <c r="F207" s="216"/>
      <c r="G207" s="31"/>
      <c r="H207" s="217"/>
    </row>
    <row r="208" spans="1:8" x14ac:dyDescent="0.2">
      <c r="A208" s="26"/>
      <c r="B208" s="252"/>
      <c r="C208" s="26" t="s">
        <v>6223</v>
      </c>
      <c r="D208" s="234" t="s">
        <v>653</v>
      </c>
      <c r="E208" s="31">
        <v>806</v>
      </c>
      <c r="F208" s="216"/>
      <c r="G208" s="31"/>
      <c r="H208" s="217"/>
    </row>
    <row r="209" spans="1:8" x14ac:dyDescent="0.2">
      <c r="A209" s="26"/>
      <c r="B209" s="252"/>
      <c r="C209" s="26" t="s">
        <v>6224</v>
      </c>
      <c r="D209" s="234" t="s">
        <v>5578</v>
      </c>
      <c r="E209" s="31">
        <v>385</v>
      </c>
      <c r="F209" s="216"/>
      <c r="G209" s="31"/>
      <c r="H209" s="217"/>
    </row>
    <row r="210" spans="1:8" x14ac:dyDescent="0.2">
      <c r="A210" s="26"/>
      <c r="B210" s="252"/>
      <c r="C210" s="26" t="s">
        <v>2318</v>
      </c>
      <c r="D210" s="234"/>
      <c r="E210" s="218">
        <v>4724</v>
      </c>
      <c r="F210" s="219"/>
      <c r="G210" s="218">
        <v>7528</v>
      </c>
      <c r="H210" s="220">
        <v>62.7</v>
      </c>
    </row>
    <row r="211" spans="1:8" x14ac:dyDescent="0.2">
      <c r="A211" s="26"/>
      <c r="B211" s="252"/>
      <c r="C211" s="26" t="s">
        <v>2318</v>
      </c>
      <c r="D211" s="234"/>
      <c r="E211" s="31"/>
      <c r="F211" s="216"/>
      <c r="G211" s="31"/>
      <c r="H211" s="217"/>
    </row>
    <row r="212" spans="1:8" x14ac:dyDescent="0.2">
      <c r="A212" s="26" t="s">
        <v>718</v>
      </c>
      <c r="B212" s="252"/>
      <c r="C212" s="214" t="s">
        <v>5513</v>
      </c>
      <c r="D212" s="234" t="s">
        <v>1071</v>
      </c>
      <c r="E212" s="31">
        <v>2400</v>
      </c>
      <c r="F212" s="216"/>
      <c r="G212" s="31"/>
      <c r="H212" s="217"/>
    </row>
    <row r="213" spans="1:8" x14ac:dyDescent="0.2">
      <c r="A213" s="26"/>
      <c r="B213" s="252"/>
      <c r="C213" s="26" t="s">
        <v>6225</v>
      </c>
      <c r="D213" s="234" t="s">
        <v>5573</v>
      </c>
      <c r="E213" s="31">
        <v>1498</v>
      </c>
      <c r="F213" s="216"/>
      <c r="G213" s="31"/>
      <c r="H213" s="217"/>
    </row>
    <row r="214" spans="1:8" x14ac:dyDescent="0.2">
      <c r="A214" s="26"/>
      <c r="B214" s="252"/>
      <c r="C214" s="26" t="s">
        <v>6226</v>
      </c>
      <c r="D214" s="234" t="s">
        <v>653</v>
      </c>
      <c r="E214" s="31">
        <v>820</v>
      </c>
      <c r="F214" s="216"/>
      <c r="G214" s="31"/>
      <c r="H214" s="217"/>
    </row>
    <row r="215" spans="1:8" x14ac:dyDescent="0.2">
      <c r="A215" s="26"/>
      <c r="B215" s="252"/>
      <c r="C215" s="26" t="s">
        <v>2318</v>
      </c>
      <c r="D215" s="234"/>
      <c r="E215" s="218">
        <v>4960</v>
      </c>
      <c r="F215" s="219"/>
      <c r="G215" s="218">
        <v>6962</v>
      </c>
      <c r="H215" s="220">
        <v>71.2</v>
      </c>
    </row>
    <row r="216" spans="1:8" x14ac:dyDescent="0.2">
      <c r="A216" s="26"/>
      <c r="B216" s="252"/>
      <c r="C216" s="26" t="s">
        <v>2318</v>
      </c>
      <c r="D216" s="234"/>
      <c r="E216" s="31"/>
      <c r="F216" s="216"/>
      <c r="G216" s="31"/>
      <c r="H216" s="217"/>
    </row>
    <row r="217" spans="1:8" x14ac:dyDescent="0.2">
      <c r="A217" s="26" t="s">
        <v>584</v>
      </c>
      <c r="B217" s="252">
        <v>1</v>
      </c>
      <c r="C217" s="26" t="s">
        <v>1027</v>
      </c>
      <c r="D217" s="234" t="s">
        <v>1071</v>
      </c>
      <c r="E217" s="31">
        <v>2109</v>
      </c>
      <c r="F217" s="216"/>
      <c r="G217" s="31"/>
      <c r="H217" s="217"/>
    </row>
    <row r="218" spans="1:8" x14ac:dyDescent="0.2">
      <c r="A218" s="26"/>
      <c r="B218" s="252"/>
      <c r="C218" s="26" t="s">
        <v>6227</v>
      </c>
      <c r="D218" s="234" t="s">
        <v>6228</v>
      </c>
      <c r="E218" s="31">
        <v>1788</v>
      </c>
      <c r="F218" s="216"/>
      <c r="G218" s="31"/>
      <c r="H218" s="217"/>
    </row>
    <row r="219" spans="1:8" x14ac:dyDescent="0.2">
      <c r="A219" s="26"/>
      <c r="B219" s="252"/>
      <c r="C219" s="26" t="s">
        <v>6229</v>
      </c>
      <c r="D219" s="234" t="s">
        <v>5573</v>
      </c>
      <c r="E219" s="31">
        <v>962</v>
      </c>
      <c r="F219" s="216"/>
      <c r="G219" s="31"/>
      <c r="H219" s="217"/>
    </row>
    <row r="220" spans="1:8" x14ac:dyDescent="0.2">
      <c r="A220" s="26"/>
      <c r="B220" s="252"/>
      <c r="C220" s="26" t="s">
        <v>2318</v>
      </c>
      <c r="D220" s="234"/>
      <c r="E220" s="218">
        <v>4909</v>
      </c>
      <c r="F220" s="219"/>
      <c r="G220" s="218">
        <v>6703</v>
      </c>
      <c r="H220" s="220">
        <v>72</v>
      </c>
    </row>
    <row r="221" spans="1:8" x14ac:dyDescent="0.2">
      <c r="A221" s="26"/>
      <c r="B221" s="252"/>
      <c r="C221" s="26"/>
      <c r="D221" s="234"/>
      <c r="E221" s="88"/>
      <c r="F221" s="84"/>
      <c r="G221" s="88"/>
      <c r="H221" s="235"/>
    </row>
    <row r="222" spans="1:8" x14ac:dyDescent="0.2">
      <c r="A222" s="26"/>
      <c r="B222" s="252">
        <v>2</v>
      </c>
      <c r="C222" s="214" t="s">
        <v>1027</v>
      </c>
      <c r="D222" s="234" t="s">
        <v>1071</v>
      </c>
      <c r="E222" s="88">
        <v>2228</v>
      </c>
      <c r="F222" s="84"/>
      <c r="G222" s="88"/>
      <c r="H222" s="235"/>
    </row>
    <row r="223" spans="1:8" x14ac:dyDescent="0.2">
      <c r="A223" s="26"/>
      <c r="B223" s="252"/>
      <c r="C223" s="26" t="s">
        <v>6227</v>
      </c>
      <c r="D223" s="234" t="s">
        <v>6228</v>
      </c>
      <c r="E223" s="88">
        <v>1870</v>
      </c>
      <c r="F223" s="84"/>
      <c r="G223" s="88"/>
      <c r="H223" s="235"/>
    </row>
    <row r="224" spans="1:8" x14ac:dyDescent="0.2">
      <c r="A224" s="26"/>
      <c r="B224" s="252"/>
      <c r="C224" s="26" t="s">
        <v>2318</v>
      </c>
      <c r="D224" s="234"/>
      <c r="E224" s="31"/>
      <c r="F224" s="216"/>
      <c r="G224" s="31"/>
      <c r="H224" s="217"/>
    </row>
    <row r="225" spans="1:8" x14ac:dyDescent="0.2">
      <c r="A225" s="26" t="s">
        <v>2340</v>
      </c>
      <c r="B225" s="252"/>
      <c r="C225" s="214" t="s">
        <v>6230</v>
      </c>
      <c r="D225" s="234" t="s">
        <v>1071</v>
      </c>
      <c r="E225" s="31">
        <v>2208</v>
      </c>
      <c r="F225" s="216"/>
      <c r="G225" s="31"/>
      <c r="H225" s="217"/>
    </row>
    <row r="226" spans="1:8" x14ac:dyDescent="0.2">
      <c r="A226" s="26"/>
      <c r="B226" s="252"/>
      <c r="C226" s="26" t="s">
        <v>6231</v>
      </c>
      <c r="D226" s="234" t="s">
        <v>5573</v>
      </c>
      <c r="E226" s="218">
        <v>1016</v>
      </c>
      <c r="F226" s="219"/>
      <c r="G226" s="218"/>
      <c r="H226" s="220"/>
    </row>
    <row r="227" spans="1:8" x14ac:dyDescent="0.2">
      <c r="A227" s="26"/>
      <c r="B227" s="252"/>
      <c r="C227" s="26" t="s">
        <v>6232</v>
      </c>
      <c r="D227" s="234" t="s">
        <v>653</v>
      </c>
      <c r="E227" s="88">
        <v>778</v>
      </c>
      <c r="F227" s="84"/>
      <c r="G227" s="88"/>
      <c r="H227" s="235"/>
    </row>
    <row r="228" spans="1:8" x14ac:dyDescent="0.2">
      <c r="A228" s="26"/>
      <c r="B228" s="252"/>
      <c r="C228" s="26" t="s">
        <v>6233</v>
      </c>
      <c r="D228" s="234" t="s">
        <v>5578</v>
      </c>
      <c r="E228" s="88">
        <v>237</v>
      </c>
      <c r="F228" s="84"/>
      <c r="G228" s="88"/>
      <c r="H228" s="235"/>
    </row>
    <row r="229" spans="1:8" x14ac:dyDescent="0.2">
      <c r="A229" s="26"/>
      <c r="B229" s="252"/>
      <c r="C229" s="26"/>
      <c r="D229" s="234"/>
      <c r="E229" s="88">
        <v>4346</v>
      </c>
      <c r="F229" s="84"/>
      <c r="G229" s="88">
        <v>5964</v>
      </c>
      <c r="H229" s="235">
        <v>72.900000000000006</v>
      </c>
    </row>
    <row r="230" spans="1:8" x14ac:dyDescent="0.2">
      <c r="A230" s="26"/>
      <c r="B230" s="252"/>
      <c r="C230" s="26" t="s">
        <v>2318</v>
      </c>
      <c r="D230" s="234"/>
      <c r="E230" s="31"/>
      <c r="F230" s="216"/>
      <c r="G230" s="31"/>
      <c r="H230" s="217"/>
    </row>
    <row r="231" spans="1:8" x14ac:dyDescent="0.2">
      <c r="A231" s="26" t="s">
        <v>2341</v>
      </c>
      <c r="B231" s="252"/>
      <c r="C231" s="214" t="s">
        <v>6234</v>
      </c>
      <c r="D231" s="234" t="s">
        <v>1071</v>
      </c>
      <c r="E231" s="31">
        <v>3012</v>
      </c>
      <c r="F231" s="216"/>
      <c r="G231" s="31"/>
      <c r="H231" s="217"/>
    </row>
    <row r="232" spans="1:8" x14ac:dyDescent="0.2">
      <c r="A232" s="26"/>
      <c r="B232" s="252"/>
      <c r="C232" s="26" t="s">
        <v>6235</v>
      </c>
      <c r="D232" s="234" t="s">
        <v>653</v>
      </c>
      <c r="E232" s="31">
        <v>1545</v>
      </c>
      <c r="F232" s="216"/>
      <c r="G232" s="31"/>
      <c r="H232" s="217"/>
    </row>
    <row r="233" spans="1:8" x14ac:dyDescent="0.2">
      <c r="A233" s="26"/>
      <c r="B233" s="252"/>
      <c r="C233" s="26" t="s">
        <v>6236</v>
      </c>
      <c r="D233" s="234" t="s">
        <v>5573</v>
      </c>
      <c r="E233" s="31">
        <v>1282</v>
      </c>
      <c r="F233" s="216"/>
      <c r="G233" s="31"/>
      <c r="H233" s="217"/>
    </row>
    <row r="234" spans="1:8" x14ac:dyDescent="0.2">
      <c r="A234" s="26"/>
      <c r="B234" s="252"/>
      <c r="C234" s="26" t="s">
        <v>2318</v>
      </c>
      <c r="D234" s="234"/>
      <c r="E234" s="218">
        <v>5948</v>
      </c>
      <c r="F234" s="219"/>
      <c r="G234" s="218">
        <v>8139</v>
      </c>
      <c r="H234" s="220">
        <v>73.099999999999994</v>
      </c>
    </row>
    <row r="235" spans="1:8" x14ac:dyDescent="0.2">
      <c r="A235" s="26"/>
      <c r="B235" s="252"/>
      <c r="C235" s="26"/>
      <c r="D235" s="234"/>
      <c r="E235" s="88"/>
      <c r="F235" s="84"/>
      <c r="G235" s="88"/>
      <c r="H235" s="235"/>
    </row>
    <row r="236" spans="1:8" x14ac:dyDescent="0.2">
      <c r="A236" s="26" t="s">
        <v>436</v>
      </c>
      <c r="B236" s="252"/>
      <c r="C236" s="214" t="s">
        <v>6237</v>
      </c>
      <c r="D236" s="234" t="s">
        <v>1071</v>
      </c>
      <c r="E236" s="31">
        <v>2390</v>
      </c>
      <c r="F236" s="216"/>
      <c r="G236" s="31"/>
      <c r="H236" s="217"/>
    </row>
    <row r="237" spans="1:8" x14ac:dyDescent="0.2">
      <c r="A237" s="26"/>
      <c r="B237" s="252"/>
      <c r="C237" s="26" t="s">
        <v>6238</v>
      </c>
      <c r="D237" s="234" t="s">
        <v>5578</v>
      </c>
      <c r="E237" s="31">
        <v>882</v>
      </c>
      <c r="F237" s="216"/>
      <c r="G237" s="31"/>
      <c r="H237" s="217"/>
    </row>
    <row r="238" spans="1:8" x14ac:dyDescent="0.2">
      <c r="A238" s="26"/>
      <c r="B238" s="252"/>
      <c r="C238" s="26" t="s">
        <v>6239</v>
      </c>
      <c r="D238" s="234" t="s">
        <v>5573</v>
      </c>
      <c r="E238" s="31">
        <v>817</v>
      </c>
      <c r="F238" s="216"/>
      <c r="G238" s="31"/>
      <c r="H238" s="217"/>
    </row>
    <row r="239" spans="1:8" x14ac:dyDescent="0.2">
      <c r="A239" s="26"/>
      <c r="B239" s="252"/>
      <c r="C239" s="26" t="s">
        <v>2318</v>
      </c>
      <c r="D239" s="234"/>
      <c r="E239" s="218">
        <v>4184</v>
      </c>
      <c r="F239" s="219"/>
      <c r="G239" s="218">
        <v>6118</v>
      </c>
      <c r="H239" s="220">
        <v>68.400000000000006</v>
      </c>
    </row>
    <row r="240" spans="1:8" x14ac:dyDescent="0.2">
      <c r="A240" s="26"/>
      <c r="B240" s="252"/>
      <c r="C240" s="26" t="s">
        <v>2318</v>
      </c>
      <c r="D240" s="234"/>
      <c r="E240" s="31"/>
      <c r="F240" s="216"/>
      <c r="G240" s="31"/>
      <c r="H240" s="217"/>
    </row>
    <row r="241" spans="1:8" ht="12.75" customHeight="1" x14ac:dyDescent="0.2">
      <c r="A241" s="26" t="s">
        <v>441</v>
      </c>
      <c r="B241" s="252"/>
      <c r="C241" s="214" t="s">
        <v>5855</v>
      </c>
      <c r="D241" s="234" t="s">
        <v>1071</v>
      </c>
      <c r="E241" s="31">
        <v>2936</v>
      </c>
      <c r="F241" s="216"/>
      <c r="G241" s="31"/>
      <c r="H241" s="217"/>
    </row>
    <row r="242" spans="1:8" ht="12.75" customHeight="1" x14ac:dyDescent="0.2">
      <c r="A242" s="26"/>
      <c r="B242" s="252"/>
      <c r="C242" s="26" t="s">
        <v>6240</v>
      </c>
      <c r="D242" s="234" t="s">
        <v>5573</v>
      </c>
      <c r="E242" s="31">
        <v>1302</v>
      </c>
      <c r="F242" s="216"/>
      <c r="G242" s="31"/>
      <c r="H242" s="217"/>
    </row>
    <row r="243" spans="1:8" x14ac:dyDescent="0.2">
      <c r="A243" s="26"/>
      <c r="B243" s="252"/>
      <c r="C243" s="26" t="s">
        <v>6241</v>
      </c>
      <c r="D243" s="234" t="s">
        <v>6242</v>
      </c>
      <c r="E243" s="31">
        <v>390</v>
      </c>
      <c r="F243" s="216"/>
      <c r="G243" s="31"/>
      <c r="H243" s="217"/>
    </row>
    <row r="244" spans="1:8" x14ac:dyDescent="0.2">
      <c r="A244" s="26"/>
      <c r="B244" s="252"/>
      <c r="C244" s="26" t="s">
        <v>2318</v>
      </c>
      <c r="D244" s="234"/>
      <c r="E244" s="218">
        <v>4699</v>
      </c>
      <c r="F244" s="219"/>
      <c r="G244" s="218">
        <v>6984</v>
      </c>
      <c r="H244" s="220">
        <v>67.3</v>
      </c>
    </row>
    <row r="245" spans="1:8" x14ac:dyDescent="0.2">
      <c r="A245" s="26"/>
      <c r="B245" s="252"/>
      <c r="C245" s="26" t="s">
        <v>2318</v>
      </c>
      <c r="D245" s="234"/>
      <c r="E245" s="31"/>
      <c r="F245" s="216"/>
      <c r="G245" s="31"/>
      <c r="H245" s="217"/>
    </row>
    <row r="246" spans="1:8" x14ac:dyDescent="0.2">
      <c r="A246" s="26" t="s">
        <v>1385</v>
      </c>
      <c r="B246" s="252"/>
      <c r="C246" s="214" t="s">
        <v>6117</v>
      </c>
      <c r="D246" s="234" t="s">
        <v>1071</v>
      </c>
      <c r="E246" s="31">
        <v>2793</v>
      </c>
      <c r="F246" s="216"/>
      <c r="G246" s="31"/>
      <c r="H246" s="217"/>
    </row>
    <row r="247" spans="1:8" x14ac:dyDescent="0.2">
      <c r="A247" s="26"/>
      <c r="B247" s="252"/>
      <c r="C247" s="26" t="s">
        <v>5994</v>
      </c>
      <c r="D247" s="234" t="s">
        <v>5573</v>
      </c>
      <c r="E247" s="31">
        <v>840</v>
      </c>
      <c r="F247" s="216"/>
      <c r="G247" s="31"/>
      <c r="H247" s="217"/>
    </row>
    <row r="248" spans="1:8" x14ac:dyDescent="0.2">
      <c r="A248" s="26"/>
      <c r="B248" s="252"/>
      <c r="C248" s="26" t="s">
        <v>6243</v>
      </c>
      <c r="D248" s="234" t="s">
        <v>653</v>
      </c>
      <c r="E248" s="31">
        <v>813</v>
      </c>
      <c r="F248" s="216"/>
      <c r="G248" s="31"/>
      <c r="H248" s="217"/>
    </row>
    <row r="249" spans="1:8" x14ac:dyDescent="0.2">
      <c r="A249" s="26"/>
      <c r="B249" s="252"/>
      <c r="C249" s="26"/>
      <c r="D249" s="234"/>
      <c r="E249" s="218">
        <v>4532</v>
      </c>
      <c r="F249" s="219"/>
      <c r="G249" s="218">
        <v>5960</v>
      </c>
      <c r="H249" s="220">
        <v>76</v>
      </c>
    </row>
    <row r="250" spans="1:8" x14ac:dyDescent="0.2">
      <c r="A250" s="26"/>
      <c r="B250" s="252"/>
      <c r="C250" s="26" t="s">
        <v>2318</v>
      </c>
      <c r="D250" s="234"/>
      <c r="E250" s="31"/>
      <c r="F250" s="216"/>
      <c r="G250" s="31"/>
      <c r="H250" s="217"/>
    </row>
    <row r="251" spans="1:8" x14ac:dyDescent="0.2">
      <c r="A251" s="26" t="s">
        <v>5356</v>
      </c>
      <c r="B251" s="252"/>
      <c r="C251" s="214" t="s">
        <v>5996</v>
      </c>
      <c r="D251" s="234" t="s">
        <v>1071</v>
      </c>
      <c r="E251" s="31">
        <v>1984</v>
      </c>
      <c r="F251" s="216"/>
      <c r="G251" s="31"/>
      <c r="H251" s="217"/>
    </row>
    <row r="252" spans="1:8" x14ac:dyDescent="0.2">
      <c r="A252" s="26"/>
      <c r="B252" s="252"/>
      <c r="C252" s="26" t="s">
        <v>6244</v>
      </c>
      <c r="D252" s="234" t="s">
        <v>5573</v>
      </c>
      <c r="E252" s="31">
        <v>1178</v>
      </c>
      <c r="F252" s="216"/>
      <c r="G252" s="31"/>
      <c r="H252" s="217"/>
    </row>
    <row r="253" spans="1:8" x14ac:dyDescent="0.2">
      <c r="A253" s="26"/>
      <c r="B253" s="252"/>
      <c r="C253" s="26" t="s">
        <v>6245</v>
      </c>
      <c r="D253" s="234" t="s">
        <v>1072</v>
      </c>
      <c r="E253" s="31">
        <v>302</v>
      </c>
      <c r="F253" s="216"/>
      <c r="G253" s="31"/>
      <c r="H253" s="217"/>
    </row>
    <row r="254" spans="1:8" x14ac:dyDescent="0.2">
      <c r="A254" s="26"/>
      <c r="B254" s="252"/>
      <c r="C254" s="26"/>
      <c r="D254" s="234"/>
      <c r="E254" s="218">
        <v>3608</v>
      </c>
      <c r="F254" s="219"/>
      <c r="G254" s="218">
        <v>5592</v>
      </c>
      <c r="H254" s="220">
        <v>64.5</v>
      </c>
    </row>
    <row r="255" spans="1:8" x14ac:dyDescent="0.2">
      <c r="A255" s="26"/>
      <c r="B255" s="252"/>
      <c r="C255" s="26" t="s">
        <v>2318</v>
      </c>
      <c r="D255" s="234"/>
      <c r="E255" s="31"/>
      <c r="F255" s="216"/>
      <c r="G255" s="31"/>
      <c r="H255" s="217"/>
    </row>
    <row r="256" spans="1:8" x14ac:dyDescent="0.2">
      <c r="A256" s="26" t="s">
        <v>446</v>
      </c>
      <c r="B256" s="252">
        <v>1</v>
      </c>
      <c r="C256" s="26" t="s">
        <v>6246</v>
      </c>
      <c r="D256" s="234" t="s">
        <v>1071</v>
      </c>
      <c r="E256" s="31">
        <v>2097</v>
      </c>
      <c r="F256" s="216"/>
      <c r="G256" s="31"/>
      <c r="H256" s="217"/>
    </row>
    <row r="257" spans="1:8" x14ac:dyDescent="0.2">
      <c r="A257" s="26"/>
      <c r="B257" s="252"/>
      <c r="C257" s="26" t="s">
        <v>6247</v>
      </c>
      <c r="D257" s="234" t="s">
        <v>5573</v>
      </c>
      <c r="E257" s="31">
        <v>1222</v>
      </c>
      <c r="F257" s="216"/>
      <c r="G257" s="31"/>
      <c r="H257" s="217"/>
    </row>
    <row r="258" spans="1:8" x14ac:dyDescent="0.2">
      <c r="A258" s="26"/>
      <c r="B258" s="252"/>
      <c r="C258" s="26" t="s">
        <v>6248</v>
      </c>
      <c r="D258" s="234" t="s">
        <v>653</v>
      </c>
      <c r="E258" s="31">
        <v>918</v>
      </c>
      <c r="F258" s="216"/>
      <c r="G258" s="31"/>
      <c r="H258" s="217"/>
    </row>
    <row r="259" spans="1:8" x14ac:dyDescent="0.2">
      <c r="A259" s="26"/>
      <c r="B259" s="252"/>
      <c r="C259" s="26" t="s">
        <v>2318</v>
      </c>
      <c r="D259" s="234"/>
      <c r="E259" s="218">
        <v>4326</v>
      </c>
      <c r="F259" s="219"/>
      <c r="G259" s="218">
        <v>6319</v>
      </c>
      <c r="H259" s="220">
        <v>68.5</v>
      </c>
    </row>
    <row r="260" spans="1:8" x14ac:dyDescent="0.2">
      <c r="A260" s="26"/>
      <c r="B260" s="252"/>
      <c r="C260" s="26"/>
      <c r="D260" s="234"/>
      <c r="E260" s="88"/>
      <c r="F260" s="84"/>
      <c r="G260" s="88"/>
      <c r="H260" s="235"/>
    </row>
    <row r="261" spans="1:8" x14ac:dyDescent="0.2">
      <c r="A261" s="26"/>
      <c r="B261" s="252"/>
      <c r="C261" s="214" t="s">
        <v>6246</v>
      </c>
      <c r="D261" s="234" t="s">
        <v>1071</v>
      </c>
      <c r="E261" s="88">
        <v>2491</v>
      </c>
      <c r="F261" s="84"/>
      <c r="G261" s="88"/>
      <c r="H261" s="235"/>
    </row>
    <row r="262" spans="1:8" x14ac:dyDescent="0.2">
      <c r="A262" s="26"/>
      <c r="B262" s="252"/>
      <c r="C262" s="26" t="s">
        <v>6247</v>
      </c>
      <c r="D262" s="234" t="s">
        <v>5573</v>
      </c>
      <c r="E262" s="88">
        <v>1357</v>
      </c>
      <c r="F262" s="84"/>
      <c r="G262" s="88"/>
      <c r="H262" s="235"/>
    </row>
    <row r="263" spans="1:8" x14ac:dyDescent="0.2">
      <c r="A263" s="26"/>
      <c r="B263" s="252"/>
      <c r="C263" s="26"/>
      <c r="D263" s="234"/>
      <c r="E263" s="88"/>
      <c r="F263" s="84"/>
      <c r="G263" s="88"/>
      <c r="H263" s="235"/>
    </row>
    <row r="264" spans="1:8" x14ac:dyDescent="0.2">
      <c r="A264" s="26" t="s">
        <v>3262</v>
      </c>
      <c r="B264" s="252">
        <v>1</v>
      </c>
      <c r="C264" s="26" t="s">
        <v>1028</v>
      </c>
      <c r="D264" s="234" t="s">
        <v>1071</v>
      </c>
      <c r="E264" s="31">
        <v>1851</v>
      </c>
      <c r="F264" s="216"/>
      <c r="G264" s="31"/>
      <c r="H264" s="217"/>
    </row>
    <row r="265" spans="1:8" x14ac:dyDescent="0.2">
      <c r="A265" s="26"/>
      <c r="B265" s="252"/>
      <c r="C265" s="26" t="s">
        <v>6249</v>
      </c>
      <c r="D265" s="234" t="s">
        <v>5573</v>
      </c>
      <c r="E265" s="31">
        <v>1503</v>
      </c>
      <c r="F265" s="216"/>
      <c r="G265" s="31"/>
      <c r="H265" s="217"/>
    </row>
    <row r="266" spans="1:8" x14ac:dyDescent="0.2">
      <c r="A266" s="26"/>
      <c r="B266" s="252"/>
      <c r="C266" s="26" t="s">
        <v>6250</v>
      </c>
      <c r="D266" s="234" t="s">
        <v>5578</v>
      </c>
      <c r="E266" s="31">
        <v>771</v>
      </c>
      <c r="F266" s="216"/>
      <c r="G266" s="31"/>
      <c r="H266" s="217"/>
    </row>
    <row r="267" spans="1:8" x14ac:dyDescent="0.2">
      <c r="A267" s="26"/>
      <c r="B267" s="252"/>
      <c r="C267" s="26" t="s">
        <v>2318</v>
      </c>
      <c r="D267" s="234"/>
      <c r="E267" s="218">
        <v>4379</v>
      </c>
      <c r="F267" s="219"/>
      <c r="G267" s="218">
        <v>6875</v>
      </c>
      <c r="H267" s="220">
        <v>63.7</v>
      </c>
    </row>
    <row r="268" spans="1:8" x14ac:dyDescent="0.2">
      <c r="A268" s="26"/>
      <c r="B268" s="252"/>
      <c r="C268" s="26"/>
      <c r="D268" s="234"/>
      <c r="E268" s="88"/>
      <c r="F268" s="84"/>
      <c r="G268" s="88"/>
      <c r="H268" s="235"/>
    </row>
    <row r="269" spans="1:8" x14ac:dyDescent="0.2">
      <c r="A269" s="26"/>
      <c r="B269" s="252">
        <v>2</v>
      </c>
      <c r="C269" s="214" t="s">
        <v>1028</v>
      </c>
      <c r="D269" s="234" t="s">
        <v>1071</v>
      </c>
      <c r="E269" s="88">
        <v>1949</v>
      </c>
      <c r="F269" s="84"/>
      <c r="G269" s="88"/>
      <c r="H269" s="235"/>
    </row>
    <row r="270" spans="1:8" x14ac:dyDescent="0.2">
      <c r="A270" s="26"/>
      <c r="B270" s="252"/>
      <c r="C270" s="26" t="s">
        <v>6249</v>
      </c>
      <c r="D270" s="234" t="s">
        <v>5573</v>
      </c>
      <c r="E270" s="88">
        <v>1588</v>
      </c>
      <c r="F270" s="84"/>
      <c r="G270" s="88"/>
      <c r="H270" s="235"/>
    </row>
    <row r="271" spans="1:8" x14ac:dyDescent="0.2">
      <c r="A271" s="26"/>
      <c r="B271" s="252"/>
      <c r="C271" s="26" t="s">
        <v>2318</v>
      </c>
      <c r="D271" s="234"/>
      <c r="E271" s="31"/>
      <c r="F271" s="216"/>
      <c r="G271" s="31"/>
      <c r="H271" s="217"/>
    </row>
    <row r="272" spans="1:8" x14ac:dyDescent="0.2">
      <c r="A272" s="26" t="s">
        <v>715</v>
      </c>
      <c r="B272" s="252"/>
      <c r="C272" s="214" t="s">
        <v>6123</v>
      </c>
      <c r="D272" s="234" t="s">
        <v>1071</v>
      </c>
      <c r="E272" s="31">
        <v>2811</v>
      </c>
      <c r="F272" s="216"/>
      <c r="G272" s="31"/>
      <c r="H272" s="217"/>
    </row>
    <row r="273" spans="1:8" x14ac:dyDescent="0.2">
      <c r="A273" s="26"/>
      <c r="B273" s="252"/>
      <c r="C273" s="26" t="s">
        <v>6251</v>
      </c>
      <c r="D273" s="234" t="s">
        <v>5573</v>
      </c>
      <c r="E273" s="31">
        <v>1103</v>
      </c>
      <c r="F273" s="216"/>
      <c r="G273" s="31"/>
      <c r="H273" s="217"/>
    </row>
    <row r="274" spans="1:8" x14ac:dyDescent="0.2">
      <c r="A274" s="26"/>
      <c r="B274" s="252"/>
      <c r="C274" s="26" t="s">
        <v>6252</v>
      </c>
      <c r="D274" s="234" t="s">
        <v>653</v>
      </c>
      <c r="E274" s="31">
        <v>760</v>
      </c>
      <c r="F274" s="216"/>
      <c r="G274" s="31"/>
      <c r="H274" s="217"/>
    </row>
    <row r="275" spans="1:8" x14ac:dyDescent="0.2">
      <c r="A275" s="26"/>
      <c r="B275" s="252"/>
      <c r="C275" s="26" t="s">
        <v>2318</v>
      </c>
      <c r="D275" s="234"/>
      <c r="E275" s="218">
        <v>4766</v>
      </c>
      <c r="F275" s="219"/>
      <c r="G275" s="218">
        <v>6174</v>
      </c>
      <c r="H275" s="220">
        <v>77.2</v>
      </c>
    </row>
    <row r="276" spans="1:8" x14ac:dyDescent="0.2">
      <c r="A276" s="26"/>
      <c r="B276" s="252"/>
      <c r="C276" s="26" t="s">
        <v>2318</v>
      </c>
      <c r="D276" s="234"/>
      <c r="E276" s="31"/>
      <c r="F276" s="216"/>
      <c r="G276" s="31"/>
      <c r="H276" s="217"/>
    </row>
    <row r="277" spans="1:8" x14ac:dyDescent="0.2">
      <c r="A277" s="26" t="s">
        <v>2545</v>
      </c>
      <c r="B277" s="252"/>
      <c r="C277" s="214" t="s">
        <v>6003</v>
      </c>
      <c r="D277" s="234" t="s">
        <v>1071</v>
      </c>
      <c r="E277" s="31">
        <v>2557</v>
      </c>
      <c r="F277" s="216"/>
      <c r="G277" s="31"/>
      <c r="H277" s="217"/>
    </row>
    <row r="278" spans="1:8" x14ac:dyDescent="0.2">
      <c r="A278" s="26"/>
      <c r="B278" s="252"/>
      <c r="C278" s="26" t="s">
        <v>6125</v>
      </c>
      <c r="D278" s="234" t="s">
        <v>5573</v>
      </c>
      <c r="E278" s="31">
        <v>1371</v>
      </c>
      <c r="F278" s="216"/>
      <c r="G278" s="31"/>
      <c r="H278" s="217"/>
    </row>
    <row r="279" spans="1:8" x14ac:dyDescent="0.2">
      <c r="A279" s="26"/>
      <c r="B279" s="252"/>
      <c r="C279" s="26" t="s">
        <v>2318</v>
      </c>
      <c r="D279" s="234"/>
      <c r="E279" s="218">
        <v>3976</v>
      </c>
      <c r="F279" s="219"/>
      <c r="G279" s="218">
        <v>5683</v>
      </c>
      <c r="H279" s="220">
        <v>70</v>
      </c>
    </row>
    <row r="280" spans="1:8" x14ac:dyDescent="0.2">
      <c r="A280" s="26"/>
      <c r="B280" s="252"/>
      <c r="C280" s="214"/>
      <c r="D280" s="234"/>
      <c r="E280" s="88"/>
      <c r="F280" s="84"/>
      <c r="G280" s="88"/>
      <c r="H280" s="235"/>
    </row>
    <row r="281" spans="1:8" x14ac:dyDescent="0.2">
      <c r="A281" s="26" t="s">
        <v>1198</v>
      </c>
      <c r="B281" s="252"/>
      <c r="C281" s="214" t="s">
        <v>5711</v>
      </c>
      <c r="D281" s="234" t="s">
        <v>1071</v>
      </c>
      <c r="E281" s="88">
        <v>2490</v>
      </c>
      <c r="F281" s="84"/>
      <c r="G281" s="88"/>
      <c r="H281" s="235"/>
    </row>
    <row r="282" spans="1:8" x14ac:dyDescent="0.2">
      <c r="A282" s="26"/>
      <c r="B282" s="252"/>
      <c r="C282" s="26" t="s">
        <v>6253</v>
      </c>
      <c r="D282" s="234" t="s">
        <v>5573</v>
      </c>
      <c r="E282" s="88">
        <v>679</v>
      </c>
      <c r="F282" s="84"/>
      <c r="G282" s="88"/>
      <c r="H282" s="235"/>
    </row>
    <row r="283" spans="1:8" x14ac:dyDescent="0.2">
      <c r="A283" s="26"/>
      <c r="B283" s="252"/>
      <c r="C283" s="26" t="s">
        <v>6254</v>
      </c>
      <c r="D283" s="234" t="s">
        <v>1072</v>
      </c>
      <c r="E283" s="88">
        <v>413</v>
      </c>
      <c r="F283" s="84"/>
      <c r="G283" s="88"/>
      <c r="H283" s="235"/>
    </row>
    <row r="284" spans="1:8" x14ac:dyDescent="0.2">
      <c r="A284" s="26"/>
      <c r="B284" s="252"/>
      <c r="C284" s="214"/>
      <c r="D284" s="234"/>
      <c r="E284" s="88">
        <v>3712</v>
      </c>
      <c r="F284" s="84"/>
      <c r="G284" s="88">
        <v>5028</v>
      </c>
      <c r="H284" s="235">
        <v>73.8</v>
      </c>
    </row>
    <row r="285" spans="1:8" x14ac:dyDescent="0.2">
      <c r="A285" s="26"/>
      <c r="B285" s="252"/>
      <c r="C285" s="26" t="s">
        <v>2318</v>
      </c>
      <c r="D285" s="234"/>
      <c r="E285" s="31"/>
      <c r="F285" s="216"/>
      <c r="G285" s="31"/>
      <c r="H285" s="217"/>
    </row>
    <row r="286" spans="1:8" x14ac:dyDescent="0.2">
      <c r="A286" s="26"/>
      <c r="B286" s="252"/>
      <c r="C286" s="26"/>
      <c r="D286" s="234"/>
      <c r="E286" s="88"/>
      <c r="F286" s="84"/>
      <c r="G286" s="88"/>
      <c r="H286" s="235"/>
    </row>
    <row r="287" spans="1:8" x14ac:dyDescent="0.2">
      <c r="A287" s="26" t="s">
        <v>1557</v>
      </c>
      <c r="B287" s="252">
        <v>1</v>
      </c>
      <c r="C287" s="26" t="s">
        <v>5874</v>
      </c>
      <c r="D287" s="234" t="s">
        <v>1071</v>
      </c>
      <c r="E287" s="31">
        <v>1874</v>
      </c>
      <c r="F287" s="216"/>
      <c r="G287" s="31"/>
      <c r="H287" s="217"/>
    </row>
    <row r="288" spans="1:8" x14ac:dyDescent="0.2">
      <c r="A288" s="26"/>
      <c r="B288" s="252"/>
      <c r="C288" s="26" t="s">
        <v>6255</v>
      </c>
      <c r="D288" s="234" t="s">
        <v>5573</v>
      </c>
      <c r="E288" s="31">
        <v>1306</v>
      </c>
      <c r="F288" s="216"/>
      <c r="G288" s="31"/>
      <c r="H288" s="217"/>
    </row>
    <row r="289" spans="1:8" x14ac:dyDescent="0.2">
      <c r="A289" s="26"/>
      <c r="B289" s="252"/>
      <c r="C289" s="26" t="s">
        <v>6256</v>
      </c>
      <c r="D289" s="234" t="s">
        <v>5578</v>
      </c>
      <c r="E289" s="31">
        <v>653</v>
      </c>
      <c r="F289" s="216"/>
      <c r="G289" s="31"/>
      <c r="H289" s="217"/>
    </row>
    <row r="290" spans="1:8" x14ac:dyDescent="0.2">
      <c r="A290" s="26"/>
      <c r="B290" s="252"/>
      <c r="C290" s="26" t="s">
        <v>2318</v>
      </c>
      <c r="D290" s="234"/>
      <c r="E290" s="218">
        <v>3931</v>
      </c>
      <c r="F290" s="219"/>
      <c r="G290" s="218">
        <v>6072</v>
      </c>
      <c r="H290" s="220">
        <v>64.7</v>
      </c>
    </row>
    <row r="291" spans="1:8" x14ac:dyDescent="0.2">
      <c r="A291" s="26"/>
      <c r="B291" s="252"/>
      <c r="C291" s="26"/>
      <c r="D291" s="234"/>
      <c r="E291" s="88"/>
      <c r="F291" s="84"/>
      <c r="G291" s="88"/>
      <c r="H291" s="235"/>
    </row>
    <row r="292" spans="1:8" x14ac:dyDescent="0.2">
      <c r="A292" s="26"/>
      <c r="B292" s="252">
        <v>2</v>
      </c>
      <c r="C292" s="214" t="s">
        <v>5874</v>
      </c>
      <c r="D292" s="234" t="s">
        <v>1071</v>
      </c>
      <c r="E292" s="88">
        <v>1923</v>
      </c>
      <c r="F292" s="84"/>
      <c r="G292" s="88"/>
      <c r="H292" s="235"/>
    </row>
    <row r="293" spans="1:8" x14ac:dyDescent="0.2">
      <c r="A293" s="26"/>
      <c r="B293" s="252"/>
      <c r="C293" s="26" t="s">
        <v>6255</v>
      </c>
      <c r="D293" s="234" t="s">
        <v>5573</v>
      </c>
      <c r="E293" s="88">
        <v>1493</v>
      </c>
      <c r="F293" s="84"/>
      <c r="G293" s="88"/>
      <c r="H293" s="235"/>
    </row>
    <row r="294" spans="1:8" x14ac:dyDescent="0.2">
      <c r="A294" s="26"/>
      <c r="B294" s="252"/>
      <c r="C294" s="26"/>
      <c r="D294" s="234"/>
      <c r="E294" s="88"/>
      <c r="F294" s="84"/>
      <c r="G294" s="88"/>
      <c r="H294" s="235"/>
    </row>
    <row r="295" spans="1:8" x14ac:dyDescent="0.2">
      <c r="A295" s="26" t="s">
        <v>1309</v>
      </c>
      <c r="B295" s="252"/>
      <c r="C295" s="26" t="s">
        <v>6007</v>
      </c>
      <c r="D295" s="234" t="s">
        <v>1071</v>
      </c>
      <c r="E295" s="31">
        <v>2239</v>
      </c>
      <c r="F295" s="216"/>
      <c r="G295" s="31"/>
      <c r="H295" s="217"/>
    </row>
    <row r="296" spans="1:8" x14ac:dyDescent="0.2">
      <c r="A296" s="26"/>
      <c r="B296" s="252"/>
      <c r="C296" s="26" t="s">
        <v>6257</v>
      </c>
      <c r="D296" s="234" t="s">
        <v>5578</v>
      </c>
      <c r="E296" s="31">
        <v>999</v>
      </c>
      <c r="F296" s="216"/>
      <c r="G296" s="31"/>
      <c r="H296" s="217"/>
    </row>
    <row r="297" spans="1:8" x14ac:dyDescent="0.2">
      <c r="A297" s="26"/>
      <c r="B297" s="252"/>
      <c r="C297" s="26" t="s">
        <v>6258</v>
      </c>
      <c r="D297" s="234" t="s">
        <v>5573</v>
      </c>
      <c r="E297" s="31">
        <v>991</v>
      </c>
      <c r="F297" s="216"/>
      <c r="G297" s="31"/>
      <c r="H297" s="217"/>
    </row>
    <row r="298" spans="1:8" x14ac:dyDescent="0.2">
      <c r="A298" s="26"/>
      <c r="B298" s="252"/>
      <c r="C298" s="26" t="s">
        <v>2318</v>
      </c>
      <c r="D298" s="234"/>
      <c r="E298" s="218">
        <v>4269</v>
      </c>
      <c r="F298" s="219"/>
      <c r="G298" s="218">
        <v>6260</v>
      </c>
      <c r="H298" s="220">
        <v>68.2</v>
      </c>
    </row>
    <row r="299" spans="1:8" x14ac:dyDescent="0.2">
      <c r="A299" s="26"/>
      <c r="B299" s="252"/>
      <c r="C299" s="26" t="s">
        <v>2318</v>
      </c>
      <c r="D299" s="234"/>
      <c r="E299" s="31"/>
      <c r="F299" s="216"/>
      <c r="G299" s="31"/>
      <c r="H299" s="217"/>
    </row>
    <row r="300" spans="1:8" x14ac:dyDescent="0.2">
      <c r="A300" s="26" t="s">
        <v>2564</v>
      </c>
      <c r="B300" s="252"/>
      <c r="C300" s="214" t="s">
        <v>6012</v>
      </c>
      <c r="D300" s="234" t="s">
        <v>1071</v>
      </c>
      <c r="E300" s="31">
        <v>2939</v>
      </c>
      <c r="F300" s="216"/>
      <c r="G300" s="31"/>
      <c r="H300" s="217"/>
    </row>
    <row r="301" spans="1:8" x14ac:dyDescent="0.2">
      <c r="A301" s="26"/>
      <c r="B301" s="252"/>
      <c r="C301" s="26" t="s">
        <v>6259</v>
      </c>
      <c r="D301" s="234" t="s">
        <v>5573</v>
      </c>
      <c r="E301" s="31">
        <v>1300</v>
      </c>
      <c r="F301" s="216"/>
      <c r="G301" s="31"/>
      <c r="H301" s="217"/>
    </row>
    <row r="302" spans="1:8" x14ac:dyDescent="0.2">
      <c r="A302" s="26"/>
      <c r="B302" s="252"/>
      <c r="C302" s="26" t="s">
        <v>6260</v>
      </c>
      <c r="D302" s="234" t="s">
        <v>5578</v>
      </c>
      <c r="E302" s="31">
        <v>234</v>
      </c>
      <c r="F302" s="216"/>
      <c r="G302" s="31"/>
      <c r="H302" s="217"/>
    </row>
    <row r="303" spans="1:8" x14ac:dyDescent="0.2">
      <c r="A303" s="26"/>
      <c r="B303" s="252"/>
      <c r="C303" s="26" t="s">
        <v>2318</v>
      </c>
      <c r="D303" s="234"/>
      <c r="E303" s="218">
        <v>4565</v>
      </c>
      <c r="F303" s="219"/>
      <c r="G303" s="218">
        <v>6448</v>
      </c>
      <c r="H303" s="220">
        <v>70.8</v>
      </c>
    </row>
    <row r="304" spans="1:8" x14ac:dyDescent="0.2">
      <c r="A304" s="26"/>
      <c r="B304" s="252"/>
      <c r="C304" s="26"/>
      <c r="D304" s="234"/>
      <c r="E304" s="88"/>
      <c r="F304" s="84"/>
      <c r="G304" s="88"/>
      <c r="H304" s="235"/>
    </row>
    <row r="305" spans="1:8" x14ac:dyDescent="0.2">
      <c r="A305" s="26" t="s">
        <v>1199</v>
      </c>
      <c r="B305" s="252"/>
      <c r="C305" s="214" t="s">
        <v>6266</v>
      </c>
      <c r="D305" s="234" t="s">
        <v>1071</v>
      </c>
      <c r="E305" s="31">
        <v>1621</v>
      </c>
      <c r="F305" s="216"/>
      <c r="G305" s="31"/>
      <c r="H305" s="217"/>
    </row>
    <row r="306" spans="1:8" x14ac:dyDescent="0.2">
      <c r="A306" s="26"/>
      <c r="B306" s="252"/>
      <c r="C306" s="26" t="s">
        <v>6265</v>
      </c>
      <c r="D306" s="234" t="s">
        <v>653</v>
      </c>
      <c r="E306" s="31">
        <v>629</v>
      </c>
      <c r="F306" s="216"/>
      <c r="G306" s="31"/>
      <c r="H306" s="217"/>
    </row>
    <row r="307" spans="1:8" x14ac:dyDescent="0.2">
      <c r="A307" s="26"/>
      <c r="B307" s="252"/>
      <c r="C307" s="26" t="s">
        <v>6261</v>
      </c>
      <c r="D307" s="234" t="s">
        <v>6263</v>
      </c>
      <c r="E307" s="31">
        <v>480</v>
      </c>
      <c r="F307" s="216"/>
      <c r="G307" s="31"/>
      <c r="H307" s="217"/>
    </row>
    <row r="308" spans="1:8" x14ac:dyDescent="0.2">
      <c r="A308" s="26"/>
      <c r="B308" s="252"/>
      <c r="C308" s="26" t="s">
        <v>6262</v>
      </c>
      <c r="D308" s="234" t="s">
        <v>6264</v>
      </c>
      <c r="E308" s="31">
        <v>415</v>
      </c>
      <c r="F308" s="216"/>
      <c r="G308" s="31"/>
      <c r="H308" s="217"/>
    </row>
    <row r="309" spans="1:8" x14ac:dyDescent="0.2">
      <c r="A309" s="26"/>
      <c r="B309" s="252"/>
      <c r="C309" s="26" t="s">
        <v>2318</v>
      </c>
      <c r="D309" s="234"/>
      <c r="E309" s="218">
        <v>3209</v>
      </c>
      <c r="F309" s="219"/>
      <c r="G309" s="218">
        <v>4273</v>
      </c>
      <c r="H309" s="220">
        <v>75.099999999999994</v>
      </c>
    </row>
    <row r="310" spans="1:8" x14ac:dyDescent="0.2">
      <c r="A310" s="26"/>
      <c r="B310" s="252"/>
      <c r="C310" s="26"/>
      <c r="D310" s="234"/>
      <c r="E310" s="88"/>
      <c r="F310" s="84"/>
      <c r="G310" s="88"/>
      <c r="H310" s="235"/>
    </row>
    <row r="311" spans="1:8" x14ac:dyDescent="0.2">
      <c r="A311" s="26" t="s">
        <v>1311</v>
      </c>
      <c r="B311" s="252"/>
      <c r="C311" s="214" t="s">
        <v>6267</v>
      </c>
      <c r="D311" s="234" t="s">
        <v>1071</v>
      </c>
      <c r="E311" s="31">
        <v>2700</v>
      </c>
      <c r="F311" s="216"/>
      <c r="G311" s="31"/>
      <c r="H311" s="217"/>
    </row>
    <row r="312" spans="1:8" x14ac:dyDescent="0.2">
      <c r="A312" s="26"/>
      <c r="B312" s="252"/>
      <c r="C312" s="26" t="s">
        <v>6268</v>
      </c>
      <c r="D312" s="234" t="s">
        <v>5573</v>
      </c>
      <c r="E312" s="31">
        <v>1259</v>
      </c>
      <c r="F312" s="216"/>
      <c r="G312" s="31"/>
      <c r="H312" s="217"/>
    </row>
    <row r="313" spans="1:8" x14ac:dyDescent="0.2">
      <c r="A313" s="26"/>
      <c r="B313" s="252"/>
      <c r="C313" s="26" t="s">
        <v>1026</v>
      </c>
      <c r="D313" s="234" t="s">
        <v>653</v>
      </c>
      <c r="E313" s="31">
        <v>1007</v>
      </c>
      <c r="F313" s="216"/>
      <c r="G313" s="31"/>
      <c r="H313" s="217"/>
    </row>
    <row r="314" spans="1:8" x14ac:dyDescent="0.2">
      <c r="A314" s="26"/>
      <c r="B314" s="252"/>
      <c r="C314" s="26" t="s">
        <v>6269</v>
      </c>
      <c r="D314" s="234" t="s">
        <v>5578</v>
      </c>
      <c r="E314" s="31">
        <v>164</v>
      </c>
      <c r="F314" s="216"/>
      <c r="G314" s="31"/>
      <c r="H314" s="217"/>
    </row>
    <row r="315" spans="1:8" x14ac:dyDescent="0.2">
      <c r="A315" s="26"/>
      <c r="B315" s="252"/>
      <c r="C315" s="26" t="s">
        <v>2318</v>
      </c>
      <c r="D315" s="234"/>
      <c r="E315" s="218">
        <v>5245</v>
      </c>
      <c r="F315" s="219"/>
      <c r="G315" s="218">
        <v>6827</v>
      </c>
      <c r="H315" s="220">
        <v>62.2</v>
      </c>
    </row>
    <row r="316" spans="1:8" x14ac:dyDescent="0.2">
      <c r="A316" s="26"/>
      <c r="B316" s="252"/>
      <c r="C316" s="26" t="s">
        <v>2318</v>
      </c>
      <c r="D316" s="234"/>
      <c r="E316" s="31"/>
      <c r="F316" s="216"/>
      <c r="G316" s="31"/>
      <c r="H316" s="217"/>
    </row>
    <row r="317" spans="1:8" x14ac:dyDescent="0.2">
      <c r="A317" s="26" t="s">
        <v>5728</v>
      </c>
      <c r="B317" s="252">
        <v>1</v>
      </c>
      <c r="C317" s="26" t="s">
        <v>5276</v>
      </c>
      <c r="D317" s="234" t="s">
        <v>1071</v>
      </c>
      <c r="E317" s="31">
        <v>1771</v>
      </c>
      <c r="F317" s="216"/>
      <c r="G317" s="31"/>
      <c r="H317" s="217"/>
    </row>
    <row r="318" spans="1:8" x14ac:dyDescent="0.2">
      <c r="A318" s="26"/>
      <c r="B318" s="252"/>
      <c r="C318" s="26" t="s">
        <v>6270</v>
      </c>
      <c r="D318" s="234" t="s">
        <v>5573</v>
      </c>
      <c r="E318" s="31">
        <v>1328</v>
      </c>
      <c r="F318" s="216"/>
      <c r="G318" s="31"/>
      <c r="H318" s="217"/>
    </row>
    <row r="319" spans="1:8" x14ac:dyDescent="0.2">
      <c r="A319" s="26"/>
      <c r="B319" s="252"/>
      <c r="C319" s="26" t="s">
        <v>6271</v>
      </c>
      <c r="D319" s="234" t="s">
        <v>5578</v>
      </c>
      <c r="E319" s="31">
        <v>899</v>
      </c>
      <c r="F319" s="216"/>
      <c r="G319" s="31"/>
      <c r="H319" s="217"/>
    </row>
    <row r="320" spans="1:8" x14ac:dyDescent="0.2">
      <c r="A320" s="26"/>
      <c r="B320" s="252"/>
      <c r="C320" s="26" t="s">
        <v>2318</v>
      </c>
      <c r="D320" s="234"/>
      <c r="E320" s="218">
        <v>3998</v>
      </c>
      <c r="F320" s="219"/>
      <c r="G320" s="218">
        <v>5867</v>
      </c>
      <c r="H320" s="220">
        <v>68.099999999999994</v>
      </c>
    </row>
    <row r="321" spans="1:8" x14ac:dyDescent="0.2">
      <c r="A321" s="26"/>
      <c r="B321" s="252"/>
      <c r="C321" s="26"/>
      <c r="D321" s="234"/>
      <c r="E321" s="88"/>
      <c r="F321" s="84"/>
      <c r="G321" s="88"/>
      <c r="H321" s="235"/>
    </row>
    <row r="322" spans="1:8" x14ac:dyDescent="0.2">
      <c r="A322" s="26"/>
      <c r="B322" s="252">
        <v>2</v>
      </c>
      <c r="C322" s="214" t="s">
        <v>5276</v>
      </c>
      <c r="D322" s="234" t="s">
        <v>1071</v>
      </c>
      <c r="E322" s="88">
        <v>1844</v>
      </c>
      <c r="F322" s="84"/>
      <c r="G322" s="88"/>
      <c r="H322" s="235"/>
    </row>
    <row r="323" spans="1:8" x14ac:dyDescent="0.2">
      <c r="A323" s="26"/>
      <c r="B323" s="252"/>
      <c r="C323" s="26" t="s">
        <v>6270</v>
      </c>
      <c r="D323" s="234" t="s">
        <v>5573</v>
      </c>
      <c r="E323" s="88">
        <v>1448</v>
      </c>
      <c r="F323" s="84"/>
      <c r="G323" s="88"/>
      <c r="H323" s="235"/>
    </row>
    <row r="324" spans="1:8" x14ac:dyDescent="0.2">
      <c r="A324" s="26"/>
      <c r="B324" s="252"/>
      <c r="C324" s="234"/>
      <c r="D324" s="234"/>
      <c r="E324" s="223"/>
      <c r="F324" s="217"/>
      <c r="G324" s="223"/>
      <c r="H324" s="217"/>
    </row>
    <row r="325" spans="1:8" x14ac:dyDescent="0.2">
      <c r="A325" s="145" t="s">
        <v>1131</v>
      </c>
      <c r="B325" s="257"/>
      <c r="C325" s="145"/>
      <c r="D325" s="146"/>
      <c r="E325" s="147">
        <v>291908</v>
      </c>
      <c r="F325" s="148"/>
      <c r="G325" s="147">
        <v>421501</v>
      </c>
      <c r="H325" s="148">
        <v>69.2</v>
      </c>
    </row>
    <row r="326" spans="1:8" x14ac:dyDescent="0.2">
      <c r="A326" s="77"/>
      <c r="B326" s="258"/>
      <c r="C326" s="77"/>
      <c r="D326" s="78"/>
      <c r="E326" s="88"/>
      <c r="F326" s="84"/>
      <c r="G326" s="88"/>
      <c r="H326" s="84"/>
    </row>
    <row r="327" spans="1:8" x14ac:dyDescent="0.2">
      <c r="A327" s="227" t="s">
        <v>1289</v>
      </c>
      <c r="B327" s="259"/>
      <c r="C327" s="228"/>
      <c r="D327" s="228"/>
      <c r="E327" s="229"/>
      <c r="F327" s="230"/>
      <c r="G327" s="231"/>
      <c r="H327" s="232"/>
    </row>
    <row r="328" spans="1:8" x14ac:dyDescent="0.2">
      <c r="A328" s="276" t="s">
        <v>2934</v>
      </c>
      <c r="B328" s="276"/>
      <c r="C328" s="276"/>
      <c r="D328" s="276"/>
      <c r="E328" s="276"/>
      <c r="F328" s="276"/>
      <c r="G328" s="276"/>
      <c r="H328" s="276"/>
    </row>
    <row r="329" spans="1:8" x14ac:dyDescent="0.2">
      <c r="A329" s="276" t="s">
        <v>4764</v>
      </c>
      <c r="B329" s="276"/>
      <c r="C329" s="276"/>
      <c r="D329" s="276"/>
      <c r="E329" s="276"/>
      <c r="F329" s="276"/>
      <c r="G329" s="276"/>
      <c r="H329" s="276"/>
    </row>
    <row r="330" spans="1:8" x14ac:dyDescent="0.2">
      <c r="A330" s="26" t="s">
        <v>4774</v>
      </c>
      <c r="B330" s="252"/>
      <c r="C330" s="26"/>
      <c r="D330" s="234"/>
      <c r="E330" s="31"/>
      <c r="F330" s="216"/>
      <c r="G330" s="31"/>
      <c r="H330" s="217"/>
    </row>
  </sheetData>
  <mergeCells count="4">
    <mergeCell ref="A1:H1"/>
    <mergeCell ref="F2:H2"/>
    <mergeCell ref="A328:H328"/>
    <mergeCell ref="A329:H32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9"/>
  <sheetViews>
    <sheetView topLeftCell="A285" workbookViewId="0">
      <selection activeCell="I316" sqref="I316"/>
    </sheetView>
  </sheetViews>
  <sheetFormatPr defaultRowHeight="12.75" x14ac:dyDescent="0.2"/>
  <cols>
    <col min="1" max="1" width="17.28515625" style="209" customWidth="1"/>
    <col min="2" max="2" width="4.7109375" style="256" customWidth="1"/>
    <col min="3" max="3" width="23.140625" style="209" bestFit="1" customWidth="1"/>
    <col min="4" max="4" width="23.5703125" style="209" customWidth="1"/>
    <col min="5" max="5" width="12.85546875" style="209" customWidth="1"/>
    <col min="6" max="6" width="9.140625" style="209"/>
    <col min="7" max="7" width="11.28515625" style="209" bestFit="1" customWidth="1"/>
    <col min="8" max="16384" width="9.140625" style="209"/>
  </cols>
  <sheetData>
    <row r="1" spans="1:10" ht="15.75" x14ac:dyDescent="0.2">
      <c r="A1" s="270" t="s">
        <v>2332</v>
      </c>
      <c r="B1" s="270"/>
      <c r="C1" s="270"/>
      <c r="D1" s="270"/>
      <c r="E1" s="270"/>
      <c r="F1" s="270"/>
      <c r="G1" s="270"/>
      <c r="H1" s="270"/>
    </row>
    <row r="2" spans="1:10" ht="13.5" thickBot="1" x14ac:dyDescent="0.25">
      <c r="A2" s="210" t="s">
        <v>4782</v>
      </c>
      <c r="B2" s="253"/>
      <c r="C2" s="210" t="s">
        <v>6019</v>
      </c>
      <c r="D2" s="211" t="s">
        <v>6020</v>
      </c>
      <c r="E2" s="212"/>
      <c r="F2" s="275" t="s">
        <v>2933</v>
      </c>
      <c r="G2" s="275"/>
      <c r="H2" s="275"/>
    </row>
    <row r="3" spans="1:10" ht="39" thickBot="1" x14ac:dyDescent="0.25">
      <c r="A3" s="58" t="s">
        <v>1284</v>
      </c>
      <c r="B3" s="254"/>
      <c r="C3" s="59" t="s">
        <v>1300</v>
      </c>
      <c r="D3" s="59" t="s">
        <v>2652</v>
      </c>
      <c r="E3" s="73" t="s">
        <v>4765</v>
      </c>
      <c r="F3" s="74" t="s">
        <v>1286</v>
      </c>
      <c r="G3" s="73" t="s">
        <v>1287</v>
      </c>
      <c r="H3" s="74" t="s">
        <v>4766</v>
      </c>
      <c r="J3" s="213"/>
    </row>
    <row r="4" spans="1:10" x14ac:dyDescent="0.2">
      <c r="A4" s="247"/>
      <c r="B4" s="255"/>
      <c r="C4" s="248"/>
      <c r="D4" s="248"/>
      <c r="E4" s="249"/>
      <c r="F4" s="250"/>
      <c r="G4" s="249"/>
      <c r="H4" s="250"/>
      <c r="J4" s="213"/>
    </row>
    <row r="5" spans="1:10" x14ac:dyDescent="0.2">
      <c r="A5" s="60"/>
      <c r="B5" s="60"/>
      <c r="C5" s="61"/>
      <c r="D5" s="66"/>
      <c r="E5" s="87"/>
      <c r="F5" s="80"/>
      <c r="G5" s="87"/>
      <c r="H5" s="80"/>
    </row>
    <row r="6" spans="1:10" x14ac:dyDescent="0.2">
      <c r="A6" s="152" t="s">
        <v>5571</v>
      </c>
      <c r="B6" s="243"/>
      <c r="C6" s="244" t="s">
        <v>5731</v>
      </c>
      <c r="D6" s="242" t="s">
        <v>1071</v>
      </c>
      <c r="E6" s="245">
        <v>2332</v>
      </c>
      <c r="F6" s="246"/>
      <c r="G6" s="245"/>
      <c r="H6" s="246"/>
    </row>
    <row r="7" spans="1:10" x14ac:dyDescent="0.2">
      <c r="A7" s="152"/>
      <c r="B7" s="243"/>
      <c r="C7" s="241" t="s">
        <v>6021</v>
      </c>
      <c r="D7" s="242" t="s">
        <v>1072</v>
      </c>
      <c r="E7" s="245">
        <v>1254</v>
      </c>
      <c r="F7" s="246"/>
      <c r="G7" s="245"/>
      <c r="H7" s="246"/>
    </row>
    <row r="8" spans="1:10" x14ac:dyDescent="0.2">
      <c r="A8" s="152"/>
      <c r="B8" s="243"/>
      <c r="C8" s="241" t="s">
        <v>6022</v>
      </c>
      <c r="D8" s="242" t="s">
        <v>5573</v>
      </c>
      <c r="E8" s="245">
        <v>641</v>
      </c>
      <c r="F8" s="246"/>
      <c r="G8" s="245"/>
      <c r="H8" s="246"/>
    </row>
    <row r="9" spans="1:10" x14ac:dyDescent="0.2">
      <c r="A9" s="152"/>
      <c r="B9" s="243"/>
      <c r="C9" s="241"/>
      <c r="D9" s="242"/>
      <c r="E9" s="245">
        <v>4510</v>
      </c>
      <c r="F9" s="246"/>
      <c r="G9" s="245">
        <v>5744</v>
      </c>
      <c r="H9" s="246">
        <v>78.5</v>
      </c>
    </row>
    <row r="10" spans="1:10" x14ac:dyDescent="0.2">
      <c r="A10" s="60"/>
      <c r="B10" s="60"/>
      <c r="C10" s="61"/>
      <c r="D10" s="66"/>
      <c r="E10" s="87"/>
      <c r="F10" s="80"/>
      <c r="G10" s="87"/>
      <c r="H10" s="80"/>
    </row>
    <row r="11" spans="1:10" x14ac:dyDescent="0.2">
      <c r="A11" s="242" t="s">
        <v>3267</v>
      </c>
      <c r="B11" s="243"/>
      <c r="C11" s="244" t="s">
        <v>5893</v>
      </c>
      <c r="D11" s="242" t="s">
        <v>1071</v>
      </c>
      <c r="E11" s="245">
        <v>2034</v>
      </c>
      <c r="F11" s="246"/>
      <c r="G11" s="245"/>
      <c r="H11" s="246"/>
    </row>
    <row r="12" spans="1:10" x14ac:dyDescent="0.2">
      <c r="A12" s="243"/>
      <c r="B12" s="243"/>
      <c r="C12" s="241" t="s">
        <v>6023</v>
      </c>
      <c r="D12" s="234" t="s">
        <v>5573</v>
      </c>
      <c r="E12" s="245">
        <v>1190</v>
      </c>
      <c r="F12" s="246"/>
      <c r="G12" s="245"/>
      <c r="H12" s="246"/>
    </row>
    <row r="13" spans="1:10" x14ac:dyDescent="0.2">
      <c r="A13" s="243"/>
      <c r="B13" s="243"/>
      <c r="C13" s="241" t="s">
        <v>6024</v>
      </c>
      <c r="D13" s="234" t="s">
        <v>1072</v>
      </c>
      <c r="E13" s="245">
        <v>651</v>
      </c>
      <c r="F13" s="246"/>
      <c r="G13" s="245"/>
      <c r="H13" s="246"/>
    </row>
    <row r="14" spans="1:10" x14ac:dyDescent="0.2">
      <c r="A14" s="243"/>
      <c r="B14" s="243"/>
      <c r="C14" s="241" t="s">
        <v>2318</v>
      </c>
      <c r="D14" s="242"/>
      <c r="E14" s="245">
        <v>4156</v>
      </c>
      <c r="F14" s="246"/>
      <c r="G14" s="245">
        <v>7205</v>
      </c>
      <c r="H14" s="246">
        <v>57.7</v>
      </c>
    </row>
    <row r="15" spans="1:10" x14ac:dyDescent="0.2">
      <c r="A15" s="237"/>
      <c r="B15" s="237"/>
      <c r="C15" s="76"/>
      <c r="D15" s="238"/>
      <c r="E15" s="239"/>
      <c r="F15" s="240"/>
      <c r="G15" s="239"/>
      <c r="H15" s="240"/>
    </row>
    <row r="16" spans="1:10" x14ac:dyDescent="0.2">
      <c r="A16" s="26" t="s">
        <v>2266</v>
      </c>
      <c r="B16" s="251"/>
      <c r="C16" s="214" t="s">
        <v>6025</v>
      </c>
      <c r="D16" s="234" t="s">
        <v>1071</v>
      </c>
      <c r="E16" s="31">
        <v>2374</v>
      </c>
      <c r="F16" s="216"/>
      <c r="G16" s="31"/>
      <c r="H16" s="217"/>
    </row>
    <row r="17" spans="1:8" x14ac:dyDescent="0.2">
      <c r="A17" s="26"/>
      <c r="B17" s="252"/>
      <c r="C17" s="26" t="s">
        <v>6026</v>
      </c>
      <c r="D17" s="234" t="s">
        <v>5573</v>
      </c>
      <c r="E17" s="31">
        <v>1226</v>
      </c>
      <c r="F17" s="216"/>
      <c r="G17" s="31"/>
      <c r="H17" s="217"/>
    </row>
    <row r="18" spans="1:8" x14ac:dyDescent="0.2">
      <c r="A18" s="26"/>
      <c r="B18" s="252"/>
      <c r="C18" s="26" t="s">
        <v>6027</v>
      </c>
      <c r="D18" s="234" t="s">
        <v>1072</v>
      </c>
      <c r="E18" s="31">
        <v>958</v>
      </c>
      <c r="F18" s="216"/>
      <c r="G18" s="31"/>
      <c r="H18" s="217"/>
    </row>
    <row r="19" spans="1:8" x14ac:dyDescent="0.2">
      <c r="A19" s="26"/>
      <c r="B19" s="252"/>
      <c r="C19" s="26"/>
      <c r="D19" s="234"/>
      <c r="E19" s="218">
        <v>4809</v>
      </c>
      <c r="F19" s="219"/>
      <c r="G19" s="218">
        <v>8148</v>
      </c>
      <c r="H19" s="220">
        <v>59</v>
      </c>
    </row>
    <row r="20" spans="1:8" x14ac:dyDescent="0.2">
      <c r="A20" s="26"/>
      <c r="B20" s="252"/>
      <c r="C20" s="26" t="s">
        <v>2318</v>
      </c>
      <c r="D20" s="234"/>
      <c r="E20" s="31"/>
      <c r="F20" s="216"/>
      <c r="G20" s="31"/>
      <c r="H20" s="217"/>
    </row>
    <row r="21" spans="1:8" x14ac:dyDescent="0.2">
      <c r="A21" s="26" t="s">
        <v>1008</v>
      </c>
      <c r="B21" s="252">
        <v>1</v>
      </c>
      <c r="C21" s="26" t="s">
        <v>5764</v>
      </c>
      <c r="D21" s="234" t="s">
        <v>5900</v>
      </c>
      <c r="E21" s="31">
        <v>1658</v>
      </c>
      <c r="F21" s="216"/>
      <c r="G21" s="31"/>
      <c r="H21" s="217"/>
    </row>
    <row r="22" spans="1:8" x14ac:dyDescent="0.2">
      <c r="A22" s="26"/>
      <c r="B22" s="252"/>
      <c r="C22" s="26" t="s">
        <v>6028</v>
      </c>
      <c r="D22" s="234" t="s">
        <v>6030</v>
      </c>
      <c r="E22" s="31">
        <v>1246</v>
      </c>
      <c r="F22" s="216"/>
      <c r="G22" s="31"/>
      <c r="H22" s="217"/>
    </row>
    <row r="23" spans="1:8" x14ac:dyDescent="0.2">
      <c r="A23" s="26"/>
      <c r="B23" s="252"/>
      <c r="C23" s="26" t="s">
        <v>6029</v>
      </c>
      <c r="D23" s="234" t="s">
        <v>1071</v>
      </c>
      <c r="E23" s="31">
        <v>1084</v>
      </c>
      <c r="F23" s="216"/>
      <c r="G23" s="31"/>
      <c r="H23" s="217"/>
    </row>
    <row r="24" spans="1:8" x14ac:dyDescent="0.2">
      <c r="A24" s="26"/>
      <c r="B24" s="252"/>
      <c r="C24" s="26" t="s">
        <v>2318</v>
      </c>
      <c r="D24" s="234"/>
      <c r="E24" s="218">
        <v>4279</v>
      </c>
      <c r="F24" s="219"/>
      <c r="G24" s="218">
        <v>7356</v>
      </c>
      <c r="H24" s="220">
        <v>58.2</v>
      </c>
    </row>
    <row r="25" spans="1:8" x14ac:dyDescent="0.2">
      <c r="A25" s="26"/>
      <c r="B25" s="252"/>
      <c r="C25" s="26"/>
      <c r="D25" s="234"/>
      <c r="E25" s="88"/>
      <c r="F25" s="84"/>
      <c r="G25" s="88"/>
      <c r="H25" s="235"/>
    </row>
    <row r="26" spans="1:8" x14ac:dyDescent="0.2">
      <c r="A26" s="26"/>
      <c r="B26" s="252">
        <v>2</v>
      </c>
      <c r="C26" s="214" t="s">
        <v>5764</v>
      </c>
      <c r="D26" s="234" t="s">
        <v>5900</v>
      </c>
      <c r="E26" s="88">
        <v>1964</v>
      </c>
      <c r="F26" s="84"/>
      <c r="G26" s="88"/>
      <c r="H26" s="235"/>
    </row>
    <row r="27" spans="1:8" x14ac:dyDescent="0.2">
      <c r="A27" s="26"/>
      <c r="B27" s="252"/>
      <c r="C27" s="26" t="s">
        <v>6028</v>
      </c>
      <c r="D27" s="234" t="s">
        <v>6030</v>
      </c>
      <c r="E27" s="88">
        <v>1465</v>
      </c>
      <c r="F27" s="84"/>
      <c r="G27" s="88"/>
      <c r="H27" s="235"/>
    </row>
    <row r="28" spans="1:8" x14ac:dyDescent="0.2">
      <c r="A28" s="26"/>
      <c r="B28" s="252"/>
      <c r="C28" s="26" t="s">
        <v>2318</v>
      </c>
      <c r="D28" s="234"/>
      <c r="E28" s="31"/>
      <c r="F28" s="216"/>
      <c r="G28" s="31"/>
      <c r="H28" s="217"/>
    </row>
    <row r="29" spans="1:8" x14ac:dyDescent="0.2">
      <c r="A29" s="26" t="s">
        <v>1923</v>
      </c>
      <c r="B29" s="252">
        <v>1</v>
      </c>
      <c r="C29" s="26" t="s">
        <v>5295</v>
      </c>
      <c r="D29" s="234" t="s">
        <v>1071</v>
      </c>
      <c r="E29" s="31">
        <v>1992</v>
      </c>
      <c r="F29" s="216"/>
      <c r="G29" s="31"/>
      <c r="H29" s="217"/>
    </row>
    <row r="30" spans="1:8" x14ac:dyDescent="0.2">
      <c r="A30" s="26"/>
      <c r="B30" s="252"/>
      <c r="C30" s="26" t="s">
        <v>6031</v>
      </c>
      <c r="D30" s="234" t="s">
        <v>1072</v>
      </c>
      <c r="E30" s="31">
        <v>1579</v>
      </c>
      <c r="F30" s="216"/>
      <c r="G30" s="31"/>
      <c r="H30" s="217"/>
    </row>
    <row r="31" spans="1:8" x14ac:dyDescent="0.2">
      <c r="A31" s="26"/>
      <c r="B31" s="252"/>
      <c r="C31" s="26" t="s">
        <v>6032</v>
      </c>
      <c r="D31" s="234" t="s">
        <v>5573</v>
      </c>
      <c r="E31" s="31">
        <v>1282</v>
      </c>
      <c r="F31" s="216"/>
      <c r="G31" s="31"/>
      <c r="H31" s="217"/>
    </row>
    <row r="32" spans="1:8" x14ac:dyDescent="0.2">
      <c r="A32" s="26"/>
      <c r="B32" s="252"/>
      <c r="C32" s="26" t="s">
        <v>2318</v>
      </c>
      <c r="D32" s="234"/>
      <c r="E32" s="218">
        <v>4002</v>
      </c>
      <c r="F32" s="219"/>
      <c r="G32" s="218">
        <v>5935</v>
      </c>
      <c r="H32" s="220">
        <v>67.400000000000006</v>
      </c>
    </row>
    <row r="33" spans="1:9" x14ac:dyDescent="0.2">
      <c r="A33" s="26"/>
      <c r="B33" s="252"/>
      <c r="C33" s="26"/>
      <c r="D33" s="234"/>
      <c r="E33" s="88"/>
      <c r="F33" s="84"/>
      <c r="G33" s="88"/>
      <c r="H33" s="235"/>
    </row>
    <row r="34" spans="1:9" x14ac:dyDescent="0.2">
      <c r="A34" s="26"/>
      <c r="B34" s="252">
        <v>2</v>
      </c>
      <c r="C34" s="214" t="s">
        <v>5295</v>
      </c>
      <c r="D34" s="234" t="s">
        <v>1071</v>
      </c>
      <c r="E34" s="88">
        <v>2117</v>
      </c>
      <c r="F34" s="84"/>
      <c r="G34" s="88"/>
      <c r="H34" s="235"/>
    </row>
    <row r="35" spans="1:9" x14ac:dyDescent="0.2">
      <c r="A35" s="26"/>
      <c r="B35" s="252"/>
      <c r="C35" s="26" t="s">
        <v>6031</v>
      </c>
      <c r="D35" s="234" t="s">
        <v>1072</v>
      </c>
      <c r="E35" s="88">
        <v>1698</v>
      </c>
      <c r="F35" s="84"/>
      <c r="G35" s="88"/>
      <c r="H35" s="235"/>
    </row>
    <row r="36" spans="1:9" x14ac:dyDescent="0.2">
      <c r="A36" s="26"/>
      <c r="B36" s="252"/>
      <c r="C36" s="26" t="s">
        <v>2318</v>
      </c>
      <c r="D36" s="234"/>
      <c r="E36" s="31"/>
      <c r="F36" s="216"/>
      <c r="G36" s="31"/>
      <c r="H36" s="217"/>
    </row>
    <row r="37" spans="1:9" x14ac:dyDescent="0.2">
      <c r="A37" s="26" t="s">
        <v>5197</v>
      </c>
      <c r="B37" s="252"/>
      <c r="C37" s="214" t="s">
        <v>1085</v>
      </c>
      <c r="D37" s="234" t="s">
        <v>1071</v>
      </c>
      <c r="E37" s="31">
        <v>2178</v>
      </c>
      <c r="F37" s="216"/>
      <c r="G37" s="31"/>
      <c r="H37" s="217"/>
    </row>
    <row r="38" spans="1:9" x14ac:dyDescent="0.2">
      <c r="A38" s="26"/>
      <c r="B38" s="252"/>
      <c r="C38" s="26" t="s">
        <v>6033</v>
      </c>
      <c r="D38" s="234" t="s">
        <v>1072</v>
      </c>
      <c r="E38" s="31">
        <v>1063</v>
      </c>
      <c r="F38" s="216"/>
      <c r="G38" s="31"/>
      <c r="H38" s="217"/>
    </row>
    <row r="39" spans="1:9" x14ac:dyDescent="0.2">
      <c r="A39" s="26"/>
      <c r="B39" s="252"/>
      <c r="C39" s="26" t="s">
        <v>6034</v>
      </c>
      <c r="D39" s="234" t="s">
        <v>5573</v>
      </c>
      <c r="E39" s="31">
        <v>683</v>
      </c>
      <c r="F39" s="216"/>
      <c r="G39" s="31"/>
      <c r="H39" s="217"/>
    </row>
    <row r="40" spans="1:9" x14ac:dyDescent="0.2">
      <c r="A40" s="26"/>
      <c r="B40" s="252"/>
      <c r="C40" s="26" t="s">
        <v>2318</v>
      </c>
      <c r="D40" s="234"/>
      <c r="E40" s="218">
        <v>4236</v>
      </c>
      <c r="F40" s="219"/>
      <c r="G40" s="218">
        <v>6150</v>
      </c>
      <c r="H40" s="220">
        <v>68.900000000000006</v>
      </c>
    </row>
    <row r="41" spans="1:9" x14ac:dyDescent="0.2">
      <c r="A41" s="26"/>
      <c r="B41" s="252"/>
      <c r="C41" s="26" t="s">
        <v>2318</v>
      </c>
      <c r="D41" s="234"/>
      <c r="E41" s="31"/>
      <c r="F41" s="216"/>
      <c r="G41" s="31"/>
      <c r="H41" s="217"/>
    </row>
    <row r="42" spans="1:9" x14ac:dyDescent="0.2">
      <c r="A42" s="26" t="s">
        <v>5584</v>
      </c>
      <c r="B42" s="252"/>
      <c r="C42" s="214" t="s">
        <v>5585</v>
      </c>
      <c r="D42" s="234" t="s">
        <v>1071</v>
      </c>
      <c r="E42" s="31">
        <v>2248</v>
      </c>
      <c r="F42" s="216"/>
      <c r="G42" s="31"/>
      <c r="H42" s="217"/>
    </row>
    <row r="43" spans="1:9" x14ac:dyDescent="0.2">
      <c r="B43" s="252"/>
      <c r="C43" s="26" t="s">
        <v>6035</v>
      </c>
      <c r="D43" s="234" t="s">
        <v>5573</v>
      </c>
      <c r="E43" s="31">
        <v>1080</v>
      </c>
      <c r="F43" s="216"/>
      <c r="G43" s="31"/>
      <c r="H43" s="217"/>
    </row>
    <row r="44" spans="1:9" x14ac:dyDescent="0.2">
      <c r="B44" s="252"/>
      <c r="C44" s="26" t="s">
        <v>6036</v>
      </c>
      <c r="D44" s="234" t="s">
        <v>1072</v>
      </c>
      <c r="E44" s="31">
        <v>615</v>
      </c>
      <c r="F44" s="216"/>
      <c r="G44" s="31"/>
      <c r="H44" s="217"/>
    </row>
    <row r="45" spans="1:9" x14ac:dyDescent="0.2">
      <c r="B45" s="252"/>
      <c r="C45" s="26"/>
      <c r="D45" s="234"/>
      <c r="E45" s="218">
        <v>4134</v>
      </c>
      <c r="F45" s="219"/>
      <c r="G45" s="218">
        <v>6456</v>
      </c>
      <c r="H45" s="220">
        <v>64</v>
      </c>
    </row>
    <row r="46" spans="1:9" x14ac:dyDescent="0.2">
      <c r="B46" s="252"/>
      <c r="C46" s="26"/>
      <c r="D46" s="234"/>
      <c r="E46" s="88"/>
      <c r="F46" s="84"/>
      <c r="G46" s="88"/>
      <c r="H46" s="235"/>
    </row>
    <row r="47" spans="1:9" x14ac:dyDescent="0.2">
      <c r="A47" s="26" t="s">
        <v>1086</v>
      </c>
      <c r="B47" s="252">
        <v>1</v>
      </c>
      <c r="C47" s="26" t="s">
        <v>5762</v>
      </c>
      <c r="D47" s="234" t="s">
        <v>1071</v>
      </c>
      <c r="E47" s="31">
        <v>7153</v>
      </c>
      <c r="F47" s="216"/>
      <c r="G47" s="31"/>
      <c r="H47" s="217"/>
      <c r="I47" s="26"/>
    </row>
    <row r="48" spans="1:9" x14ac:dyDescent="0.2">
      <c r="A48" s="26"/>
      <c r="B48" s="252"/>
      <c r="C48" s="26" t="s">
        <v>5421</v>
      </c>
      <c r="D48" s="234" t="s">
        <v>1071</v>
      </c>
      <c r="E48" s="31">
        <v>3923</v>
      </c>
      <c r="F48" s="216"/>
      <c r="G48" s="31"/>
      <c r="H48" s="217"/>
      <c r="I48" s="26"/>
    </row>
    <row r="49" spans="1:9" x14ac:dyDescent="0.2">
      <c r="A49" s="26"/>
      <c r="B49" s="252"/>
      <c r="C49" s="26" t="s">
        <v>5917</v>
      </c>
      <c r="D49" s="234" t="s">
        <v>653</v>
      </c>
      <c r="E49" s="31">
        <v>3840</v>
      </c>
      <c r="F49" s="216"/>
      <c r="G49" s="31"/>
      <c r="H49" s="217"/>
      <c r="I49" s="26"/>
    </row>
    <row r="50" spans="1:9" x14ac:dyDescent="0.2">
      <c r="A50" s="26"/>
      <c r="B50" s="252"/>
      <c r="C50" s="26" t="s">
        <v>6037</v>
      </c>
      <c r="D50" s="234" t="s">
        <v>1918</v>
      </c>
      <c r="E50" s="31">
        <v>3579</v>
      </c>
      <c r="F50" s="1"/>
      <c r="G50" s="1"/>
      <c r="H50" s="1"/>
      <c r="I50" s="26"/>
    </row>
    <row r="51" spans="1:9" x14ac:dyDescent="0.2">
      <c r="A51" s="26"/>
      <c r="B51" s="252"/>
      <c r="C51" s="26" t="s">
        <v>2037</v>
      </c>
      <c r="D51" s="234" t="s">
        <v>5573</v>
      </c>
      <c r="E51" s="31">
        <v>2475</v>
      </c>
      <c r="F51" s="1"/>
      <c r="G51" s="1"/>
      <c r="H51" s="1"/>
      <c r="I51" s="26"/>
    </row>
    <row r="52" spans="1:9" x14ac:dyDescent="0.2">
      <c r="A52" s="26"/>
      <c r="B52" s="252"/>
      <c r="C52" s="26" t="s">
        <v>6038</v>
      </c>
      <c r="D52" s="234" t="s">
        <v>1071</v>
      </c>
      <c r="E52" s="31">
        <v>2464</v>
      </c>
      <c r="F52" s="1"/>
      <c r="G52" s="1"/>
      <c r="H52" s="1"/>
      <c r="I52" s="26"/>
    </row>
    <row r="53" spans="1:9" x14ac:dyDescent="0.2">
      <c r="A53" s="26"/>
      <c r="B53" s="252"/>
      <c r="C53" s="26" t="s">
        <v>5918</v>
      </c>
      <c r="D53" s="234" t="s">
        <v>1072</v>
      </c>
      <c r="E53" s="31">
        <v>1977</v>
      </c>
      <c r="F53" s="1"/>
      <c r="G53" s="1"/>
      <c r="H53" s="1"/>
      <c r="I53" s="26"/>
    </row>
    <row r="54" spans="1:9" x14ac:dyDescent="0.2">
      <c r="A54" s="26"/>
      <c r="B54" s="252"/>
      <c r="C54" s="26" t="s">
        <v>6039</v>
      </c>
      <c r="D54" s="234" t="s">
        <v>1071</v>
      </c>
      <c r="E54" s="31">
        <v>1751</v>
      </c>
      <c r="F54" s="1"/>
      <c r="G54" s="1"/>
      <c r="H54" s="1"/>
      <c r="I54" s="26"/>
    </row>
    <row r="55" spans="1:9" x14ac:dyDescent="0.2">
      <c r="A55" s="26"/>
      <c r="B55" s="252"/>
      <c r="C55" s="26" t="s">
        <v>6040</v>
      </c>
      <c r="D55" s="234" t="s">
        <v>1072</v>
      </c>
      <c r="E55" s="31">
        <v>1691</v>
      </c>
      <c r="F55" s="1"/>
      <c r="G55" s="1"/>
      <c r="H55" s="1"/>
      <c r="I55" s="26"/>
    </row>
    <row r="56" spans="1:9" x14ac:dyDescent="0.2">
      <c r="A56" s="26"/>
      <c r="B56" s="252"/>
      <c r="C56" s="26" t="s">
        <v>6041</v>
      </c>
      <c r="D56" s="234" t="s">
        <v>1072</v>
      </c>
      <c r="E56" s="31">
        <v>1602</v>
      </c>
      <c r="F56" s="1"/>
      <c r="G56" s="1"/>
      <c r="H56" s="1"/>
      <c r="I56" s="26"/>
    </row>
    <row r="57" spans="1:9" x14ac:dyDescent="0.2">
      <c r="A57" s="26"/>
      <c r="B57" s="252"/>
      <c r="C57" s="26" t="s">
        <v>6042</v>
      </c>
      <c r="D57" s="234" t="s">
        <v>1072</v>
      </c>
      <c r="E57" s="31">
        <v>1237</v>
      </c>
      <c r="F57" s="1"/>
      <c r="G57" s="1"/>
      <c r="H57" s="1"/>
      <c r="I57" s="26"/>
    </row>
    <row r="58" spans="1:9" x14ac:dyDescent="0.2">
      <c r="A58" s="26"/>
      <c r="B58" s="252"/>
      <c r="C58" s="26" t="s">
        <v>6043</v>
      </c>
      <c r="D58" s="234" t="s">
        <v>653</v>
      </c>
      <c r="E58" s="31">
        <v>1233</v>
      </c>
      <c r="F58" s="1"/>
      <c r="G58" s="1"/>
      <c r="H58" s="1"/>
      <c r="I58" s="26"/>
    </row>
    <row r="59" spans="1:9" x14ac:dyDescent="0.2">
      <c r="A59" s="26"/>
      <c r="B59" s="252"/>
      <c r="C59" s="26" t="s">
        <v>6044</v>
      </c>
      <c r="D59" s="234" t="s">
        <v>1071</v>
      </c>
      <c r="E59" s="31">
        <v>1091</v>
      </c>
      <c r="F59" s="1"/>
      <c r="G59" s="1"/>
      <c r="H59" s="1"/>
      <c r="I59" s="26"/>
    </row>
    <row r="60" spans="1:9" x14ac:dyDescent="0.2">
      <c r="A60" s="26"/>
      <c r="B60" s="252"/>
      <c r="C60" s="26" t="s">
        <v>6045</v>
      </c>
      <c r="D60" s="234" t="s">
        <v>1072</v>
      </c>
      <c r="E60" s="31">
        <v>949</v>
      </c>
      <c r="F60" s="1"/>
      <c r="G60" s="1"/>
      <c r="H60" s="1"/>
      <c r="I60" s="26"/>
    </row>
    <row r="61" spans="1:9" x14ac:dyDescent="0.2">
      <c r="A61" s="26"/>
      <c r="B61" s="252"/>
      <c r="C61" s="26" t="s">
        <v>6046</v>
      </c>
      <c r="D61" s="234" t="s">
        <v>5900</v>
      </c>
      <c r="E61" s="31">
        <v>737</v>
      </c>
      <c r="F61" s="1"/>
      <c r="G61" s="1"/>
      <c r="H61" s="1"/>
      <c r="I61" s="26"/>
    </row>
    <row r="62" spans="1:9" x14ac:dyDescent="0.2">
      <c r="A62" s="26"/>
      <c r="B62" s="252"/>
      <c r="C62" s="26" t="s">
        <v>6047</v>
      </c>
      <c r="D62" s="234" t="s">
        <v>653</v>
      </c>
      <c r="E62" s="31">
        <v>578</v>
      </c>
      <c r="F62" s="1"/>
      <c r="G62" s="1"/>
      <c r="H62" s="1"/>
      <c r="I62" s="26"/>
    </row>
    <row r="63" spans="1:9" x14ac:dyDescent="0.2">
      <c r="A63" s="26"/>
      <c r="B63" s="252"/>
      <c r="C63" s="26" t="s">
        <v>6048</v>
      </c>
      <c r="D63" s="234" t="s">
        <v>5900</v>
      </c>
      <c r="E63" s="31">
        <v>563</v>
      </c>
      <c r="F63" s="1"/>
      <c r="G63" s="1"/>
      <c r="H63" s="1"/>
      <c r="I63" s="26"/>
    </row>
    <row r="64" spans="1:9" x14ac:dyDescent="0.2">
      <c r="A64" s="26"/>
      <c r="B64" s="252"/>
      <c r="C64" s="26" t="s">
        <v>6049</v>
      </c>
      <c r="D64" s="234" t="s">
        <v>5573</v>
      </c>
      <c r="E64" s="31">
        <v>539</v>
      </c>
      <c r="F64" s="1"/>
      <c r="G64" s="1"/>
      <c r="H64" s="1"/>
      <c r="I64" s="26"/>
    </row>
    <row r="65" spans="1:9" x14ac:dyDescent="0.2">
      <c r="A65" s="26"/>
      <c r="B65" s="252"/>
      <c r="C65" s="26" t="s">
        <v>6050</v>
      </c>
      <c r="D65" s="234" t="s">
        <v>5573</v>
      </c>
      <c r="E65" s="31">
        <v>518</v>
      </c>
      <c r="F65" s="1"/>
      <c r="G65" s="1"/>
      <c r="H65" s="1"/>
      <c r="I65" s="26"/>
    </row>
    <row r="66" spans="1:9" x14ac:dyDescent="0.2">
      <c r="A66" s="26"/>
      <c r="B66" s="252"/>
      <c r="C66" s="26" t="s">
        <v>6051</v>
      </c>
      <c r="D66" s="234" t="s">
        <v>5578</v>
      </c>
      <c r="E66" s="31">
        <v>516</v>
      </c>
      <c r="F66" s="1"/>
      <c r="G66" s="1"/>
      <c r="H66" s="1"/>
      <c r="I66" s="26"/>
    </row>
    <row r="67" spans="1:9" x14ac:dyDescent="0.2">
      <c r="A67" s="26"/>
      <c r="B67" s="252"/>
      <c r="C67" s="26" t="s">
        <v>6052</v>
      </c>
      <c r="D67" s="234" t="s">
        <v>5573</v>
      </c>
      <c r="E67" s="31">
        <v>442</v>
      </c>
      <c r="F67" s="1"/>
      <c r="G67" s="1"/>
      <c r="H67" s="1"/>
      <c r="I67" s="26"/>
    </row>
    <row r="68" spans="1:9" x14ac:dyDescent="0.2">
      <c r="A68" s="26"/>
      <c r="B68" s="252"/>
      <c r="C68" s="26" t="s">
        <v>6053</v>
      </c>
      <c r="D68" s="234" t="s">
        <v>5573</v>
      </c>
      <c r="E68" s="31">
        <v>243</v>
      </c>
      <c r="F68" s="1"/>
      <c r="G68" s="1"/>
      <c r="H68" s="1"/>
      <c r="I68" s="26"/>
    </row>
    <row r="69" spans="1:9" x14ac:dyDescent="0.2">
      <c r="A69" s="26"/>
      <c r="B69" s="252"/>
      <c r="C69" s="26"/>
      <c r="D69" s="234"/>
      <c r="E69" s="31">
        <v>41460</v>
      </c>
      <c r="F69" s="1"/>
      <c r="G69" s="1">
        <v>76939</v>
      </c>
      <c r="H69" s="1">
        <v>53.9</v>
      </c>
      <c r="I69" s="26"/>
    </row>
    <row r="70" spans="1:9" x14ac:dyDescent="0.2">
      <c r="A70" s="26"/>
      <c r="B70" s="252"/>
      <c r="C70" s="26"/>
      <c r="D70" s="234"/>
      <c r="E70" s="1"/>
      <c r="F70" s="1"/>
      <c r="G70" s="1"/>
      <c r="H70" s="1"/>
      <c r="I70" s="26"/>
    </row>
    <row r="71" spans="1:9" x14ac:dyDescent="0.2">
      <c r="A71" s="26"/>
      <c r="B71" s="252">
        <v>2</v>
      </c>
      <c r="C71" s="214" t="s">
        <v>5762</v>
      </c>
      <c r="D71" s="234" t="s">
        <v>1071</v>
      </c>
      <c r="E71" s="31">
        <v>6528</v>
      </c>
      <c r="F71" s="1"/>
      <c r="G71" s="1"/>
      <c r="H71" s="1"/>
      <c r="I71" s="26"/>
    </row>
    <row r="72" spans="1:9" x14ac:dyDescent="0.2">
      <c r="A72" s="26"/>
      <c r="B72" s="252"/>
      <c r="C72" s="214" t="s">
        <v>5421</v>
      </c>
      <c r="D72" s="234" t="s">
        <v>1071</v>
      </c>
      <c r="E72" s="31">
        <v>6520</v>
      </c>
      <c r="F72" s="1"/>
      <c r="G72" s="1"/>
      <c r="H72" s="1"/>
      <c r="I72" s="26"/>
    </row>
    <row r="73" spans="1:9" x14ac:dyDescent="0.2">
      <c r="A73" s="26"/>
      <c r="B73" s="252"/>
      <c r="C73" s="214" t="s">
        <v>5917</v>
      </c>
      <c r="D73" s="234" t="s">
        <v>1071</v>
      </c>
      <c r="E73" s="31">
        <v>6339</v>
      </c>
      <c r="F73" s="1"/>
      <c r="G73" s="1"/>
      <c r="H73" s="1"/>
      <c r="I73" s="26"/>
    </row>
    <row r="74" spans="1:9" x14ac:dyDescent="0.2">
      <c r="A74" s="26"/>
      <c r="B74" s="252"/>
      <c r="C74" s="214" t="s">
        <v>5918</v>
      </c>
      <c r="D74" s="234" t="s">
        <v>1072</v>
      </c>
      <c r="E74" s="31">
        <v>6215</v>
      </c>
      <c r="F74" s="1"/>
      <c r="G74" s="1"/>
      <c r="H74" s="1"/>
      <c r="I74" s="26"/>
    </row>
    <row r="75" spans="1:9" x14ac:dyDescent="0.2">
      <c r="A75" s="26"/>
      <c r="B75" s="252"/>
      <c r="C75" s="214" t="s">
        <v>6038</v>
      </c>
      <c r="D75" s="234" t="s">
        <v>5573</v>
      </c>
      <c r="E75" s="31">
        <v>5742</v>
      </c>
      <c r="F75" s="1"/>
      <c r="G75" s="1"/>
      <c r="H75" s="1"/>
      <c r="I75" s="26"/>
    </row>
    <row r="76" spans="1:9" x14ac:dyDescent="0.2">
      <c r="A76" s="26"/>
      <c r="B76" s="252"/>
      <c r="C76" s="26" t="s">
        <v>2318</v>
      </c>
      <c r="D76" s="234"/>
      <c r="E76" s="31"/>
      <c r="F76" s="216"/>
      <c r="G76" s="31"/>
      <c r="H76" s="217"/>
    </row>
    <row r="77" spans="1:9" x14ac:dyDescent="0.2">
      <c r="A77" s="26" t="s">
        <v>1125</v>
      </c>
      <c r="B77" s="252"/>
      <c r="C77" s="214" t="s">
        <v>5235</v>
      </c>
      <c r="D77" s="234" t="s">
        <v>1071</v>
      </c>
      <c r="E77" s="31">
        <v>3041</v>
      </c>
      <c r="F77" s="216"/>
      <c r="G77" s="31"/>
      <c r="H77" s="217"/>
    </row>
    <row r="78" spans="1:9" x14ac:dyDescent="0.2">
      <c r="A78" s="26"/>
      <c r="B78" s="252"/>
      <c r="C78" s="26" t="s">
        <v>6054</v>
      </c>
      <c r="D78" s="234" t="s">
        <v>5573</v>
      </c>
      <c r="E78" s="31">
        <v>1315</v>
      </c>
      <c r="F78" s="216"/>
      <c r="G78" s="31"/>
      <c r="H78" s="217"/>
    </row>
    <row r="79" spans="1:9" x14ac:dyDescent="0.2">
      <c r="A79" s="26"/>
      <c r="B79" s="252"/>
      <c r="C79" s="26" t="s">
        <v>6055</v>
      </c>
      <c r="D79" s="234" t="s">
        <v>1072</v>
      </c>
      <c r="E79" s="31">
        <v>1003</v>
      </c>
      <c r="F79" s="216"/>
      <c r="G79" s="31"/>
      <c r="H79" s="217"/>
    </row>
    <row r="80" spans="1:9" x14ac:dyDescent="0.2">
      <c r="A80" s="26"/>
      <c r="B80" s="252"/>
      <c r="C80" s="26" t="s">
        <v>2318</v>
      </c>
      <c r="D80" s="234"/>
      <c r="E80" s="218">
        <v>5596</v>
      </c>
      <c r="F80" s="219"/>
      <c r="G80" s="218">
        <v>7858</v>
      </c>
      <c r="H80" s="220">
        <v>71.2</v>
      </c>
    </row>
    <row r="81" spans="1:24" x14ac:dyDescent="0.2">
      <c r="A81" s="26"/>
      <c r="B81" s="252"/>
      <c r="C81" s="26"/>
      <c r="D81" s="234"/>
      <c r="E81" s="88"/>
      <c r="F81" s="84"/>
      <c r="G81" s="88"/>
      <c r="H81" s="235"/>
    </row>
    <row r="82" spans="1:24" x14ac:dyDescent="0.2">
      <c r="A82" s="26" t="s">
        <v>1427</v>
      </c>
      <c r="B82" s="252"/>
      <c r="C82" s="214" t="s">
        <v>6056</v>
      </c>
      <c r="D82" s="234" t="s">
        <v>1071</v>
      </c>
      <c r="E82" s="31">
        <v>1981</v>
      </c>
      <c r="F82" s="216"/>
      <c r="G82" s="31"/>
      <c r="H82" s="217"/>
    </row>
    <row r="83" spans="1:24" x14ac:dyDescent="0.2">
      <c r="A83" s="26"/>
      <c r="B83" s="252"/>
      <c r="C83" s="26" t="s">
        <v>6057</v>
      </c>
      <c r="D83" s="234" t="s">
        <v>1072</v>
      </c>
      <c r="E83" s="31">
        <v>944</v>
      </c>
      <c r="F83" s="216"/>
      <c r="G83" s="31"/>
      <c r="H83" s="217"/>
    </row>
    <row r="84" spans="1:24" x14ac:dyDescent="0.2">
      <c r="A84" s="26"/>
      <c r="B84" s="252"/>
      <c r="C84" s="26" t="s">
        <v>2318</v>
      </c>
      <c r="D84" s="234"/>
      <c r="E84" s="218">
        <v>3052</v>
      </c>
      <c r="F84" s="219"/>
      <c r="G84" s="218">
        <v>5089</v>
      </c>
      <c r="H84" s="220">
        <v>60</v>
      </c>
    </row>
    <row r="85" spans="1:24" x14ac:dyDescent="0.2">
      <c r="A85" s="26"/>
      <c r="B85" s="252"/>
      <c r="C85" s="26" t="s">
        <v>2318</v>
      </c>
      <c r="D85" s="234"/>
      <c r="E85" s="31"/>
      <c r="F85" s="216"/>
      <c r="G85" s="31"/>
      <c r="H85" s="217"/>
    </row>
    <row r="86" spans="1:24" x14ac:dyDescent="0.2">
      <c r="A86" s="26" t="s">
        <v>1430</v>
      </c>
      <c r="B86" s="252"/>
      <c r="C86" s="214" t="s">
        <v>5450</v>
      </c>
      <c r="D86" s="234" t="s">
        <v>1071</v>
      </c>
      <c r="E86" s="31">
        <v>2801</v>
      </c>
      <c r="F86" s="216"/>
      <c r="G86" s="31"/>
      <c r="H86" s="217"/>
      <c r="X86" s="221"/>
    </row>
    <row r="87" spans="1:24" x14ac:dyDescent="0.2">
      <c r="A87" s="26"/>
      <c r="B87" s="252"/>
      <c r="C87" s="26" t="s">
        <v>6058</v>
      </c>
      <c r="D87" s="234" t="s">
        <v>5573</v>
      </c>
      <c r="E87" s="31">
        <v>1035</v>
      </c>
      <c r="F87" s="216"/>
      <c r="G87" s="31"/>
      <c r="H87" s="217"/>
      <c r="X87" s="221"/>
    </row>
    <row r="88" spans="1:24" x14ac:dyDescent="0.2">
      <c r="A88" s="26"/>
      <c r="B88" s="252"/>
      <c r="C88" s="26" t="s">
        <v>6059</v>
      </c>
      <c r="D88" s="234" t="s">
        <v>1072</v>
      </c>
      <c r="E88" s="31">
        <v>761</v>
      </c>
      <c r="F88" s="216"/>
      <c r="G88" s="31"/>
      <c r="H88" s="217"/>
    </row>
    <row r="89" spans="1:24" x14ac:dyDescent="0.2">
      <c r="A89" s="26"/>
      <c r="B89" s="252"/>
      <c r="C89" s="26" t="s">
        <v>2318</v>
      </c>
      <c r="D89" s="234"/>
      <c r="E89" s="218">
        <v>4894</v>
      </c>
      <c r="F89" s="219"/>
      <c r="G89" s="218">
        <v>6985</v>
      </c>
      <c r="H89" s="220">
        <v>70.099999999999994</v>
      </c>
    </row>
    <row r="90" spans="1:24" x14ac:dyDescent="0.2">
      <c r="A90" s="26"/>
      <c r="B90" s="252"/>
      <c r="C90" s="26"/>
      <c r="D90" s="234"/>
      <c r="E90" s="88"/>
      <c r="F90" s="84"/>
      <c r="G90" s="88"/>
      <c r="H90" s="235"/>
    </row>
    <row r="91" spans="1:24" x14ac:dyDescent="0.2">
      <c r="A91" s="26" t="s">
        <v>2268</v>
      </c>
      <c r="B91" s="252"/>
      <c r="C91" s="214" t="s">
        <v>5930</v>
      </c>
      <c r="D91" s="234" t="s">
        <v>1071</v>
      </c>
      <c r="E91" s="31">
        <v>1723</v>
      </c>
      <c r="F91" s="216"/>
      <c r="G91" s="31"/>
      <c r="H91" s="217"/>
    </row>
    <row r="92" spans="1:24" x14ac:dyDescent="0.2">
      <c r="A92" s="26"/>
      <c r="B92" s="252"/>
      <c r="C92" s="26" t="s">
        <v>6060</v>
      </c>
      <c r="D92" s="234" t="s">
        <v>1072</v>
      </c>
      <c r="E92" s="31">
        <v>844</v>
      </c>
      <c r="F92" s="216"/>
      <c r="G92" s="31"/>
      <c r="H92" s="217"/>
    </row>
    <row r="93" spans="1:24" x14ac:dyDescent="0.2">
      <c r="A93" s="26"/>
      <c r="B93" s="252"/>
      <c r="C93" s="26" t="s">
        <v>6061</v>
      </c>
      <c r="D93" s="234" t="s">
        <v>5573</v>
      </c>
      <c r="E93" s="31">
        <v>410</v>
      </c>
      <c r="F93" s="216"/>
      <c r="G93" s="31"/>
      <c r="H93" s="217"/>
    </row>
    <row r="94" spans="1:24" x14ac:dyDescent="0.2">
      <c r="A94" s="26"/>
      <c r="B94" s="252"/>
      <c r="C94" s="26" t="s">
        <v>2318</v>
      </c>
      <c r="D94" s="234"/>
      <c r="E94" s="218">
        <v>3100</v>
      </c>
      <c r="F94" s="219"/>
      <c r="G94" s="218">
        <v>4476</v>
      </c>
      <c r="H94" s="220">
        <v>69.2</v>
      </c>
    </row>
    <row r="95" spans="1:24" x14ac:dyDescent="0.2">
      <c r="A95" s="26"/>
      <c r="B95" s="252"/>
      <c r="C95" s="26" t="s">
        <v>2318</v>
      </c>
      <c r="D95" s="234"/>
      <c r="E95" s="31"/>
      <c r="F95" s="216"/>
      <c r="G95" s="31"/>
      <c r="H95" s="217"/>
    </row>
    <row r="96" spans="1:24" x14ac:dyDescent="0.2">
      <c r="A96" s="26" t="s">
        <v>369</v>
      </c>
      <c r="B96" s="252"/>
      <c r="C96" s="214" t="s">
        <v>5931</v>
      </c>
      <c r="D96" s="234" t="s">
        <v>1071</v>
      </c>
      <c r="E96" s="31">
        <v>2647</v>
      </c>
      <c r="F96" s="216"/>
      <c r="G96" s="31"/>
      <c r="H96" s="217"/>
    </row>
    <row r="97" spans="1:8" x14ac:dyDescent="0.2">
      <c r="A97" s="26"/>
      <c r="B97" s="252"/>
      <c r="C97" s="26" t="s">
        <v>6062</v>
      </c>
      <c r="D97" s="234" t="s">
        <v>653</v>
      </c>
      <c r="E97" s="31">
        <v>935</v>
      </c>
      <c r="F97" s="216"/>
      <c r="G97" s="31"/>
      <c r="H97" s="217"/>
    </row>
    <row r="98" spans="1:8" x14ac:dyDescent="0.2">
      <c r="A98" s="26"/>
      <c r="B98" s="252"/>
      <c r="C98" s="26" t="s">
        <v>6063</v>
      </c>
      <c r="D98" s="234" t="s">
        <v>5573</v>
      </c>
      <c r="E98" s="31">
        <v>417</v>
      </c>
      <c r="F98" s="216"/>
      <c r="G98" s="31"/>
      <c r="H98" s="217"/>
    </row>
    <row r="99" spans="1:8" x14ac:dyDescent="0.2">
      <c r="A99" s="26"/>
      <c r="B99" s="252"/>
      <c r="C99" s="26" t="s">
        <v>2318</v>
      </c>
      <c r="D99" s="234"/>
      <c r="E99" s="218">
        <v>4305</v>
      </c>
      <c r="F99" s="219"/>
      <c r="G99" s="218">
        <v>6678</v>
      </c>
      <c r="H99" s="220">
        <v>64.5</v>
      </c>
    </row>
    <row r="100" spans="1:8" x14ac:dyDescent="0.2">
      <c r="A100" s="26"/>
      <c r="B100" s="252"/>
      <c r="C100" s="26" t="s">
        <v>2318</v>
      </c>
      <c r="D100" s="234"/>
      <c r="E100" s="31"/>
      <c r="F100" s="216"/>
      <c r="G100" s="31"/>
      <c r="H100" s="217"/>
    </row>
    <row r="101" spans="1:8" x14ac:dyDescent="0.2">
      <c r="A101" s="26" t="s">
        <v>1977</v>
      </c>
      <c r="B101" s="252"/>
      <c r="C101" s="214" t="s">
        <v>5934</v>
      </c>
      <c r="D101" s="234" t="s">
        <v>1071</v>
      </c>
      <c r="E101" s="31">
        <v>2982</v>
      </c>
      <c r="F101" s="216"/>
      <c r="G101" s="31"/>
      <c r="H101" s="217"/>
    </row>
    <row r="102" spans="1:8" x14ac:dyDescent="0.2">
      <c r="A102" s="26"/>
      <c r="B102" s="252"/>
      <c r="C102" s="26" t="s">
        <v>6064</v>
      </c>
      <c r="D102" s="234" t="s">
        <v>6066</v>
      </c>
      <c r="E102" s="31">
        <v>856</v>
      </c>
      <c r="F102" s="216"/>
      <c r="G102" s="31"/>
      <c r="H102" s="217"/>
    </row>
    <row r="103" spans="1:8" x14ac:dyDescent="0.2">
      <c r="A103" s="26"/>
      <c r="B103" s="252"/>
      <c r="C103" s="26" t="s">
        <v>6065</v>
      </c>
      <c r="D103" s="234" t="s">
        <v>1072</v>
      </c>
      <c r="E103" s="31">
        <v>271</v>
      </c>
      <c r="F103" s="216"/>
      <c r="G103" s="31"/>
      <c r="H103" s="217"/>
    </row>
    <row r="104" spans="1:8" x14ac:dyDescent="0.2">
      <c r="A104" s="26"/>
      <c r="B104" s="252"/>
      <c r="C104" s="26" t="s">
        <v>2318</v>
      </c>
      <c r="D104" s="234"/>
      <c r="E104" s="218">
        <v>4429</v>
      </c>
      <c r="F104" s="219"/>
      <c r="G104" s="218">
        <v>5800</v>
      </c>
      <c r="H104" s="220">
        <v>76.400000000000006</v>
      </c>
    </row>
    <row r="105" spans="1:8" x14ac:dyDescent="0.2">
      <c r="A105" s="26"/>
      <c r="B105" s="252"/>
      <c r="C105" s="26" t="s">
        <v>2318</v>
      </c>
      <c r="D105" s="234"/>
      <c r="E105" s="31"/>
      <c r="F105" s="216"/>
      <c r="G105" s="31"/>
      <c r="H105" s="217"/>
    </row>
    <row r="106" spans="1:8" x14ac:dyDescent="0.2">
      <c r="A106" s="26" t="s">
        <v>1919</v>
      </c>
      <c r="B106" s="252">
        <v>1</v>
      </c>
      <c r="C106" s="26" t="s">
        <v>5789</v>
      </c>
      <c r="D106" s="234" t="s">
        <v>1071</v>
      </c>
      <c r="E106" s="31">
        <v>22014</v>
      </c>
      <c r="F106" s="216"/>
      <c r="G106" s="31"/>
      <c r="H106" s="217"/>
    </row>
    <row r="107" spans="1:8" x14ac:dyDescent="0.2">
      <c r="A107" s="26"/>
      <c r="B107" s="252"/>
      <c r="C107" s="26" t="s">
        <v>5795</v>
      </c>
      <c r="D107" s="234" t="s">
        <v>5573</v>
      </c>
      <c r="E107" s="31">
        <v>6511</v>
      </c>
      <c r="F107" s="216"/>
      <c r="G107" s="31"/>
      <c r="H107" s="217"/>
    </row>
    <row r="108" spans="1:8" x14ac:dyDescent="0.2">
      <c r="A108" s="26"/>
      <c r="B108" s="252"/>
      <c r="C108" s="26" t="s">
        <v>5948</v>
      </c>
      <c r="D108" s="234" t="s">
        <v>1072</v>
      </c>
      <c r="E108" s="31">
        <v>6303</v>
      </c>
      <c r="F108" s="216"/>
      <c r="G108" s="31"/>
      <c r="H108" s="217"/>
    </row>
    <row r="109" spans="1:8" x14ac:dyDescent="0.2">
      <c r="A109" s="26"/>
      <c r="B109" s="252"/>
      <c r="C109" s="26" t="s">
        <v>5657</v>
      </c>
      <c r="D109" s="234" t="s">
        <v>6030</v>
      </c>
      <c r="E109" s="31">
        <v>2723</v>
      </c>
      <c r="F109" s="216"/>
      <c r="G109" s="31"/>
      <c r="H109" s="217"/>
    </row>
    <row r="110" spans="1:8" x14ac:dyDescent="0.2">
      <c r="A110" s="26"/>
      <c r="B110" s="252"/>
      <c r="C110" s="26" t="s">
        <v>6067</v>
      </c>
      <c r="D110" s="234" t="s">
        <v>1072</v>
      </c>
      <c r="E110" s="218">
        <v>1234</v>
      </c>
      <c r="F110" s="219"/>
      <c r="G110" s="218"/>
      <c r="H110" s="220"/>
    </row>
    <row r="111" spans="1:8" x14ac:dyDescent="0.2">
      <c r="A111" s="26"/>
      <c r="B111" s="252"/>
      <c r="C111" s="26" t="s">
        <v>5603</v>
      </c>
      <c r="D111" s="234" t="s">
        <v>5573</v>
      </c>
      <c r="E111" s="31">
        <v>1046</v>
      </c>
      <c r="F111" s="216"/>
      <c r="G111" s="31"/>
      <c r="H111" s="217"/>
    </row>
    <row r="112" spans="1:8" x14ac:dyDescent="0.2">
      <c r="A112" s="26"/>
      <c r="B112" s="252"/>
      <c r="C112" s="26" t="s">
        <v>6068</v>
      </c>
      <c r="D112" s="234" t="s">
        <v>1071</v>
      </c>
      <c r="E112" s="31">
        <v>946</v>
      </c>
      <c r="F112" s="216"/>
      <c r="G112" s="31"/>
      <c r="H112" s="217"/>
    </row>
    <row r="113" spans="1:8" x14ac:dyDescent="0.2">
      <c r="A113" s="26"/>
      <c r="B113" s="252"/>
      <c r="C113" s="26" t="s">
        <v>6069</v>
      </c>
      <c r="D113" s="234" t="s">
        <v>1072</v>
      </c>
      <c r="E113" s="31">
        <v>942</v>
      </c>
      <c r="F113" s="216"/>
      <c r="G113" s="31"/>
      <c r="H113" s="217"/>
    </row>
    <row r="114" spans="1:8" x14ac:dyDescent="0.2">
      <c r="A114" s="26"/>
      <c r="B114" s="252"/>
      <c r="C114" s="26" t="s">
        <v>5629</v>
      </c>
      <c r="D114" s="234" t="s">
        <v>1071</v>
      </c>
      <c r="E114" s="31">
        <v>890</v>
      </c>
      <c r="F114" s="216"/>
      <c r="G114" s="31"/>
      <c r="H114" s="217"/>
    </row>
    <row r="115" spans="1:8" x14ac:dyDescent="0.2">
      <c r="A115" s="26"/>
      <c r="B115" s="252"/>
      <c r="C115" s="26" t="s">
        <v>6070</v>
      </c>
      <c r="D115" s="234" t="s">
        <v>1071</v>
      </c>
      <c r="E115" s="218">
        <v>772</v>
      </c>
      <c r="F115" s="219"/>
      <c r="G115" s="218"/>
      <c r="H115" s="220"/>
    </row>
    <row r="116" spans="1:8" x14ac:dyDescent="0.2">
      <c r="A116" s="26"/>
      <c r="B116" s="252"/>
      <c r="C116" s="26" t="s">
        <v>6071</v>
      </c>
      <c r="D116" s="234" t="s">
        <v>5573</v>
      </c>
      <c r="E116" s="31">
        <v>618</v>
      </c>
      <c r="F116" s="216"/>
      <c r="G116" s="31"/>
      <c r="H116" s="217"/>
    </row>
    <row r="117" spans="1:8" x14ac:dyDescent="0.2">
      <c r="A117" s="26"/>
      <c r="B117" s="252"/>
      <c r="C117" s="26" t="s">
        <v>6072</v>
      </c>
      <c r="D117" s="234" t="s">
        <v>1072</v>
      </c>
      <c r="E117" s="31">
        <v>565</v>
      </c>
      <c r="F117" s="216"/>
      <c r="G117" s="31"/>
      <c r="H117" s="217"/>
    </row>
    <row r="118" spans="1:8" x14ac:dyDescent="0.2">
      <c r="A118" s="26"/>
      <c r="B118" s="252"/>
      <c r="C118" s="26" t="s">
        <v>6073</v>
      </c>
      <c r="D118" s="234" t="s">
        <v>1071</v>
      </c>
      <c r="E118" s="31">
        <v>523</v>
      </c>
      <c r="F118" s="216"/>
      <c r="G118" s="31"/>
      <c r="H118" s="217"/>
    </row>
    <row r="119" spans="1:8" x14ac:dyDescent="0.2">
      <c r="A119" s="26"/>
      <c r="B119" s="252"/>
      <c r="C119" s="26" t="s">
        <v>6074</v>
      </c>
      <c r="D119" s="234" t="s">
        <v>5573</v>
      </c>
      <c r="E119" s="31">
        <v>498</v>
      </c>
      <c r="F119" s="216"/>
      <c r="G119" s="31"/>
      <c r="H119" s="217"/>
    </row>
    <row r="120" spans="1:8" x14ac:dyDescent="0.2">
      <c r="A120" s="26"/>
      <c r="B120" s="252"/>
      <c r="C120" s="26" t="s">
        <v>6075</v>
      </c>
      <c r="D120" s="234" t="s">
        <v>5573</v>
      </c>
      <c r="E120" s="31">
        <v>370</v>
      </c>
      <c r="F120" s="216"/>
      <c r="G120" s="31"/>
      <c r="H120" s="217"/>
    </row>
    <row r="121" spans="1:8" x14ac:dyDescent="0.2">
      <c r="A121" s="26"/>
      <c r="B121" s="252"/>
      <c r="C121" s="26" t="s">
        <v>6076</v>
      </c>
      <c r="D121" s="234" t="s">
        <v>1072</v>
      </c>
      <c r="E121" s="31">
        <v>195</v>
      </c>
      <c r="F121" s="216"/>
      <c r="G121" s="31"/>
      <c r="H121" s="217"/>
    </row>
    <row r="122" spans="1:8" x14ac:dyDescent="0.2">
      <c r="A122" s="26"/>
      <c r="B122" s="252"/>
      <c r="C122" s="26"/>
      <c r="D122" s="234"/>
      <c r="E122" s="31">
        <v>47276</v>
      </c>
      <c r="F122" s="216"/>
      <c r="G122" s="31">
        <v>84391</v>
      </c>
      <c r="H122" s="217">
        <v>56</v>
      </c>
    </row>
    <row r="123" spans="1:8" x14ac:dyDescent="0.2">
      <c r="A123" s="26"/>
      <c r="B123" s="252"/>
      <c r="C123" s="26"/>
      <c r="D123" s="234"/>
      <c r="E123" s="31"/>
      <c r="F123" s="216"/>
      <c r="G123" s="31"/>
      <c r="H123" s="217"/>
    </row>
    <row r="124" spans="1:8" x14ac:dyDescent="0.2">
      <c r="A124" s="26"/>
      <c r="B124" s="252">
        <v>2</v>
      </c>
      <c r="C124" s="214" t="s">
        <v>5789</v>
      </c>
      <c r="D124" s="234" t="s">
        <v>1071</v>
      </c>
      <c r="E124" s="31">
        <v>7692</v>
      </c>
      <c r="F124" s="216"/>
      <c r="G124" s="31"/>
      <c r="H124" s="217"/>
    </row>
    <row r="125" spans="1:8" x14ac:dyDescent="0.2">
      <c r="A125" s="26"/>
      <c r="B125" s="252"/>
      <c r="C125" s="214" t="s">
        <v>5948</v>
      </c>
      <c r="D125" s="234" t="s">
        <v>1072</v>
      </c>
      <c r="E125" s="31">
        <v>7692</v>
      </c>
      <c r="F125" s="216"/>
      <c r="G125" s="31"/>
      <c r="H125" s="217"/>
    </row>
    <row r="126" spans="1:8" x14ac:dyDescent="0.2">
      <c r="A126" s="26"/>
      <c r="B126" s="252"/>
      <c r="C126" s="214" t="s">
        <v>5795</v>
      </c>
      <c r="D126" s="234" t="s">
        <v>5573</v>
      </c>
      <c r="E126" s="31">
        <v>8684</v>
      </c>
      <c r="F126" s="216"/>
      <c r="G126" s="31"/>
      <c r="H126" s="217"/>
    </row>
    <row r="127" spans="1:8" x14ac:dyDescent="0.2">
      <c r="A127" s="26"/>
      <c r="B127" s="252"/>
      <c r="C127" s="214" t="s">
        <v>5629</v>
      </c>
      <c r="D127" s="234" t="s">
        <v>1071</v>
      </c>
      <c r="E127" s="31">
        <v>7746</v>
      </c>
      <c r="F127" s="216"/>
      <c r="G127" s="31"/>
      <c r="H127" s="217"/>
    </row>
    <row r="128" spans="1:8" x14ac:dyDescent="0.2">
      <c r="A128" s="26"/>
      <c r="B128" s="252"/>
      <c r="C128" s="214" t="s">
        <v>6068</v>
      </c>
      <c r="D128" s="234" t="s">
        <v>1071</v>
      </c>
      <c r="E128" s="31">
        <v>7559</v>
      </c>
      <c r="F128" s="216"/>
      <c r="G128" s="31"/>
      <c r="H128" s="217"/>
    </row>
    <row r="129" spans="1:8" x14ac:dyDescent="0.2">
      <c r="A129" s="26"/>
      <c r="B129" s="252"/>
      <c r="C129" s="26" t="s">
        <v>2318</v>
      </c>
      <c r="D129" s="234"/>
      <c r="E129" s="31"/>
      <c r="F129" s="216"/>
      <c r="G129" s="31"/>
      <c r="H129" s="217"/>
    </row>
    <row r="130" spans="1:8" x14ac:dyDescent="0.2">
      <c r="A130" s="26" t="s">
        <v>2269</v>
      </c>
      <c r="B130" s="252"/>
      <c r="C130" s="214" t="s">
        <v>5956</v>
      </c>
      <c r="D130" s="234" t="s">
        <v>1071</v>
      </c>
      <c r="E130" s="31">
        <v>2543</v>
      </c>
      <c r="F130" s="216"/>
      <c r="G130" s="31"/>
      <c r="H130" s="217"/>
    </row>
    <row r="131" spans="1:8" x14ac:dyDescent="0.2">
      <c r="A131" s="26"/>
      <c r="B131" s="252"/>
      <c r="C131" s="26" t="s">
        <v>6077</v>
      </c>
      <c r="D131" s="234" t="s">
        <v>5573</v>
      </c>
      <c r="E131" s="31">
        <v>1715</v>
      </c>
      <c r="F131" s="216"/>
      <c r="G131" s="31"/>
      <c r="H131" s="217"/>
    </row>
    <row r="132" spans="1:8" x14ac:dyDescent="0.2">
      <c r="A132" s="26"/>
      <c r="B132" s="252"/>
      <c r="C132" s="26" t="s">
        <v>6081</v>
      </c>
      <c r="D132" s="234" t="s">
        <v>1072</v>
      </c>
      <c r="E132" s="31">
        <v>770</v>
      </c>
      <c r="F132" s="216"/>
      <c r="G132" s="31"/>
      <c r="H132" s="217"/>
    </row>
    <row r="133" spans="1:8" x14ac:dyDescent="0.2">
      <c r="A133" s="26"/>
      <c r="B133" s="252"/>
      <c r="C133" s="26" t="s">
        <v>2318</v>
      </c>
      <c r="D133" s="234"/>
      <c r="E133" s="218">
        <v>5456</v>
      </c>
      <c r="F133" s="219"/>
      <c r="G133" s="218">
        <v>8337</v>
      </c>
      <c r="H133" s="220">
        <v>65.400000000000006</v>
      </c>
    </row>
    <row r="134" spans="1:8" x14ac:dyDescent="0.2">
      <c r="A134" s="26"/>
      <c r="B134" s="252"/>
      <c r="C134" s="26" t="s">
        <v>2318</v>
      </c>
      <c r="D134" s="234"/>
      <c r="E134" s="31"/>
      <c r="F134" s="216"/>
      <c r="G134" s="31"/>
      <c r="H134" s="217"/>
    </row>
    <row r="135" spans="1:8" x14ac:dyDescent="0.2">
      <c r="A135" s="26" t="s">
        <v>3265</v>
      </c>
      <c r="B135" s="252"/>
      <c r="C135" s="214" t="s">
        <v>5643</v>
      </c>
      <c r="D135" s="234" t="s">
        <v>1071</v>
      </c>
      <c r="E135" s="31">
        <v>2354</v>
      </c>
      <c r="F135" s="216"/>
      <c r="G135" s="31"/>
      <c r="H135" s="217"/>
    </row>
    <row r="136" spans="1:8" x14ac:dyDescent="0.2">
      <c r="A136" s="26"/>
      <c r="B136" s="252"/>
      <c r="C136" s="26" t="s">
        <v>6079</v>
      </c>
      <c r="D136" s="234" t="s">
        <v>4877</v>
      </c>
      <c r="E136" s="31">
        <v>1303</v>
      </c>
      <c r="F136" s="216"/>
      <c r="G136" s="31"/>
      <c r="H136" s="217"/>
    </row>
    <row r="137" spans="1:8" x14ac:dyDescent="0.2">
      <c r="A137" s="26"/>
      <c r="B137" s="252"/>
      <c r="C137" s="26" t="s">
        <v>2318</v>
      </c>
      <c r="D137" s="234"/>
      <c r="E137" s="218">
        <v>3878</v>
      </c>
      <c r="F137" s="219"/>
      <c r="G137" s="218">
        <v>5926</v>
      </c>
      <c r="H137" s="220">
        <v>65.400000000000006</v>
      </c>
    </row>
    <row r="138" spans="1:8" x14ac:dyDescent="0.2">
      <c r="A138" s="26"/>
      <c r="B138" s="252"/>
      <c r="C138" s="26" t="s">
        <v>2318</v>
      </c>
      <c r="D138" s="234"/>
      <c r="E138" s="31"/>
      <c r="F138" s="216"/>
      <c r="G138" s="31"/>
      <c r="H138" s="217"/>
    </row>
    <row r="139" spans="1:8" x14ac:dyDescent="0.2">
      <c r="A139" s="26" t="s">
        <v>1920</v>
      </c>
      <c r="B139" s="252"/>
      <c r="C139" s="214" t="s">
        <v>5285</v>
      </c>
      <c r="D139" s="234" t="s">
        <v>1071</v>
      </c>
      <c r="E139" s="31">
        <v>2952</v>
      </c>
      <c r="F139" s="216"/>
      <c r="G139" s="31"/>
      <c r="H139" s="217"/>
    </row>
    <row r="140" spans="1:8" x14ac:dyDescent="0.2">
      <c r="A140" s="26"/>
      <c r="B140" s="252"/>
      <c r="C140" s="26" t="s">
        <v>6080</v>
      </c>
      <c r="D140" s="234" t="s">
        <v>5573</v>
      </c>
      <c r="E140" s="31">
        <v>1019</v>
      </c>
      <c r="F140" s="216"/>
      <c r="G140" s="31"/>
      <c r="H140" s="217"/>
    </row>
    <row r="141" spans="1:8" x14ac:dyDescent="0.2">
      <c r="A141" s="26"/>
      <c r="B141" s="252"/>
      <c r="C141" s="26" t="s">
        <v>6078</v>
      </c>
      <c r="D141" s="234" t="s">
        <v>1072</v>
      </c>
      <c r="E141" s="31">
        <v>768</v>
      </c>
      <c r="F141" s="216"/>
      <c r="G141" s="31"/>
      <c r="H141" s="217"/>
    </row>
    <row r="142" spans="1:8" x14ac:dyDescent="0.2">
      <c r="A142" s="26"/>
      <c r="B142" s="252"/>
      <c r="C142" s="26" t="s">
        <v>2318</v>
      </c>
      <c r="D142" s="234"/>
      <c r="E142" s="218">
        <v>5112</v>
      </c>
      <c r="F142" s="219"/>
      <c r="G142" s="218">
        <v>7468</v>
      </c>
      <c r="H142" s="220">
        <v>68.400000000000006</v>
      </c>
    </row>
    <row r="143" spans="1:8" ht="12.75" customHeight="1" x14ac:dyDescent="0.2">
      <c r="A143" s="26"/>
      <c r="B143" s="252"/>
      <c r="C143" s="26"/>
      <c r="D143" s="234"/>
      <c r="E143" s="88"/>
      <c r="F143" s="84"/>
      <c r="G143" s="88"/>
      <c r="H143" s="235"/>
    </row>
    <row r="144" spans="1:8" x14ac:dyDescent="0.2">
      <c r="A144" s="26" t="s">
        <v>0</v>
      </c>
      <c r="B144" s="252">
        <v>1</v>
      </c>
      <c r="C144" s="26" t="s">
        <v>6082</v>
      </c>
      <c r="D144" s="234" t="s">
        <v>1071</v>
      </c>
      <c r="E144" s="31">
        <v>2493</v>
      </c>
      <c r="F144" s="216"/>
      <c r="G144" s="31"/>
      <c r="H144" s="217"/>
    </row>
    <row r="145" spans="1:8" x14ac:dyDescent="0.2">
      <c r="A145" s="26"/>
      <c r="B145" s="252"/>
      <c r="C145" s="26" t="s">
        <v>6083</v>
      </c>
      <c r="D145" s="234" t="s">
        <v>1072</v>
      </c>
      <c r="E145" s="31">
        <v>1850</v>
      </c>
      <c r="F145" s="216"/>
      <c r="G145" s="31"/>
      <c r="H145" s="217"/>
    </row>
    <row r="146" spans="1:8" x14ac:dyDescent="0.2">
      <c r="A146" s="26"/>
      <c r="B146" s="252"/>
      <c r="C146" s="26" t="s">
        <v>6084</v>
      </c>
      <c r="D146" s="234" t="s">
        <v>5573</v>
      </c>
      <c r="E146" s="31">
        <v>1249</v>
      </c>
      <c r="F146" s="216"/>
      <c r="G146" s="31"/>
      <c r="H146" s="217"/>
    </row>
    <row r="147" spans="1:8" x14ac:dyDescent="0.2">
      <c r="A147" s="26"/>
      <c r="B147" s="252"/>
      <c r="C147" s="26" t="s">
        <v>2318</v>
      </c>
      <c r="D147" s="234"/>
      <c r="E147" s="218">
        <v>5968</v>
      </c>
      <c r="F147" s="219"/>
      <c r="G147" s="218">
        <v>7881</v>
      </c>
      <c r="H147" s="220">
        <v>75.7</v>
      </c>
    </row>
    <row r="148" spans="1:8" x14ac:dyDescent="0.2">
      <c r="A148" s="26"/>
      <c r="B148" s="252"/>
      <c r="C148" s="26"/>
      <c r="D148" s="234"/>
      <c r="E148" s="88"/>
      <c r="F148" s="84"/>
      <c r="G148" s="88"/>
      <c r="H148" s="235"/>
    </row>
    <row r="149" spans="1:8" x14ac:dyDescent="0.2">
      <c r="A149" s="26"/>
      <c r="B149" s="252">
        <v>2</v>
      </c>
      <c r="C149" s="214" t="s">
        <v>6082</v>
      </c>
      <c r="D149" s="234" t="s">
        <v>1071</v>
      </c>
      <c r="E149" s="88">
        <v>2717</v>
      </c>
      <c r="F149" s="84"/>
      <c r="G149" s="88"/>
      <c r="H149" s="235"/>
    </row>
    <row r="150" spans="1:8" x14ac:dyDescent="0.2">
      <c r="A150" s="26"/>
      <c r="B150" s="252"/>
      <c r="C150" s="26" t="s">
        <v>6083</v>
      </c>
      <c r="D150" s="234" t="s">
        <v>1072</v>
      </c>
      <c r="E150" s="88">
        <v>1917</v>
      </c>
      <c r="F150" s="84"/>
      <c r="G150" s="88"/>
      <c r="H150" s="235"/>
    </row>
    <row r="151" spans="1:8" x14ac:dyDescent="0.2">
      <c r="A151" s="26"/>
      <c r="B151" s="252"/>
      <c r="C151" s="26" t="s">
        <v>2318</v>
      </c>
      <c r="D151" s="234"/>
      <c r="E151" s="31"/>
      <c r="F151" s="216"/>
      <c r="G151" s="31"/>
      <c r="H151" s="217"/>
    </row>
    <row r="152" spans="1:8" x14ac:dyDescent="0.2">
      <c r="A152" s="26" t="s">
        <v>370</v>
      </c>
      <c r="B152" s="252"/>
      <c r="C152" s="214" t="s">
        <v>5812</v>
      </c>
      <c r="D152" s="234" t="s">
        <v>1071</v>
      </c>
      <c r="E152" s="31">
        <v>2773</v>
      </c>
      <c r="F152" s="216"/>
      <c r="G152" s="31"/>
      <c r="H152" s="217"/>
    </row>
    <row r="153" spans="1:8" x14ac:dyDescent="0.2">
      <c r="A153" s="26"/>
      <c r="B153" s="252"/>
      <c r="C153" s="26" t="s">
        <v>6085</v>
      </c>
      <c r="D153" s="234" t="s">
        <v>1072</v>
      </c>
      <c r="E153" s="31">
        <v>1607</v>
      </c>
      <c r="F153" s="216"/>
      <c r="G153" s="31"/>
      <c r="H153" s="217"/>
    </row>
    <row r="154" spans="1:8" x14ac:dyDescent="0.2">
      <c r="A154" s="26"/>
      <c r="B154" s="252"/>
      <c r="C154" s="26" t="s">
        <v>2318</v>
      </c>
      <c r="D154" s="234"/>
      <c r="E154" s="218">
        <v>4127</v>
      </c>
      <c r="F154" s="219"/>
      <c r="G154" s="218">
        <v>5550</v>
      </c>
      <c r="H154" s="220">
        <v>74.400000000000006</v>
      </c>
    </row>
    <row r="155" spans="1:8" x14ac:dyDescent="0.2">
      <c r="A155" s="26"/>
      <c r="B155" s="252"/>
      <c r="C155" s="26" t="s">
        <v>2318</v>
      </c>
      <c r="D155" s="234"/>
      <c r="E155" s="31"/>
      <c r="F155" s="216"/>
      <c r="G155" s="31"/>
      <c r="H155" s="217"/>
    </row>
    <row r="156" spans="1:8" x14ac:dyDescent="0.2">
      <c r="A156" s="26" t="s">
        <v>1744</v>
      </c>
      <c r="B156" s="252"/>
      <c r="C156" s="214" t="s">
        <v>6086</v>
      </c>
      <c r="D156" s="234" t="s">
        <v>1071</v>
      </c>
      <c r="E156" s="31">
        <v>3053</v>
      </c>
      <c r="F156" s="216"/>
      <c r="G156" s="31"/>
      <c r="H156" s="217"/>
    </row>
    <row r="157" spans="1:8" x14ac:dyDescent="0.2">
      <c r="A157" s="26"/>
      <c r="B157" s="252"/>
      <c r="C157" s="26" t="s">
        <v>5530</v>
      </c>
      <c r="D157" s="234" t="s">
        <v>5573</v>
      </c>
      <c r="E157" s="31">
        <v>1109</v>
      </c>
      <c r="F157" s="216"/>
      <c r="G157" s="31"/>
      <c r="H157" s="217"/>
    </row>
    <row r="158" spans="1:8" x14ac:dyDescent="0.2">
      <c r="A158" s="26"/>
      <c r="B158" s="252"/>
      <c r="C158" s="26" t="s">
        <v>6087</v>
      </c>
      <c r="D158" s="234" t="s">
        <v>1072</v>
      </c>
      <c r="E158" s="31">
        <v>643</v>
      </c>
      <c r="F158" s="216"/>
      <c r="G158" s="31"/>
      <c r="H158" s="217"/>
    </row>
    <row r="159" spans="1:8" x14ac:dyDescent="0.2">
      <c r="A159" s="26"/>
      <c r="B159" s="252"/>
      <c r="C159" s="26" t="s">
        <v>2318</v>
      </c>
      <c r="D159" s="234"/>
      <c r="E159" s="218">
        <v>5071</v>
      </c>
      <c r="F159" s="219"/>
      <c r="G159" s="218">
        <v>7164</v>
      </c>
      <c r="H159" s="220">
        <v>70.8</v>
      </c>
    </row>
    <row r="160" spans="1:8" x14ac:dyDescent="0.2">
      <c r="A160" s="26"/>
      <c r="B160" s="252"/>
      <c r="C160" s="26"/>
      <c r="D160" s="234"/>
      <c r="E160" s="88"/>
      <c r="F160" s="84"/>
      <c r="G160" s="88"/>
      <c r="H160" s="235"/>
    </row>
    <row r="161" spans="1:8" x14ac:dyDescent="0.2">
      <c r="A161" s="26" t="s">
        <v>1</v>
      </c>
      <c r="B161" s="252">
        <v>1</v>
      </c>
      <c r="C161" s="26" t="s">
        <v>5262</v>
      </c>
      <c r="D161" s="234" t="s">
        <v>1071</v>
      </c>
      <c r="E161" s="31">
        <v>1899</v>
      </c>
      <c r="F161" s="216"/>
      <c r="G161" s="31"/>
      <c r="H161" s="217"/>
    </row>
    <row r="162" spans="1:8" x14ac:dyDescent="0.2">
      <c r="A162" s="26"/>
      <c r="B162" s="252"/>
      <c r="C162" s="26" t="s">
        <v>6088</v>
      </c>
      <c r="D162" s="234" t="s">
        <v>5573</v>
      </c>
      <c r="E162" s="31">
        <v>1558</v>
      </c>
      <c r="F162" s="216"/>
      <c r="G162" s="31"/>
      <c r="H162" s="217"/>
    </row>
    <row r="163" spans="1:8" x14ac:dyDescent="0.2">
      <c r="A163" s="26"/>
      <c r="B163" s="252"/>
      <c r="C163" s="26" t="s">
        <v>6089</v>
      </c>
      <c r="D163" s="234" t="s">
        <v>1072</v>
      </c>
      <c r="E163" s="31">
        <v>1023</v>
      </c>
      <c r="F163" s="216"/>
      <c r="G163" s="31"/>
      <c r="H163" s="217"/>
    </row>
    <row r="164" spans="1:8" x14ac:dyDescent="0.2">
      <c r="A164" s="26"/>
      <c r="B164" s="252"/>
      <c r="C164" s="26" t="s">
        <v>6090</v>
      </c>
      <c r="D164" s="234" t="s">
        <v>653</v>
      </c>
      <c r="E164" s="31">
        <v>39</v>
      </c>
      <c r="F164" s="216"/>
      <c r="G164" s="31"/>
      <c r="H164" s="217"/>
    </row>
    <row r="165" spans="1:8" x14ac:dyDescent="0.2">
      <c r="A165" s="26"/>
      <c r="B165" s="252"/>
      <c r="C165" s="26" t="s">
        <v>2318</v>
      </c>
      <c r="D165" s="234"/>
      <c r="E165" s="218">
        <v>4809</v>
      </c>
      <c r="F165" s="219"/>
      <c r="G165" s="218">
        <v>6899</v>
      </c>
      <c r="H165" s="220">
        <v>69.7</v>
      </c>
    </row>
    <row r="166" spans="1:8" x14ac:dyDescent="0.2">
      <c r="A166" s="26"/>
      <c r="B166" s="252"/>
      <c r="C166" s="26"/>
      <c r="D166" s="234"/>
      <c r="E166" s="88"/>
      <c r="F166" s="84"/>
      <c r="G166" s="88"/>
      <c r="H166" s="235"/>
    </row>
    <row r="167" spans="1:8" x14ac:dyDescent="0.2">
      <c r="A167" s="26"/>
      <c r="B167" s="252">
        <v>2</v>
      </c>
      <c r="C167" s="214" t="s">
        <v>5262</v>
      </c>
      <c r="D167" s="234" t="s">
        <v>1071</v>
      </c>
      <c r="E167" s="88">
        <v>2401</v>
      </c>
      <c r="F167" s="84"/>
      <c r="G167" s="88"/>
      <c r="H167" s="235"/>
    </row>
    <row r="168" spans="1:8" x14ac:dyDescent="0.2">
      <c r="A168" s="26"/>
      <c r="B168" s="252"/>
      <c r="C168" s="26" t="s">
        <v>6088</v>
      </c>
      <c r="D168" s="234" t="s">
        <v>5573</v>
      </c>
      <c r="E168" s="88">
        <v>1742</v>
      </c>
      <c r="F168" s="84"/>
      <c r="G168" s="88"/>
      <c r="H168" s="235"/>
    </row>
    <row r="169" spans="1:8" x14ac:dyDescent="0.2">
      <c r="A169" s="26"/>
      <c r="B169" s="252"/>
      <c r="C169" s="26"/>
      <c r="D169" s="234"/>
      <c r="E169" s="88"/>
      <c r="F169" s="84"/>
      <c r="G169" s="88"/>
      <c r="H169" s="235"/>
    </row>
    <row r="170" spans="1:8" x14ac:dyDescent="0.2">
      <c r="A170" s="26" t="s">
        <v>1931</v>
      </c>
      <c r="B170" s="252"/>
      <c r="C170" s="214" t="s">
        <v>5969</v>
      </c>
      <c r="D170" s="234" t="s">
        <v>1071</v>
      </c>
      <c r="E170" s="31">
        <v>2548</v>
      </c>
      <c r="F170" s="216"/>
      <c r="G170" s="31"/>
      <c r="H170" s="217"/>
    </row>
    <row r="171" spans="1:8" x14ac:dyDescent="0.2">
      <c r="A171" s="26"/>
      <c r="B171" s="252"/>
      <c r="C171" s="26" t="s">
        <v>6091</v>
      </c>
      <c r="D171" s="234" t="s">
        <v>5636</v>
      </c>
      <c r="E171" s="31">
        <v>1071</v>
      </c>
      <c r="F171" s="216"/>
      <c r="G171" s="31"/>
      <c r="H171" s="217"/>
    </row>
    <row r="172" spans="1:8" x14ac:dyDescent="0.2">
      <c r="A172" s="26"/>
      <c r="B172" s="252"/>
      <c r="C172" s="26" t="s">
        <v>6092</v>
      </c>
      <c r="D172" s="234" t="s">
        <v>1072</v>
      </c>
      <c r="E172" s="31">
        <v>772</v>
      </c>
      <c r="F172" s="216"/>
      <c r="G172" s="31"/>
      <c r="H172" s="217"/>
    </row>
    <row r="173" spans="1:8" x14ac:dyDescent="0.2">
      <c r="A173" s="26"/>
      <c r="B173" s="252"/>
      <c r="C173" s="26" t="s">
        <v>2318</v>
      </c>
      <c r="D173" s="234"/>
      <c r="E173" s="218">
        <v>4724</v>
      </c>
      <c r="F173" s="219"/>
      <c r="G173" s="218">
        <v>7716</v>
      </c>
      <c r="H173" s="220">
        <v>61.2</v>
      </c>
    </row>
    <row r="174" spans="1:8" x14ac:dyDescent="0.2">
      <c r="A174" s="26"/>
      <c r="B174" s="252"/>
      <c r="C174" s="26" t="s">
        <v>2318</v>
      </c>
      <c r="D174" s="234"/>
      <c r="E174" s="31"/>
      <c r="F174" s="216"/>
      <c r="G174" s="31"/>
      <c r="H174" s="217"/>
    </row>
    <row r="175" spans="1:8" x14ac:dyDescent="0.2">
      <c r="A175" s="26" t="s">
        <v>3</v>
      </c>
      <c r="B175" s="252"/>
      <c r="C175" s="214" t="s">
        <v>5302</v>
      </c>
      <c r="D175" s="234" t="s">
        <v>1071</v>
      </c>
      <c r="E175" s="31">
        <v>3829</v>
      </c>
      <c r="F175" s="216"/>
      <c r="G175" s="31"/>
      <c r="H175" s="217"/>
    </row>
    <row r="176" spans="1:8" x14ac:dyDescent="0.2">
      <c r="A176" s="26"/>
      <c r="B176" s="252"/>
      <c r="C176" s="26" t="s">
        <v>6093</v>
      </c>
      <c r="D176" s="234" t="s">
        <v>1072</v>
      </c>
      <c r="E176" s="31">
        <v>1768</v>
      </c>
      <c r="F176" s="216"/>
      <c r="G176" s="31"/>
      <c r="H176" s="217"/>
    </row>
    <row r="177" spans="1:8" x14ac:dyDescent="0.2">
      <c r="A177" s="26"/>
      <c r="B177" s="252"/>
      <c r="C177" s="26" t="s">
        <v>6094</v>
      </c>
      <c r="D177" s="234" t="s">
        <v>5636</v>
      </c>
      <c r="E177" s="31">
        <v>1441</v>
      </c>
      <c r="F177" s="216"/>
      <c r="G177" s="31"/>
      <c r="H177" s="217"/>
    </row>
    <row r="178" spans="1:8" x14ac:dyDescent="0.2">
      <c r="A178" s="26"/>
      <c r="B178" s="252"/>
      <c r="C178" s="26" t="s">
        <v>2318</v>
      </c>
      <c r="D178" s="234"/>
      <c r="E178" s="218">
        <v>7545</v>
      </c>
      <c r="F178" s="219"/>
      <c r="G178" s="218">
        <v>11611</v>
      </c>
      <c r="H178" s="220">
        <v>65</v>
      </c>
    </row>
    <row r="179" spans="1:8" x14ac:dyDescent="0.2">
      <c r="A179" s="26"/>
      <c r="B179" s="252"/>
      <c r="C179" s="26" t="s">
        <v>2318</v>
      </c>
      <c r="D179" s="234"/>
      <c r="E179" s="31"/>
      <c r="F179" s="216"/>
      <c r="G179" s="31"/>
      <c r="H179" s="217"/>
    </row>
    <row r="180" spans="1:8" x14ac:dyDescent="0.2">
      <c r="A180" s="26" t="s">
        <v>3185</v>
      </c>
      <c r="B180" s="252"/>
      <c r="C180" s="214" t="s">
        <v>5974</v>
      </c>
      <c r="D180" s="234" t="s">
        <v>1071</v>
      </c>
      <c r="E180" s="31">
        <v>1865</v>
      </c>
      <c r="F180" s="216"/>
      <c r="G180" s="31"/>
      <c r="H180" s="217"/>
    </row>
    <row r="181" spans="1:8" x14ac:dyDescent="0.2">
      <c r="A181" s="26"/>
      <c r="B181" s="252"/>
      <c r="C181" s="26" t="s">
        <v>6095</v>
      </c>
      <c r="D181" s="234" t="s">
        <v>653</v>
      </c>
      <c r="E181" s="31">
        <v>1086</v>
      </c>
      <c r="F181" s="216"/>
      <c r="G181" s="31"/>
      <c r="H181" s="217"/>
    </row>
    <row r="182" spans="1:8" x14ac:dyDescent="0.2">
      <c r="C182" s="26" t="s">
        <v>6096</v>
      </c>
      <c r="D182" s="234" t="s">
        <v>5636</v>
      </c>
      <c r="E182" s="31">
        <v>435</v>
      </c>
      <c r="F182" s="216"/>
    </row>
    <row r="183" spans="1:8" x14ac:dyDescent="0.2">
      <c r="A183" s="26"/>
      <c r="B183" s="252"/>
      <c r="C183" s="26" t="s">
        <v>2318</v>
      </c>
      <c r="D183" s="234"/>
      <c r="E183" s="218">
        <v>3559</v>
      </c>
      <c r="F183" s="219"/>
      <c r="G183" s="218">
        <v>4740</v>
      </c>
      <c r="H183" s="220">
        <v>67.8</v>
      </c>
    </row>
    <row r="184" spans="1:8" x14ac:dyDescent="0.2">
      <c r="A184" s="26"/>
      <c r="B184" s="252"/>
      <c r="C184" s="26" t="s">
        <v>2318</v>
      </c>
      <c r="D184" s="234"/>
      <c r="E184" s="31"/>
      <c r="F184" s="216"/>
      <c r="G184" s="31"/>
      <c r="H184" s="217"/>
    </row>
    <row r="185" spans="1:8" x14ac:dyDescent="0.2">
      <c r="A185" s="26" t="s">
        <v>1752</v>
      </c>
      <c r="B185" s="252"/>
      <c r="C185" s="214" t="s">
        <v>5500</v>
      </c>
      <c r="D185" s="234" t="s">
        <v>1071</v>
      </c>
      <c r="E185" s="31">
        <v>2852</v>
      </c>
      <c r="F185" s="216"/>
      <c r="G185" s="31"/>
      <c r="H185" s="217"/>
    </row>
    <row r="186" spans="1:8" x14ac:dyDescent="0.2">
      <c r="A186" s="26"/>
      <c r="B186" s="252"/>
      <c r="C186" s="26" t="s">
        <v>5976</v>
      </c>
      <c r="D186" s="234" t="s">
        <v>5636</v>
      </c>
      <c r="E186" s="31">
        <v>756</v>
      </c>
      <c r="F186" s="216"/>
      <c r="G186" s="31"/>
      <c r="H186" s="217"/>
    </row>
    <row r="187" spans="1:8" x14ac:dyDescent="0.2">
      <c r="A187" s="26"/>
      <c r="B187" s="252"/>
      <c r="C187" s="26" t="s">
        <v>6097</v>
      </c>
      <c r="D187" s="234" t="s">
        <v>1072</v>
      </c>
      <c r="E187" s="31">
        <v>612</v>
      </c>
      <c r="F187" s="216"/>
      <c r="G187" s="31"/>
      <c r="H187" s="217"/>
    </row>
    <row r="188" spans="1:8" x14ac:dyDescent="0.2">
      <c r="A188" s="26"/>
      <c r="B188" s="252"/>
      <c r="C188" s="26" t="s">
        <v>2318</v>
      </c>
      <c r="D188" s="234"/>
      <c r="E188" s="218">
        <v>4488</v>
      </c>
      <c r="F188" s="219"/>
      <c r="G188" s="218">
        <v>6620</v>
      </c>
      <c r="H188" s="220">
        <v>67.8</v>
      </c>
    </row>
    <row r="189" spans="1:8" x14ac:dyDescent="0.2">
      <c r="A189" s="26"/>
      <c r="B189" s="252"/>
      <c r="C189" s="26" t="s">
        <v>2318</v>
      </c>
      <c r="D189" s="234"/>
      <c r="E189" s="31"/>
      <c r="F189" s="216"/>
      <c r="G189" s="31"/>
      <c r="H189" s="217"/>
    </row>
    <row r="190" spans="1:8" x14ac:dyDescent="0.2">
      <c r="A190" s="26" t="s">
        <v>3195</v>
      </c>
      <c r="B190" s="252"/>
      <c r="C190" s="214" t="s">
        <v>5977</v>
      </c>
      <c r="D190" s="234" t="s">
        <v>1071</v>
      </c>
      <c r="E190" s="31">
        <v>3835</v>
      </c>
      <c r="F190" s="216"/>
      <c r="G190" s="31"/>
      <c r="H190" s="217"/>
    </row>
    <row r="191" spans="1:8" x14ac:dyDescent="0.2">
      <c r="A191" s="26"/>
      <c r="B191" s="252"/>
      <c r="C191" s="26" t="s">
        <v>6098</v>
      </c>
      <c r="D191" s="234" t="s">
        <v>1072</v>
      </c>
      <c r="E191" s="31">
        <v>1043</v>
      </c>
      <c r="F191" s="216"/>
      <c r="G191" s="31"/>
      <c r="H191" s="217"/>
    </row>
    <row r="192" spans="1:8" x14ac:dyDescent="0.2">
      <c r="A192" s="26"/>
      <c r="B192" s="252"/>
      <c r="C192" s="26" t="s">
        <v>6099</v>
      </c>
      <c r="D192" s="234" t="s">
        <v>5636</v>
      </c>
      <c r="E192" s="31">
        <v>996</v>
      </c>
      <c r="F192" s="216"/>
      <c r="G192" s="31"/>
      <c r="H192" s="217"/>
    </row>
    <row r="193" spans="1:8" x14ac:dyDescent="0.2">
      <c r="A193" s="26"/>
      <c r="B193" s="252"/>
      <c r="C193" s="26" t="s">
        <v>2318</v>
      </c>
      <c r="D193" s="234"/>
      <c r="E193" s="218">
        <v>6470</v>
      </c>
      <c r="F193" s="219"/>
      <c r="G193" s="218">
        <v>10103</v>
      </c>
      <c r="H193" s="220">
        <v>64</v>
      </c>
    </row>
    <row r="194" spans="1:8" x14ac:dyDescent="0.2">
      <c r="A194" s="26"/>
      <c r="B194" s="252"/>
      <c r="C194" s="26"/>
      <c r="D194" s="234"/>
      <c r="E194" s="88"/>
      <c r="F194" s="84"/>
      <c r="G194" s="88"/>
      <c r="H194" s="235"/>
    </row>
    <row r="195" spans="1:8" x14ac:dyDescent="0.2">
      <c r="A195" s="26" t="s">
        <v>716</v>
      </c>
      <c r="B195" s="252"/>
      <c r="C195" s="214" t="s">
        <v>6100</v>
      </c>
      <c r="D195" s="234" t="s">
        <v>1071</v>
      </c>
      <c r="E195" s="31">
        <v>3077</v>
      </c>
      <c r="F195" s="216"/>
      <c r="G195" s="31"/>
      <c r="H195" s="217"/>
    </row>
    <row r="196" spans="1:8" x14ac:dyDescent="0.2">
      <c r="A196" s="26"/>
      <c r="B196" s="252"/>
      <c r="C196" s="26" t="s">
        <v>6101</v>
      </c>
      <c r="D196" s="234" t="s">
        <v>1072</v>
      </c>
      <c r="E196" s="31">
        <v>1291</v>
      </c>
      <c r="F196" s="216"/>
      <c r="G196" s="31"/>
      <c r="H196" s="217"/>
    </row>
    <row r="197" spans="1:8" x14ac:dyDescent="0.2">
      <c r="A197" s="26"/>
      <c r="B197" s="252"/>
      <c r="C197" s="26" t="s">
        <v>6102</v>
      </c>
      <c r="D197" s="234" t="s">
        <v>5573</v>
      </c>
      <c r="E197" s="31">
        <v>490</v>
      </c>
      <c r="F197" s="216"/>
      <c r="G197" s="31"/>
      <c r="H197" s="217"/>
    </row>
    <row r="198" spans="1:8" x14ac:dyDescent="0.2">
      <c r="A198" s="26"/>
      <c r="B198" s="252"/>
      <c r="C198" s="26" t="s">
        <v>2318</v>
      </c>
      <c r="D198" s="234"/>
      <c r="E198" s="218">
        <v>5963</v>
      </c>
      <c r="F198" s="219"/>
      <c r="G198" s="218">
        <v>9538</v>
      </c>
      <c r="H198" s="220">
        <v>62.5</v>
      </c>
    </row>
    <row r="199" spans="1:8" x14ac:dyDescent="0.2">
      <c r="A199" s="26"/>
      <c r="B199" s="252"/>
      <c r="C199" s="26" t="s">
        <v>2318</v>
      </c>
      <c r="D199" s="234"/>
      <c r="E199" s="31"/>
      <c r="F199" s="216"/>
      <c r="G199" s="31"/>
      <c r="H199" s="217"/>
    </row>
    <row r="200" spans="1:8" x14ac:dyDescent="0.2">
      <c r="A200" s="26" t="s">
        <v>1241</v>
      </c>
      <c r="B200" s="252"/>
      <c r="C200" s="214" t="s">
        <v>6103</v>
      </c>
      <c r="D200" s="234" t="s">
        <v>1071</v>
      </c>
      <c r="E200" s="31">
        <v>3260</v>
      </c>
      <c r="F200" s="216"/>
      <c r="G200" s="31"/>
      <c r="H200" s="217"/>
    </row>
    <row r="201" spans="1:8" x14ac:dyDescent="0.2">
      <c r="A201" s="26"/>
      <c r="B201" s="252"/>
      <c r="C201" s="26" t="s">
        <v>6104</v>
      </c>
      <c r="D201" s="234" t="s">
        <v>1072</v>
      </c>
      <c r="E201" s="31">
        <v>690</v>
      </c>
      <c r="F201" s="216"/>
      <c r="G201" s="31"/>
      <c r="H201" s="217"/>
    </row>
    <row r="202" spans="1:8" x14ac:dyDescent="0.2">
      <c r="A202" s="26"/>
      <c r="B202" s="252"/>
      <c r="C202" s="26" t="s">
        <v>6105</v>
      </c>
      <c r="D202" s="234" t="s">
        <v>5573</v>
      </c>
      <c r="E202" s="31">
        <v>424</v>
      </c>
      <c r="F202" s="216"/>
      <c r="G202" s="31"/>
      <c r="H202" s="217"/>
    </row>
    <row r="203" spans="1:8" x14ac:dyDescent="0.2">
      <c r="A203" s="26"/>
      <c r="B203" s="252"/>
      <c r="C203" s="26" t="s">
        <v>2318</v>
      </c>
      <c r="D203" s="234"/>
      <c r="E203" s="218">
        <v>4795</v>
      </c>
      <c r="F203" s="219"/>
      <c r="G203" s="218">
        <v>7175</v>
      </c>
      <c r="H203" s="220">
        <v>66.8</v>
      </c>
    </row>
    <row r="204" spans="1:8" x14ac:dyDescent="0.2">
      <c r="A204" s="26"/>
      <c r="B204" s="252"/>
      <c r="C204" s="26" t="s">
        <v>2318</v>
      </c>
      <c r="D204" s="234"/>
      <c r="E204" s="31"/>
      <c r="F204" s="216"/>
      <c r="G204" s="31"/>
      <c r="H204" s="217"/>
    </row>
    <row r="205" spans="1:8" x14ac:dyDescent="0.2">
      <c r="A205" s="26" t="s">
        <v>415</v>
      </c>
      <c r="B205" s="252"/>
      <c r="C205" s="214" t="s">
        <v>5673</v>
      </c>
      <c r="D205" s="234" t="s">
        <v>1071</v>
      </c>
      <c r="E205" s="31">
        <v>3191</v>
      </c>
      <c r="F205" s="216"/>
      <c r="G205" s="31"/>
      <c r="H205" s="217"/>
    </row>
    <row r="206" spans="1:8" x14ac:dyDescent="0.2">
      <c r="A206" s="26"/>
      <c r="B206" s="252"/>
      <c r="C206" s="26" t="s">
        <v>6106</v>
      </c>
      <c r="D206" s="234" t="s">
        <v>5573</v>
      </c>
      <c r="E206" s="31">
        <v>1087</v>
      </c>
      <c r="F206" s="216"/>
      <c r="G206" s="31"/>
      <c r="H206" s="217"/>
    </row>
    <row r="207" spans="1:8" x14ac:dyDescent="0.2">
      <c r="A207" s="26"/>
      <c r="B207" s="252"/>
      <c r="C207" s="26" t="s">
        <v>6107</v>
      </c>
      <c r="D207" s="234" t="s">
        <v>1072</v>
      </c>
      <c r="E207" s="31">
        <v>829</v>
      </c>
      <c r="F207" s="216"/>
      <c r="G207" s="31"/>
      <c r="H207" s="217"/>
    </row>
    <row r="208" spans="1:8" x14ac:dyDescent="0.2">
      <c r="A208" s="26"/>
      <c r="B208" s="252"/>
      <c r="C208" s="26" t="s">
        <v>2318</v>
      </c>
      <c r="D208" s="234"/>
      <c r="E208" s="218">
        <v>5611</v>
      </c>
      <c r="F208" s="219"/>
      <c r="G208" s="218">
        <v>9147</v>
      </c>
      <c r="H208" s="220">
        <v>61.3</v>
      </c>
    </row>
    <row r="209" spans="1:8" x14ac:dyDescent="0.2">
      <c r="A209" s="26"/>
      <c r="B209" s="252"/>
      <c r="C209" s="26" t="s">
        <v>2318</v>
      </c>
      <c r="D209" s="234"/>
      <c r="E209" s="31"/>
      <c r="F209" s="216"/>
      <c r="G209" s="31"/>
      <c r="H209" s="217"/>
    </row>
    <row r="210" spans="1:8" x14ac:dyDescent="0.2">
      <c r="A210" s="26" t="s">
        <v>718</v>
      </c>
      <c r="B210" s="252"/>
      <c r="C210" s="214" t="s">
        <v>5513</v>
      </c>
      <c r="D210" s="234" t="s">
        <v>1071</v>
      </c>
      <c r="E210" s="31">
        <v>3165</v>
      </c>
      <c r="F210" s="216"/>
      <c r="G210" s="31"/>
      <c r="H210" s="217"/>
    </row>
    <row r="211" spans="1:8" x14ac:dyDescent="0.2">
      <c r="A211" s="26"/>
      <c r="B211" s="252"/>
      <c r="C211" s="26" t="s">
        <v>6108</v>
      </c>
      <c r="D211" s="234" t="s">
        <v>5573</v>
      </c>
      <c r="E211" s="31">
        <v>1462</v>
      </c>
      <c r="F211" s="216"/>
      <c r="G211" s="31"/>
      <c r="H211" s="217"/>
    </row>
    <row r="212" spans="1:8" x14ac:dyDescent="0.2">
      <c r="A212" s="26"/>
      <c r="B212" s="252"/>
      <c r="C212" s="26" t="s">
        <v>6109</v>
      </c>
      <c r="D212" s="234" t="s">
        <v>1072</v>
      </c>
      <c r="E212" s="31">
        <v>684</v>
      </c>
      <c r="F212" s="216"/>
      <c r="G212" s="31"/>
      <c r="H212" s="217"/>
    </row>
    <row r="213" spans="1:8" x14ac:dyDescent="0.2">
      <c r="A213" s="26"/>
      <c r="B213" s="252"/>
      <c r="C213" s="26" t="s">
        <v>2318</v>
      </c>
      <c r="D213" s="234"/>
      <c r="E213" s="218">
        <v>5697</v>
      </c>
      <c r="F213" s="219"/>
      <c r="G213" s="218">
        <v>7829</v>
      </c>
      <c r="H213" s="220">
        <v>72.8</v>
      </c>
    </row>
    <row r="214" spans="1:8" x14ac:dyDescent="0.2">
      <c r="A214" s="26"/>
      <c r="B214" s="252"/>
      <c r="C214" s="26" t="s">
        <v>2318</v>
      </c>
      <c r="D214" s="234"/>
      <c r="E214" s="31"/>
      <c r="F214" s="216"/>
      <c r="G214" s="31"/>
      <c r="H214" s="217"/>
    </row>
    <row r="215" spans="1:8" x14ac:dyDescent="0.2">
      <c r="A215" s="26" t="s">
        <v>584</v>
      </c>
      <c r="B215" s="252"/>
      <c r="C215" s="26" t="s">
        <v>5518</v>
      </c>
      <c r="D215" s="234" t="s">
        <v>1071</v>
      </c>
      <c r="E215" s="31">
        <v>2210</v>
      </c>
      <c r="F215" s="216"/>
      <c r="G215" s="31"/>
      <c r="H215" s="217"/>
    </row>
    <row r="216" spans="1:8" x14ac:dyDescent="0.2">
      <c r="A216" s="26"/>
      <c r="B216" s="252"/>
      <c r="C216" s="26" t="s">
        <v>6110</v>
      </c>
      <c r="D216" s="234" t="s">
        <v>1072</v>
      </c>
      <c r="E216" s="31">
        <v>998</v>
      </c>
      <c r="F216" s="216"/>
      <c r="G216" s="31"/>
      <c r="H216" s="217"/>
    </row>
    <row r="217" spans="1:8" x14ac:dyDescent="0.2">
      <c r="A217" s="26"/>
      <c r="B217" s="252"/>
      <c r="C217" s="26" t="s">
        <v>5843</v>
      </c>
      <c r="D217" s="234" t="s">
        <v>5578</v>
      </c>
      <c r="E217" s="31">
        <v>856</v>
      </c>
      <c r="F217" s="216"/>
      <c r="G217" s="31"/>
      <c r="H217" s="217"/>
    </row>
    <row r="218" spans="1:8" x14ac:dyDescent="0.2">
      <c r="A218" s="26"/>
      <c r="B218" s="252"/>
      <c r="C218" s="26" t="s">
        <v>6111</v>
      </c>
      <c r="D218" s="234" t="s">
        <v>5573</v>
      </c>
      <c r="E218" s="31">
        <v>815</v>
      </c>
      <c r="F218" s="216"/>
      <c r="G218" s="31"/>
      <c r="H218" s="217"/>
    </row>
    <row r="219" spans="1:8" x14ac:dyDescent="0.2">
      <c r="A219" s="26"/>
      <c r="B219" s="252"/>
      <c r="C219" s="26" t="s">
        <v>2318</v>
      </c>
      <c r="D219" s="234"/>
      <c r="E219" s="218">
        <v>5377</v>
      </c>
      <c r="F219" s="219"/>
      <c r="G219" s="218">
        <v>7465</v>
      </c>
      <c r="H219" s="220">
        <v>72</v>
      </c>
    </row>
    <row r="220" spans="1:8" x14ac:dyDescent="0.2">
      <c r="A220" s="26"/>
      <c r="B220" s="252"/>
      <c r="C220" s="26"/>
      <c r="D220" s="234"/>
      <c r="E220" s="88"/>
      <c r="F220" s="84"/>
      <c r="G220" s="88"/>
      <c r="H220" s="235"/>
    </row>
    <row r="221" spans="1:8" x14ac:dyDescent="0.2">
      <c r="A221" s="26"/>
      <c r="B221" s="252"/>
      <c r="C221" s="214" t="s">
        <v>5518</v>
      </c>
      <c r="D221" s="234" t="s">
        <v>1071</v>
      </c>
      <c r="E221" s="88">
        <v>2292</v>
      </c>
      <c r="F221" s="84"/>
      <c r="G221" s="88"/>
      <c r="H221" s="235"/>
    </row>
    <row r="222" spans="1:8" x14ac:dyDescent="0.2">
      <c r="A222" s="26"/>
      <c r="B222" s="252"/>
      <c r="C222" s="26" t="s">
        <v>6110</v>
      </c>
      <c r="D222" s="234" t="s">
        <v>1072</v>
      </c>
      <c r="E222" s="88">
        <v>1045</v>
      </c>
      <c r="F222" s="84"/>
      <c r="G222" s="88"/>
      <c r="H222" s="235"/>
    </row>
    <row r="223" spans="1:8" x14ac:dyDescent="0.2">
      <c r="A223" s="26"/>
      <c r="B223" s="252"/>
      <c r="C223" s="26" t="s">
        <v>2318</v>
      </c>
      <c r="D223" s="234"/>
      <c r="E223" s="31"/>
      <c r="F223" s="216"/>
      <c r="G223" s="31"/>
      <c r="H223" s="217"/>
    </row>
    <row r="224" spans="1:8" x14ac:dyDescent="0.2">
      <c r="A224" s="26" t="s">
        <v>2340</v>
      </c>
      <c r="B224" s="252"/>
      <c r="C224" s="214" t="s">
        <v>6112</v>
      </c>
      <c r="D224" s="234" t="s">
        <v>1071</v>
      </c>
      <c r="E224" s="31">
        <v>2679</v>
      </c>
      <c r="F224" s="216"/>
      <c r="G224" s="31"/>
      <c r="H224" s="217"/>
    </row>
    <row r="225" spans="1:8" x14ac:dyDescent="0.2">
      <c r="A225" s="26"/>
      <c r="B225" s="252"/>
      <c r="C225" s="26" t="s">
        <v>6113</v>
      </c>
      <c r="D225" s="234" t="s">
        <v>5573</v>
      </c>
      <c r="E225" s="218">
        <v>1023</v>
      </c>
      <c r="F225" s="219"/>
      <c r="G225" s="218"/>
      <c r="H225" s="220"/>
    </row>
    <row r="226" spans="1:8" x14ac:dyDescent="0.2">
      <c r="A226" s="26"/>
      <c r="B226" s="252"/>
      <c r="C226" s="26" t="s">
        <v>6114</v>
      </c>
      <c r="D226" s="234" t="s">
        <v>1072</v>
      </c>
      <c r="E226" s="88">
        <v>519</v>
      </c>
      <c r="F226" s="84"/>
      <c r="G226" s="88"/>
      <c r="H226" s="235"/>
    </row>
    <row r="227" spans="1:8" x14ac:dyDescent="0.2">
      <c r="A227" s="26"/>
      <c r="B227" s="252"/>
      <c r="C227" s="26"/>
      <c r="D227" s="234"/>
      <c r="E227" s="88">
        <v>4462</v>
      </c>
      <c r="F227" s="84"/>
      <c r="G227" s="88">
        <v>6408</v>
      </c>
      <c r="H227" s="235">
        <v>69.599999999999994</v>
      </c>
    </row>
    <row r="228" spans="1:8" x14ac:dyDescent="0.2">
      <c r="A228" s="26"/>
      <c r="B228" s="252"/>
      <c r="C228" s="26" t="s">
        <v>2318</v>
      </c>
      <c r="D228" s="234"/>
      <c r="E228" s="31"/>
      <c r="F228" s="216"/>
      <c r="G228" s="31"/>
      <c r="H228" s="217"/>
    </row>
    <row r="229" spans="1:8" x14ac:dyDescent="0.2">
      <c r="A229" s="26" t="s">
        <v>2341</v>
      </c>
      <c r="B229" s="252"/>
      <c r="C229" s="214" t="s">
        <v>5990</v>
      </c>
      <c r="D229" s="234" t="s">
        <v>1071</v>
      </c>
      <c r="E229" s="31">
        <v>4771</v>
      </c>
      <c r="F229" s="216"/>
      <c r="G229" s="31"/>
      <c r="H229" s="217"/>
    </row>
    <row r="230" spans="1:8" x14ac:dyDescent="0.2">
      <c r="A230" s="26"/>
      <c r="B230" s="252"/>
      <c r="C230" s="26" t="s">
        <v>5849</v>
      </c>
      <c r="D230" s="234" t="s">
        <v>5573</v>
      </c>
      <c r="E230" s="31">
        <v>1082</v>
      </c>
      <c r="F230" s="216"/>
      <c r="G230" s="31"/>
      <c r="H230" s="217"/>
    </row>
    <row r="231" spans="1:8" x14ac:dyDescent="0.2">
      <c r="A231" s="26"/>
      <c r="B231" s="252"/>
      <c r="C231" s="26" t="s">
        <v>2318</v>
      </c>
      <c r="D231" s="234"/>
      <c r="E231" s="218">
        <v>4326</v>
      </c>
      <c r="F231" s="219"/>
      <c r="G231" s="218">
        <v>6794</v>
      </c>
      <c r="H231" s="220">
        <v>63.7</v>
      </c>
    </row>
    <row r="232" spans="1:8" x14ac:dyDescent="0.2">
      <c r="A232" s="26"/>
      <c r="B232" s="252"/>
      <c r="C232" s="26"/>
      <c r="D232" s="234"/>
      <c r="E232" s="88"/>
      <c r="F232" s="84"/>
      <c r="G232" s="88"/>
      <c r="H232" s="235"/>
    </row>
    <row r="233" spans="1:8" x14ac:dyDescent="0.2">
      <c r="A233" s="26" t="s">
        <v>436</v>
      </c>
      <c r="B233" s="252">
        <v>1</v>
      </c>
      <c r="C233" s="26" t="s">
        <v>5851</v>
      </c>
      <c r="D233" s="234" t="s">
        <v>1071</v>
      </c>
      <c r="E233" s="31">
        <v>1807</v>
      </c>
      <c r="F233" s="216"/>
      <c r="G233" s="31"/>
      <c r="H233" s="217"/>
    </row>
    <row r="234" spans="1:8" x14ac:dyDescent="0.2">
      <c r="A234" s="26"/>
      <c r="B234" s="252"/>
      <c r="C234" s="26" t="s">
        <v>6116</v>
      </c>
      <c r="D234" s="234" t="s">
        <v>5636</v>
      </c>
      <c r="E234" s="31">
        <v>1528</v>
      </c>
      <c r="F234" s="216"/>
      <c r="G234" s="31"/>
      <c r="H234" s="217"/>
    </row>
    <row r="235" spans="1:8" x14ac:dyDescent="0.2">
      <c r="A235" s="26"/>
      <c r="B235" s="252"/>
      <c r="C235" s="26" t="s">
        <v>6115</v>
      </c>
      <c r="D235" s="234" t="s">
        <v>1072</v>
      </c>
      <c r="E235" s="31">
        <v>441</v>
      </c>
      <c r="F235" s="216"/>
      <c r="G235" s="31"/>
      <c r="H235" s="217"/>
    </row>
    <row r="236" spans="1:8" x14ac:dyDescent="0.2">
      <c r="A236" s="26"/>
      <c r="B236" s="252"/>
      <c r="C236" s="26" t="s">
        <v>2318</v>
      </c>
      <c r="D236" s="234"/>
      <c r="E236" s="218">
        <v>4034</v>
      </c>
      <c r="F236" s="219"/>
      <c r="G236" s="218">
        <v>6030</v>
      </c>
      <c r="H236" s="220">
        <v>66.900000000000006</v>
      </c>
    </row>
    <row r="237" spans="1:8" x14ac:dyDescent="0.2">
      <c r="A237" s="26"/>
      <c r="B237" s="252"/>
      <c r="C237" s="26"/>
      <c r="D237" s="234"/>
      <c r="E237" s="88"/>
      <c r="F237" s="84"/>
      <c r="G237" s="88"/>
      <c r="H237" s="235"/>
    </row>
    <row r="238" spans="1:8" x14ac:dyDescent="0.2">
      <c r="A238" s="26"/>
      <c r="B238" s="252">
        <v>2</v>
      </c>
      <c r="C238" s="214" t="s">
        <v>5851</v>
      </c>
      <c r="D238" s="234" t="s">
        <v>1071</v>
      </c>
      <c r="E238" s="88">
        <v>1912</v>
      </c>
      <c r="F238" s="84"/>
      <c r="G238" s="88"/>
      <c r="H238" s="235"/>
    </row>
    <row r="239" spans="1:8" x14ac:dyDescent="0.2">
      <c r="A239" s="26"/>
      <c r="B239" s="252"/>
      <c r="C239" s="26" t="s">
        <v>6116</v>
      </c>
      <c r="D239" s="234" t="s">
        <v>5636</v>
      </c>
      <c r="E239" s="88">
        <v>1572</v>
      </c>
      <c r="F239" s="84"/>
      <c r="G239" s="88"/>
      <c r="H239" s="235"/>
    </row>
    <row r="240" spans="1:8" x14ac:dyDescent="0.2">
      <c r="A240" s="26"/>
      <c r="B240" s="252"/>
      <c r="C240" s="26" t="s">
        <v>2318</v>
      </c>
      <c r="D240" s="234"/>
      <c r="E240" s="31"/>
      <c r="F240" s="216"/>
      <c r="G240" s="31"/>
      <c r="H240" s="217"/>
    </row>
    <row r="241" spans="1:8" ht="12.75" customHeight="1" x14ac:dyDescent="0.2">
      <c r="A241" s="26" t="s">
        <v>441</v>
      </c>
      <c r="B241" s="252"/>
      <c r="C241" s="214" t="s">
        <v>5855</v>
      </c>
      <c r="D241" s="234" t="s">
        <v>1071</v>
      </c>
      <c r="E241" s="31">
        <v>3582</v>
      </c>
      <c r="F241" s="216"/>
      <c r="G241" s="31"/>
      <c r="H241" s="217"/>
    </row>
    <row r="242" spans="1:8" x14ac:dyDescent="0.2">
      <c r="A242" s="26"/>
      <c r="B242" s="252"/>
      <c r="C242" s="26" t="s">
        <v>5688</v>
      </c>
      <c r="D242" s="234" t="s">
        <v>5636</v>
      </c>
      <c r="E242" s="31">
        <v>1365</v>
      </c>
      <c r="F242" s="216"/>
      <c r="G242" s="31"/>
      <c r="H242" s="217"/>
    </row>
    <row r="243" spans="1:8" x14ac:dyDescent="0.2">
      <c r="A243" s="26"/>
      <c r="B243" s="252"/>
      <c r="C243" s="26" t="s">
        <v>2318</v>
      </c>
      <c r="D243" s="234"/>
      <c r="E243" s="218">
        <v>5202</v>
      </c>
      <c r="F243" s="219"/>
      <c r="G243" s="218">
        <v>8207</v>
      </c>
      <c r="H243" s="220">
        <v>63.4</v>
      </c>
    </row>
    <row r="244" spans="1:8" x14ac:dyDescent="0.2">
      <c r="A244" s="26"/>
      <c r="B244" s="252"/>
      <c r="C244" s="26" t="s">
        <v>2318</v>
      </c>
      <c r="D244" s="234"/>
      <c r="E244" s="31"/>
      <c r="F244" s="216"/>
      <c r="G244" s="31"/>
      <c r="H244" s="217"/>
    </row>
    <row r="245" spans="1:8" x14ac:dyDescent="0.2">
      <c r="A245" s="26" t="s">
        <v>1385</v>
      </c>
      <c r="B245" s="252"/>
      <c r="C245" s="214" t="s">
        <v>6117</v>
      </c>
      <c r="D245" s="234" t="s">
        <v>1071</v>
      </c>
      <c r="E245" s="31">
        <v>2867</v>
      </c>
      <c r="F245" s="216"/>
      <c r="G245" s="31"/>
      <c r="H245" s="217"/>
    </row>
    <row r="246" spans="1:8" x14ac:dyDescent="0.2">
      <c r="A246" s="26"/>
      <c r="B246" s="252"/>
      <c r="C246" s="26" t="s">
        <v>6118</v>
      </c>
      <c r="D246" s="234" t="s">
        <v>1072</v>
      </c>
      <c r="E246" s="31">
        <v>838</v>
      </c>
      <c r="F246" s="216"/>
      <c r="G246" s="31"/>
      <c r="H246" s="217"/>
    </row>
    <row r="247" spans="1:8" x14ac:dyDescent="0.2">
      <c r="A247" s="26"/>
      <c r="B247" s="252"/>
      <c r="C247" s="26" t="s">
        <v>6119</v>
      </c>
      <c r="D247" s="234" t="s">
        <v>5573</v>
      </c>
      <c r="E247" s="31">
        <v>567</v>
      </c>
      <c r="F247" s="216"/>
      <c r="G247" s="31"/>
      <c r="H247" s="217"/>
    </row>
    <row r="248" spans="1:8" x14ac:dyDescent="0.2">
      <c r="A248" s="26"/>
      <c r="B248" s="252"/>
      <c r="C248" s="26"/>
      <c r="D248" s="234"/>
      <c r="E248" s="218">
        <v>4543</v>
      </c>
      <c r="F248" s="219"/>
      <c r="G248" s="218">
        <v>6348</v>
      </c>
      <c r="H248" s="220">
        <v>71.599999999999994</v>
      </c>
    </row>
    <row r="249" spans="1:8" x14ac:dyDescent="0.2">
      <c r="A249" s="26"/>
      <c r="B249" s="252"/>
      <c r="C249" s="26" t="s">
        <v>2318</v>
      </c>
      <c r="D249" s="234"/>
      <c r="E249" s="31"/>
      <c r="F249" s="216"/>
      <c r="G249" s="31"/>
      <c r="H249" s="217"/>
    </row>
    <row r="250" spans="1:8" x14ac:dyDescent="0.2">
      <c r="A250" s="26" t="s">
        <v>5356</v>
      </c>
      <c r="B250" s="252"/>
      <c r="C250" s="214" t="s">
        <v>5996</v>
      </c>
      <c r="D250" s="234" t="s">
        <v>1071</v>
      </c>
      <c r="E250" s="31">
        <v>2155</v>
      </c>
      <c r="F250" s="216"/>
      <c r="G250" s="31"/>
      <c r="H250" s="217"/>
    </row>
    <row r="251" spans="1:8" x14ac:dyDescent="0.2">
      <c r="A251" s="26"/>
      <c r="B251" s="252"/>
      <c r="C251" s="26" t="s">
        <v>5533</v>
      </c>
      <c r="D251" s="234" t="s">
        <v>5573</v>
      </c>
      <c r="E251" s="31">
        <v>1194</v>
      </c>
      <c r="F251" s="216"/>
      <c r="G251" s="31"/>
      <c r="H251" s="217"/>
    </row>
    <row r="252" spans="1:8" x14ac:dyDescent="0.2">
      <c r="A252" s="26"/>
      <c r="B252" s="252"/>
      <c r="C252" s="26" t="s">
        <v>6120</v>
      </c>
      <c r="D252" s="234" t="s">
        <v>1072</v>
      </c>
      <c r="E252" s="31">
        <v>631</v>
      </c>
      <c r="F252" s="216"/>
      <c r="G252" s="31"/>
      <c r="H252" s="217"/>
    </row>
    <row r="253" spans="1:8" x14ac:dyDescent="0.2">
      <c r="A253" s="26"/>
      <c r="B253" s="252"/>
      <c r="C253" s="26"/>
      <c r="D253" s="234"/>
      <c r="E253" s="218">
        <v>4265</v>
      </c>
      <c r="F253" s="219"/>
      <c r="G253" s="218">
        <v>6190</v>
      </c>
      <c r="H253" s="220">
        <v>68.900000000000006</v>
      </c>
    </row>
    <row r="254" spans="1:8" x14ac:dyDescent="0.2">
      <c r="A254" s="26"/>
      <c r="B254" s="252"/>
      <c r="C254" s="26" t="s">
        <v>2318</v>
      </c>
      <c r="D254" s="234"/>
      <c r="E254" s="31"/>
      <c r="F254" s="216"/>
      <c r="G254" s="31"/>
      <c r="H254" s="217"/>
    </row>
    <row r="255" spans="1:8" x14ac:dyDescent="0.2">
      <c r="A255" s="26" t="s">
        <v>446</v>
      </c>
      <c r="B255" s="252"/>
      <c r="C255" s="26" t="s">
        <v>5999</v>
      </c>
      <c r="D255" s="234" t="s">
        <v>5573</v>
      </c>
      <c r="E255" s="31">
        <v>1047</v>
      </c>
      <c r="F255" s="216"/>
      <c r="G255" s="31"/>
      <c r="H255" s="217"/>
    </row>
    <row r="256" spans="1:8" x14ac:dyDescent="0.2">
      <c r="A256" s="26"/>
      <c r="B256" s="252"/>
      <c r="C256" s="214" t="s">
        <v>5862</v>
      </c>
      <c r="D256" s="234" t="s">
        <v>1071</v>
      </c>
      <c r="E256" s="31">
        <v>2702</v>
      </c>
      <c r="F256" s="216"/>
      <c r="G256" s="31"/>
      <c r="H256" s="217"/>
    </row>
    <row r="257" spans="1:8" x14ac:dyDescent="0.2">
      <c r="A257" s="26"/>
      <c r="B257" s="252"/>
      <c r="C257" s="26" t="s">
        <v>5864</v>
      </c>
      <c r="D257" s="234" t="s">
        <v>1072</v>
      </c>
      <c r="E257" s="31">
        <v>774</v>
      </c>
      <c r="F257" s="216"/>
      <c r="G257" s="31"/>
      <c r="H257" s="217"/>
    </row>
    <row r="258" spans="1:8" x14ac:dyDescent="0.2">
      <c r="A258" s="26"/>
      <c r="B258" s="252"/>
      <c r="C258" s="26" t="s">
        <v>2318</v>
      </c>
      <c r="D258" s="234"/>
      <c r="E258" s="218">
        <v>4783</v>
      </c>
      <c r="F258" s="219"/>
      <c r="G258" s="218">
        <v>6839</v>
      </c>
      <c r="H258" s="220">
        <v>69.900000000000006</v>
      </c>
    </row>
    <row r="259" spans="1:8" x14ac:dyDescent="0.2">
      <c r="A259" s="26"/>
      <c r="B259" s="252"/>
      <c r="C259" s="26"/>
      <c r="D259" s="234"/>
      <c r="E259" s="88"/>
      <c r="F259" s="84"/>
      <c r="G259" s="88"/>
      <c r="H259" s="235"/>
    </row>
    <row r="260" spans="1:8" x14ac:dyDescent="0.2">
      <c r="A260" s="26" t="s">
        <v>3262</v>
      </c>
      <c r="B260" s="252">
        <v>1</v>
      </c>
      <c r="C260" s="26" t="s">
        <v>6121</v>
      </c>
      <c r="D260" s="234" t="s">
        <v>1071</v>
      </c>
      <c r="E260" s="31">
        <v>2197</v>
      </c>
      <c r="F260" s="216"/>
      <c r="G260" s="31"/>
      <c r="H260" s="217"/>
    </row>
    <row r="261" spans="1:8" x14ac:dyDescent="0.2">
      <c r="A261" s="26"/>
      <c r="B261" s="252"/>
      <c r="C261" s="26" t="s">
        <v>6122</v>
      </c>
      <c r="D261" s="234" t="s">
        <v>5573</v>
      </c>
      <c r="E261" s="31">
        <v>1510</v>
      </c>
      <c r="F261" s="216"/>
      <c r="G261" s="31"/>
      <c r="H261" s="217"/>
    </row>
    <row r="262" spans="1:8" x14ac:dyDescent="0.2">
      <c r="A262" s="26"/>
      <c r="B262" s="252"/>
      <c r="C262" s="26" t="s">
        <v>5902</v>
      </c>
      <c r="D262" s="234" t="s">
        <v>1072</v>
      </c>
      <c r="E262" s="31">
        <v>1416</v>
      </c>
      <c r="F262" s="216"/>
      <c r="G262" s="31"/>
      <c r="H262" s="217"/>
    </row>
    <row r="263" spans="1:8" x14ac:dyDescent="0.2">
      <c r="A263" s="26"/>
      <c r="B263" s="252"/>
      <c r="C263" s="26" t="s">
        <v>2318</v>
      </c>
      <c r="D263" s="234"/>
      <c r="E263" s="218">
        <v>5577</v>
      </c>
      <c r="F263" s="219"/>
      <c r="G263" s="218">
        <v>7607</v>
      </c>
      <c r="H263" s="220">
        <v>73.3</v>
      </c>
    </row>
    <row r="264" spans="1:8" x14ac:dyDescent="0.2">
      <c r="A264" s="26"/>
      <c r="B264" s="252"/>
      <c r="C264" s="26"/>
      <c r="D264" s="234"/>
      <c r="E264" s="88"/>
      <c r="F264" s="84"/>
      <c r="G264" s="88"/>
      <c r="H264" s="235"/>
    </row>
    <row r="265" spans="1:8" x14ac:dyDescent="0.2">
      <c r="A265" s="26"/>
      <c r="B265" s="252">
        <v>2</v>
      </c>
      <c r="C265" s="214" t="s">
        <v>6121</v>
      </c>
      <c r="D265" s="234" t="s">
        <v>1071</v>
      </c>
      <c r="E265" s="88">
        <v>2980</v>
      </c>
      <c r="F265" s="84"/>
      <c r="G265" s="88"/>
      <c r="H265" s="235"/>
    </row>
    <row r="266" spans="1:8" x14ac:dyDescent="0.2">
      <c r="A266" s="26"/>
      <c r="B266" s="252"/>
      <c r="C266" s="26" t="s">
        <v>6122</v>
      </c>
      <c r="D266" s="234" t="s">
        <v>5573</v>
      </c>
      <c r="E266" s="88">
        <v>1584</v>
      </c>
      <c r="F266" s="84"/>
      <c r="G266" s="88"/>
      <c r="H266" s="235"/>
    </row>
    <row r="267" spans="1:8" x14ac:dyDescent="0.2">
      <c r="A267" s="26"/>
      <c r="B267" s="252"/>
      <c r="C267" s="26" t="s">
        <v>2318</v>
      </c>
      <c r="D267" s="234"/>
      <c r="E267" s="31"/>
      <c r="F267" s="216"/>
      <c r="G267" s="31"/>
      <c r="H267" s="217"/>
    </row>
    <row r="268" spans="1:8" x14ac:dyDescent="0.2">
      <c r="A268" s="26" t="s">
        <v>715</v>
      </c>
      <c r="B268" s="252"/>
      <c r="C268" s="214" t="s">
        <v>6123</v>
      </c>
      <c r="D268" s="234" t="s">
        <v>1071</v>
      </c>
      <c r="E268" s="31">
        <v>3248</v>
      </c>
      <c r="F268" s="216"/>
      <c r="G268" s="31"/>
      <c r="H268" s="217"/>
    </row>
    <row r="269" spans="1:8" x14ac:dyDescent="0.2">
      <c r="A269" s="26"/>
      <c r="B269" s="252"/>
      <c r="C269" s="26" t="s">
        <v>6124</v>
      </c>
      <c r="D269" s="234" t="s">
        <v>5573</v>
      </c>
      <c r="E269" s="31">
        <v>953</v>
      </c>
      <c r="F269" s="216"/>
      <c r="G269" s="31"/>
      <c r="H269" s="217"/>
    </row>
    <row r="270" spans="1:8" x14ac:dyDescent="0.2">
      <c r="A270" s="26"/>
      <c r="B270" s="252"/>
      <c r="C270" s="26" t="s">
        <v>2318</v>
      </c>
      <c r="D270" s="234"/>
      <c r="E270" s="218">
        <v>4531</v>
      </c>
      <c r="F270" s="219"/>
      <c r="G270" s="218">
        <v>6676</v>
      </c>
      <c r="H270" s="220">
        <v>67.8</v>
      </c>
    </row>
    <row r="271" spans="1:8" x14ac:dyDescent="0.2">
      <c r="A271" s="26"/>
      <c r="B271" s="252"/>
      <c r="C271" s="26" t="s">
        <v>2318</v>
      </c>
      <c r="D271" s="234"/>
      <c r="E271" s="31"/>
      <c r="F271" s="216"/>
      <c r="G271" s="31"/>
      <c r="H271" s="217"/>
    </row>
    <row r="272" spans="1:8" x14ac:dyDescent="0.2">
      <c r="A272" s="26" t="s">
        <v>2545</v>
      </c>
      <c r="B272" s="252"/>
      <c r="C272" s="214" t="s">
        <v>6003</v>
      </c>
      <c r="D272" s="234" t="s">
        <v>1071</v>
      </c>
      <c r="E272" s="31">
        <v>2188</v>
      </c>
      <c r="F272" s="216"/>
      <c r="G272" s="31"/>
      <c r="H272" s="217"/>
    </row>
    <row r="273" spans="1:8" x14ac:dyDescent="0.2">
      <c r="A273" s="26"/>
      <c r="B273" s="252"/>
      <c r="C273" s="26" t="s">
        <v>6125</v>
      </c>
      <c r="D273" s="234" t="s">
        <v>5573</v>
      </c>
      <c r="E273" s="31">
        <v>1037</v>
      </c>
      <c r="F273" s="216"/>
      <c r="G273" s="31"/>
      <c r="H273" s="217"/>
    </row>
    <row r="274" spans="1:8" x14ac:dyDescent="0.2">
      <c r="A274" s="26"/>
      <c r="B274" s="252"/>
      <c r="C274" s="26" t="s">
        <v>6126</v>
      </c>
      <c r="D274" s="234" t="s">
        <v>1072</v>
      </c>
      <c r="E274" s="31">
        <v>872</v>
      </c>
      <c r="F274" s="216"/>
      <c r="G274" s="31"/>
      <c r="H274" s="217"/>
    </row>
    <row r="275" spans="1:8" x14ac:dyDescent="0.2">
      <c r="A275" s="26"/>
      <c r="B275" s="252"/>
      <c r="C275" s="26" t="s">
        <v>2318</v>
      </c>
      <c r="D275" s="234"/>
      <c r="E275" s="218">
        <v>4319</v>
      </c>
      <c r="F275" s="219"/>
      <c r="G275" s="218">
        <v>6267</v>
      </c>
      <c r="H275" s="220">
        <v>68.900000000000006</v>
      </c>
    </row>
    <row r="276" spans="1:8" x14ac:dyDescent="0.2">
      <c r="A276" s="26"/>
      <c r="B276" s="252"/>
      <c r="C276" s="214"/>
      <c r="D276" s="234"/>
      <c r="E276" s="88"/>
      <c r="F276" s="84"/>
      <c r="G276" s="88"/>
      <c r="H276" s="235"/>
    </row>
    <row r="277" spans="1:8" x14ac:dyDescent="0.2">
      <c r="A277" s="26" t="s">
        <v>1198</v>
      </c>
      <c r="B277" s="252"/>
      <c r="C277" s="214" t="s">
        <v>5711</v>
      </c>
      <c r="D277" s="234" t="s">
        <v>1071</v>
      </c>
      <c r="E277" s="88">
        <v>2559</v>
      </c>
      <c r="F277" s="84"/>
      <c r="G277" s="88"/>
      <c r="H277" s="235"/>
    </row>
    <row r="278" spans="1:8" x14ac:dyDescent="0.2">
      <c r="A278" s="26"/>
      <c r="B278" s="252"/>
      <c r="C278" s="26" t="s">
        <v>6128</v>
      </c>
      <c r="D278" s="234" t="s">
        <v>5573</v>
      </c>
      <c r="E278" s="88">
        <v>501</v>
      </c>
      <c r="F278" s="84"/>
      <c r="G278" s="88"/>
      <c r="H278" s="235"/>
    </row>
    <row r="279" spans="1:8" x14ac:dyDescent="0.2">
      <c r="A279" s="26"/>
      <c r="B279" s="252"/>
      <c r="C279" s="26" t="s">
        <v>6129</v>
      </c>
      <c r="D279" s="234" t="s">
        <v>1072</v>
      </c>
      <c r="E279" s="88">
        <v>463</v>
      </c>
      <c r="F279" s="84"/>
      <c r="G279" s="88"/>
      <c r="H279" s="235"/>
    </row>
    <row r="280" spans="1:8" x14ac:dyDescent="0.2">
      <c r="A280" s="26"/>
      <c r="B280" s="252"/>
      <c r="C280" s="214"/>
      <c r="D280" s="234"/>
      <c r="E280" s="88">
        <v>3965</v>
      </c>
      <c r="F280" s="84"/>
      <c r="G280" s="88">
        <v>6333</v>
      </c>
      <c r="H280" s="235">
        <v>62.6</v>
      </c>
    </row>
    <row r="281" spans="1:8" x14ac:dyDescent="0.2">
      <c r="A281" s="26"/>
      <c r="B281" s="252"/>
      <c r="C281" s="26" t="s">
        <v>2318</v>
      </c>
      <c r="D281" s="234"/>
      <c r="E281" s="31"/>
      <c r="F281" s="216"/>
      <c r="G281" s="31"/>
      <c r="H281" s="217"/>
    </row>
    <row r="282" spans="1:8" x14ac:dyDescent="0.2">
      <c r="A282" s="26"/>
      <c r="B282" s="252"/>
      <c r="C282" s="26"/>
      <c r="D282" s="234"/>
      <c r="E282" s="88"/>
      <c r="F282" s="84"/>
      <c r="G282" s="88"/>
      <c r="H282" s="235"/>
    </row>
    <row r="283" spans="1:8" x14ac:dyDescent="0.2">
      <c r="A283" s="26" t="s">
        <v>1557</v>
      </c>
      <c r="B283" s="252"/>
      <c r="C283" s="214" t="s">
        <v>5874</v>
      </c>
      <c r="D283" s="234" t="s">
        <v>1071</v>
      </c>
      <c r="E283" s="31">
        <v>2101</v>
      </c>
      <c r="F283" s="216"/>
      <c r="G283" s="31"/>
      <c r="H283" s="217"/>
    </row>
    <row r="284" spans="1:8" x14ac:dyDescent="0.2">
      <c r="A284" s="26"/>
      <c r="B284" s="252"/>
      <c r="C284" s="26" t="s">
        <v>6130</v>
      </c>
      <c r="D284" s="234" t="s">
        <v>5573</v>
      </c>
      <c r="E284" s="31">
        <v>1276</v>
      </c>
      <c r="F284" s="216"/>
      <c r="G284" s="31"/>
      <c r="H284" s="217"/>
    </row>
    <row r="285" spans="1:8" x14ac:dyDescent="0.2">
      <c r="A285" s="26"/>
      <c r="B285" s="252"/>
      <c r="C285" s="26" t="s">
        <v>6131</v>
      </c>
      <c r="D285" s="234" t="s">
        <v>1072</v>
      </c>
      <c r="E285" s="31">
        <v>763</v>
      </c>
      <c r="F285" s="216"/>
      <c r="G285" s="31"/>
      <c r="H285" s="217"/>
    </row>
    <row r="286" spans="1:8" x14ac:dyDescent="0.2">
      <c r="A286" s="26"/>
      <c r="B286" s="252"/>
      <c r="C286" s="26" t="s">
        <v>2318</v>
      </c>
      <c r="D286" s="234"/>
      <c r="E286" s="218">
        <v>4443</v>
      </c>
      <c r="F286" s="219"/>
      <c r="G286" s="218">
        <v>6334</v>
      </c>
      <c r="H286" s="220">
        <v>70.099999999999994</v>
      </c>
    </row>
    <row r="287" spans="1:8" x14ac:dyDescent="0.2">
      <c r="A287" s="26"/>
      <c r="B287" s="252"/>
      <c r="C287" s="26"/>
      <c r="D287" s="234"/>
      <c r="E287" s="88"/>
      <c r="F287" s="84"/>
      <c r="G287" s="88"/>
      <c r="H287" s="235"/>
    </row>
    <row r="288" spans="1:8" x14ac:dyDescent="0.2">
      <c r="A288" s="26" t="s">
        <v>1309</v>
      </c>
      <c r="B288" s="252">
        <v>1</v>
      </c>
      <c r="C288" s="26" t="s">
        <v>6007</v>
      </c>
      <c r="D288" s="234" t="s">
        <v>1071</v>
      </c>
      <c r="E288" s="31">
        <v>1999</v>
      </c>
      <c r="F288" s="216"/>
      <c r="G288" s="31"/>
      <c r="H288" s="217"/>
    </row>
    <row r="289" spans="1:8" x14ac:dyDescent="0.2">
      <c r="A289" s="26"/>
      <c r="B289" s="252"/>
      <c r="C289" s="26" t="s">
        <v>6132</v>
      </c>
      <c r="D289" s="234" t="s">
        <v>1072</v>
      </c>
      <c r="E289" s="31">
        <v>1179</v>
      </c>
      <c r="F289" s="216"/>
      <c r="G289" s="31"/>
      <c r="H289" s="217"/>
    </row>
    <row r="290" spans="1:8" x14ac:dyDescent="0.2">
      <c r="A290" s="26"/>
      <c r="B290" s="252"/>
      <c r="C290" s="26" t="s">
        <v>6133</v>
      </c>
      <c r="D290" s="234" t="s">
        <v>5573</v>
      </c>
      <c r="E290" s="31">
        <v>1158</v>
      </c>
      <c r="F290" s="216"/>
      <c r="G290" s="31"/>
      <c r="H290" s="217"/>
    </row>
    <row r="291" spans="1:8" x14ac:dyDescent="0.2">
      <c r="A291" s="26"/>
      <c r="B291" s="252"/>
      <c r="C291" s="26" t="s">
        <v>2318</v>
      </c>
      <c r="D291" s="234"/>
      <c r="E291" s="218">
        <v>4581</v>
      </c>
      <c r="F291" s="219"/>
      <c r="G291" s="218">
        <v>6372</v>
      </c>
      <c r="H291" s="220">
        <v>71.900000000000006</v>
      </c>
    </row>
    <row r="292" spans="1:8" x14ac:dyDescent="0.2">
      <c r="A292" s="26"/>
      <c r="B292" s="252"/>
      <c r="C292" s="26"/>
      <c r="D292" s="234"/>
      <c r="E292" s="88"/>
      <c r="F292" s="84"/>
      <c r="G292" s="88"/>
      <c r="H292" s="235"/>
    </row>
    <row r="293" spans="1:8" x14ac:dyDescent="0.2">
      <c r="A293" s="26"/>
      <c r="B293" s="252">
        <v>2</v>
      </c>
      <c r="C293" s="214" t="s">
        <v>6007</v>
      </c>
      <c r="D293" s="234" t="s">
        <v>1071</v>
      </c>
      <c r="E293" s="88">
        <v>2196</v>
      </c>
      <c r="F293" s="84"/>
      <c r="G293" s="88"/>
      <c r="H293" s="235"/>
    </row>
    <row r="294" spans="1:8" x14ac:dyDescent="0.2">
      <c r="A294" s="26"/>
      <c r="B294" s="252"/>
      <c r="C294" s="26" t="s">
        <v>6132</v>
      </c>
      <c r="D294" s="234" t="s">
        <v>1072</v>
      </c>
      <c r="E294" s="88">
        <v>1323</v>
      </c>
      <c r="F294" s="84"/>
      <c r="G294" s="88"/>
      <c r="H294" s="235"/>
    </row>
    <row r="295" spans="1:8" x14ac:dyDescent="0.2">
      <c r="A295" s="26"/>
      <c r="B295" s="252"/>
      <c r="C295" s="26" t="s">
        <v>2318</v>
      </c>
      <c r="D295" s="234"/>
      <c r="E295" s="31"/>
      <c r="F295" s="216"/>
      <c r="G295" s="31"/>
      <c r="H295" s="217"/>
    </row>
    <row r="296" spans="1:8" x14ac:dyDescent="0.2">
      <c r="A296" s="26" t="s">
        <v>2564</v>
      </c>
      <c r="B296" s="252"/>
      <c r="C296" s="214" t="s">
        <v>6012</v>
      </c>
      <c r="D296" s="234" t="s">
        <v>1071</v>
      </c>
      <c r="E296" s="31">
        <v>2877</v>
      </c>
      <c r="F296" s="216"/>
      <c r="G296" s="31"/>
      <c r="H296" s="217"/>
    </row>
    <row r="297" spans="1:8" x14ac:dyDescent="0.2">
      <c r="A297" s="26"/>
      <c r="B297" s="252"/>
      <c r="C297" s="26" t="s">
        <v>6134</v>
      </c>
      <c r="D297" s="234" t="s">
        <v>5573</v>
      </c>
      <c r="E297" s="31">
        <v>887</v>
      </c>
      <c r="F297" s="216"/>
      <c r="G297" s="31"/>
      <c r="H297" s="217"/>
    </row>
    <row r="298" spans="1:8" x14ac:dyDescent="0.2">
      <c r="A298" s="26"/>
      <c r="B298" s="252"/>
      <c r="C298" s="26" t="s">
        <v>6135</v>
      </c>
      <c r="D298" s="234" t="s">
        <v>1072</v>
      </c>
      <c r="E298" s="31">
        <v>833</v>
      </c>
      <c r="F298" s="216"/>
      <c r="G298" s="31"/>
      <c r="H298" s="217"/>
    </row>
    <row r="299" spans="1:8" x14ac:dyDescent="0.2">
      <c r="A299" s="26"/>
      <c r="B299" s="252"/>
      <c r="C299" s="26" t="s">
        <v>2318</v>
      </c>
      <c r="D299" s="234"/>
      <c r="E299" s="218">
        <v>4911</v>
      </c>
      <c r="F299" s="219"/>
      <c r="G299" s="218">
        <v>6979</v>
      </c>
      <c r="H299" s="220">
        <v>70.400000000000006</v>
      </c>
    </row>
    <row r="300" spans="1:8" x14ac:dyDescent="0.2">
      <c r="A300" s="26"/>
      <c r="B300" s="252"/>
      <c r="C300" s="26"/>
      <c r="D300" s="234"/>
      <c r="E300" s="88"/>
      <c r="F300" s="84"/>
      <c r="G300" s="88"/>
      <c r="H300" s="235"/>
    </row>
    <row r="301" spans="1:8" x14ac:dyDescent="0.2">
      <c r="A301" s="26" t="s">
        <v>1199</v>
      </c>
      <c r="B301" s="252"/>
      <c r="C301" s="214" t="s">
        <v>5722</v>
      </c>
      <c r="D301" s="234" t="s">
        <v>1071</v>
      </c>
      <c r="E301" s="31">
        <v>1691</v>
      </c>
      <c r="F301" s="216"/>
      <c r="G301" s="31"/>
      <c r="H301" s="217"/>
    </row>
    <row r="302" spans="1:8" x14ac:dyDescent="0.2">
      <c r="A302" s="26"/>
      <c r="B302" s="252"/>
      <c r="C302" s="26" t="s">
        <v>6136</v>
      </c>
      <c r="D302" s="234" t="s">
        <v>1072</v>
      </c>
      <c r="E302" s="31">
        <v>598</v>
      </c>
      <c r="F302" s="216"/>
      <c r="G302" s="31"/>
      <c r="H302" s="217"/>
    </row>
    <row r="303" spans="1:8" x14ac:dyDescent="0.2">
      <c r="A303" s="26"/>
      <c r="B303" s="252"/>
      <c r="C303" s="26" t="s">
        <v>2318</v>
      </c>
      <c r="D303" s="234"/>
      <c r="E303" s="218">
        <v>2635</v>
      </c>
      <c r="F303" s="219"/>
      <c r="G303" s="218">
        <v>4915</v>
      </c>
      <c r="H303" s="220">
        <v>53.6</v>
      </c>
    </row>
    <row r="304" spans="1:8" x14ac:dyDescent="0.2">
      <c r="A304" s="26"/>
      <c r="B304" s="252"/>
      <c r="C304" s="26"/>
      <c r="D304" s="234"/>
      <c r="E304" s="88"/>
      <c r="F304" s="84"/>
      <c r="G304" s="88"/>
      <c r="H304" s="235"/>
    </row>
    <row r="305" spans="1:8" x14ac:dyDescent="0.2">
      <c r="A305" s="26" t="s">
        <v>1311</v>
      </c>
      <c r="B305" s="252"/>
      <c r="C305" s="214" t="s">
        <v>5724</v>
      </c>
      <c r="D305" s="234" t="s">
        <v>1071</v>
      </c>
      <c r="E305" s="31">
        <v>2827</v>
      </c>
      <c r="F305" s="216"/>
      <c r="G305" s="31"/>
      <c r="H305" s="217"/>
    </row>
    <row r="306" spans="1:8" x14ac:dyDescent="0.2">
      <c r="A306" s="26"/>
      <c r="B306" s="252"/>
      <c r="C306" s="26" t="s">
        <v>6137</v>
      </c>
      <c r="D306" s="234" t="s">
        <v>1072</v>
      </c>
      <c r="E306" s="31">
        <v>1414</v>
      </c>
      <c r="F306" s="216"/>
      <c r="G306" s="31"/>
      <c r="H306" s="217"/>
    </row>
    <row r="307" spans="1:8" x14ac:dyDescent="0.2">
      <c r="A307" s="26"/>
      <c r="B307" s="252"/>
      <c r="C307" s="26" t="s">
        <v>6138</v>
      </c>
      <c r="D307" s="234" t="s">
        <v>5573</v>
      </c>
      <c r="E307" s="31">
        <v>1232</v>
      </c>
      <c r="F307" s="216"/>
      <c r="G307" s="31"/>
      <c r="H307" s="217"/>
    </row>
    <row r="308" spans="1:8" x14ac:dyDescent="0.2">
      <c r="A308" s="26"/>
      <c r="B308" s="252"/>
      <c r="C308" s="26" t="s">
        <v>2318</v>
      </c>
      <c r="D308" s="234"/>
      <c r="E308" s="218">
        <v>5688</v>
      </c>
      <c r="F308" s="219"/>
      <c r="G308" s="218">
        <v>7507</v>
      </c>
      <c r="H308" s="220">
        <v>75.8</v>
      </c>
    </row>
    <row r="309" spans="1:8" x14ac:dyDescent="0.2">
      <c r="A309" s="26"/>
      <c r="B309" s="252"/>
      <c r="C309" s="26" t="s">
        <v>2318</v>
      </c>
      <c r="D309" s="234"/>
      <c r="E309" s="31"/>
      <c r="F309" s="216"/>
      <c r="G309" s="31"/>
      <c r="H309" s="217"/>
    </row>
    <row r="310" spans="1:8" x14ac:dyDescent="0.2">
      <c r="A310" s="26" t="s">
        <v>5728</v>
      </c>
      <c r="B310" s="252"/>
      <c r="C310" s="26" t="s">
        <v>5885</v>
      </c>
      <c r="D310" s="234" t="s">
        <v>5573</v>
      </c>
      <c r="E310" s="31">
        <v>1861</v>
      </c>
      <c r="F310" s="216"/>
      <c r="G310" s="31"/>
      <c r="H310" s="217"/>
    </row>
    <row r="311" spans="1:8" x14ac:dyDescent="0.2">
      <c r="A311" s="26"/>
      <c r="B311" s="252"/>
      <c r="C311" s="214" t="s">
        <v>5276</v>
      </c>
      <c r="D311" s="234" t="s">
        <v>1071</v>
      </c>
      <c r="E311" s="31">
        <v>2111</v>
      </c>
      <c r="F311" s="216"/>
      <c r="G311" s="31"/>
      <c r="H311" s="217"/>
    </row>
    <row r="312" spans="1:8" x14ac:dyDescent="0.2">
      <c r="A312" s="26"/>
      <c r="B312" s="252"/>
      <c r="C312" s="26" t="s">
        <v>2318</v>
      </c>
      <c r="D312" s="234"/>
      <c r="E312" s="218">
        <v>4093</v>
      </c>
      <c r="F312" s="219"/>
      <c r="G312" s="218">
        <v>5638</v>
      </c>
      <c r="H312" s="220">
        <v>72.599999999999994</v>
      </c>
    </row>
    <row r="313" spans="1:8" x14ac:dyDescent="0.2">
      <c r="A313" s="26"/>
      <c r="B313" s="252"/>
      <c r="C313" s="234"/>
      <c r="D313" s="234"/>
      <c r="E313" s="223"/>
      <c r="F313" s="217"/>
      <c r="G313" s="223"/>
      <c r="H313" s="217"/>
    </row>
    <row r="314" spans="1:8" x14ac:dyDescent="0.2">
      <c r="A314" s="145" t="s">
        <v>1131</v>
      </c>
      <c r="B314" s="257"/>
      <c r="C314" s="145"/>
      <c r="D314" s="146"/>
      <c r="E314" s="147">
        <v>310362</v>
      </c>
      <c r="F314" s="148"/>
      <c r="G314" s="147">
        <v>489311</v>
      </c>
      <c r="H314" s="148">
        <v>63.4</v>
      </c>
    </row>
    <row r="315" spans="1:8" x14ac:dyDescent="0.2">
      <c r="A315" s="77"/>
      <c r="B315" s="258"/>
      <c r="C315" s="77"/>
      <c r="D315" s="78"/>
      <c r="E315" s="88"/>
      <c r="F315" s="84"/>
      <c r="G315" s="88"/>
      <c r="H315" s="84"/>
    </row>
    <row r="316" spans="1:8" x14ac:dyDescent="0.2">
      <c r="A316" s="227" t="s">
        <v>1289</v>
      </c>
      <c r="B316" s="259"/>
      <c r="C316" s="228"/>
      <c r="D316" s="228"/>
      <c r="E316" s="229"/>
      <c r="F316" s="230"/>
      <c r="G316" s="231"/>
      <c r="H316" s="232"/>
    </row>
    <row r="317" spans="1:8" x14ac:dyDescent="0.2">
      <c r="A317" s="276" t="s">
        <v>2934</v>
      </c>
      <c r="B317" s="276"/>
      <c r="C317" s="276"/>
      <c r="D317" s="276"/>
      <c r="E317" s="276"/>
      <c r="F317" s="276"/>
      <c r="G317" s="276"/>
      <c r="H317" s="276"/>
    </row>
    <row r="318" spans="1:8" x14ac:dyDescent="0.2">
      <c r="A318" s="276" t="s">
        <v>4764</v>
      </c>
      <c r="B318" s="276"/>
      <c r="C318" s="276"/>
      <c r="D318" s="276"/>
      <c r="E318" s="276"/>
      <c r="F318" s="276"/>
      <c r="G318" s="276"/>
      <c r="H318" s="276"/>
    </row>
    <row r="319" spans="1:8" x14ac:dyDescent="0.2">
      <c r="A319" s="26" t="s">
        <v>4774</v>
      </c>
      <c r="B319" s="252"/>
      <c r="C319" s="26"/>
      <c r="D319" s="234"/>
      <c r="E319" s="31"/>
      <c r="F319" s="216"/>
      <c r="G319" s="31"/>
      <c r="H319" s="217"/>
    </row>
  </sheetData>
  <mergeCells count="4">
    <mergeCell ref="A1:H1"/>
    <mergeCell ref="F2:H2"/>
    <mergeCell ref="A317:H317"/>
    <mergeCell ref="A318:H318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3"/>
  <sheetViews>
    <sheetView topLeftCell="A312" workbookViewId="0">
      <selection activeCell="H338" sqref="H338"/>
    </sheetView>
  </sheetViews>
  <sheetFormatPr defaultRowHeight="12.75" x14ac:dyDescent="0.2"/>
  <cols>
    <col min="1" max="1" width="17.28515625" style="209" customWidth="1"/>
    <col min="2" max="2" width="4.7109375" style="256" customWidth="1"/>
    <col min="3" max="3" width="23.140625" style="209" bestFit="1" customWidth="1"/>
    <col min="4" max="4" width="23.5703125" style="209" customWidth="1"/>
    <col min="5" max="5" width="12.85546875" style="209" customWidth="1"/>
    <col min="6" max="6" width="9.140625" style="209"/>
    <col min="7" max="7" width="11.28515625" style="209" bestFit="1" customWidth="1"/>
    <col min="8" max="16384" width="9.140625" style="209"/>
  </cols>
  <sheetData>
    <row r="1" spans="1:10" ht="15.75" x14ac:dyDescent="0.2">
      <c r="A1" s="270" t="s">
        <v>2332</v>
      </c>
      <c r="B1" s="270"/>
      <c r="C1" s="270"/>
      <c r="D1" s="270"/>
      <c r="E1" s="270"/>
      <c r="F1" s="270"/>
      <c r="G1" s="270"/>
      <c r="H1" s="270"/>
    </row>
    <row r="2" spans="1:10" ht="13.5" thickBot="1" x14ac:dyDescent="0.25">
      <c r="A2" s="210" t="s">
        <v>4782</v>
      </c>
      <c r="B2" s="253"/>
      <c r="C2" s="210" t="s">
        <v>5890</v>
      </c>
      <c r="D2" s="211" t="s">
        <v>5891</v>
      </c>
      <c r="E2" s="212"/>
      <c r="F2" s="275" t="s">
        <v>2933</v>
      </c>
      <c r="G2" s="275"/>
      <c r="H2" s="275"/>
    </row>
    <row r="3" spans="1:10" ht="39" thickBot="1" x14ac:dyDescent="0.25">
      <c r="A3" s="58" t="s">
        <v>1284</v>
      </c>
      <c r="B3" s="254"/>
      <c r="C3" s="59" t="s">
        <v>1300</v>
      </c>
      <c r="D3" s="59" t="s">
        <v>2652</v>
      </c>
      <c r="E3" s="73" t="s">
        <v>4765</v>
      </c>
      <c r="F3" s="74" t="s">
        <v>1286</v>
      </c>
      <c r="G3" s="73" t="s">
        <v>1287</v>
      </c>
      <c r="H3" s="74" t="s">
        <v>4766</v>
      </c>
      <c r="J3" s="213"/>
    </row>
    <row r="4" spans="1:10" x14ac:dyDescent="0.2">
      <c r="A4" s="247"/>
      <c r="B4" s="255"/>
      <c r="C4" s="248"/>
      <c r="D4" s="248"/>
      <c r="E4" s="249"/>
      <c r="F4" s="250"/>
      <c r="G4" s="249"/>
      <c r="H4" s="250"/>
      <c r="J4" s="213"/>
    </row>
    <row r="5" spans="1:10" x14ac:dyDescent="0.2">
      <c r="A5" s="60"/>
      <c r="B5" s="60"/>
      <c r="C5" s="61"/>
      <c r="D5" s="66"/>
      <c r="E5" s="87"/>
      <c r="F5" s="80"/>
      <c r="G5" s="87"/>
      <c r="H5" s="80"/>
    </row>
    <row r="6" spans="1:10" ht="22.5" x14ac:dyDescent="0.2">
      <c r="A6" s="152" t="s">
        <v>5571</v>
      </c>
      <c r="B6" s="243"/>
      <c r="C6" s="244" t="s">
        <v>5731</v>
      </c>
      <c r="D6" s="242" t="s">
        <v>1071</v>
      </c>
      <c r="E6" s="245" t="s">
        <v>1200</v>
      </c>
      <c r="F6" s="246"/>
      <c r="G6" s="245"/>
      <c r="H6" s="246"/>
    </row>
    <row r="7" spans="1:10" x14ac:dyDescent="0.2">
      <c r="A7" s="60"/>
      <c r="B7" s="60"/>
      <c r="C7" s="61"/>
      <c r="D7" s="66"/>
      <c r="E7" s="87"/>
      <c r="F7" s="80"/>
      <c r="G7" s="87"/>
      <c r="H7" s="80"/>
    </row>
    <row r="8" spans="1:10" x14ac:dyDescent="0.2">
      <c r="A8" s="242" t="s">
        <v>3267</v>
      </c>
      <c r="B8" s="243"/>
      <c r="C8" s="244" t="s">
        <v>5893</v>
      </c>
      <c r="D8" s="242" t="s">
        <v>1071</v>
      </c>
      <c r="E8" s="245">
        <v>2412</v>
      </c>
      <c r="F8" s="246"/>
      <c r="G8" s="245"/>
      <c r="H8" s="246"/>
    </row>
    <row r="9" spans="1:10" x14ac:dyDescent="0.2">
      <c r="A9" s="243"/>
      <c r="B9" s="243"/>
      <c r="C9" s="241" t="s">
        <v>5894</v>
      </c>
      <c r="D9" s="234" t="s">
        <v>5573</v>
      </c>
      <c r="E9" s="245">
        <v>1071</v>
      </c>
      <c r="F9" s="246"/>
      <c r="G9" s="245"/>
      <c r="H9" s="246"/>
    </row>
    <row r="10" spans="1:10" x14ac:dyDescent="0.2">
      <c r="A10" s="243"/>
      <c r="B10" s="243"/>
      <c r="C10" s="241" t="s">
        <v>2318</v>
      </c>
      <c r="D10" s="242"/>
      <c r="E10" s="245">
        <v>3733</v>
      </c>
      <c r="F10" s="246"/>
      <c r="G10" s="245">
        <v>6410</v>
      </c>
      <c r="H10" s="246">
        <v>58.2</v>
      </c>
    </row>
    <row r="11" spans="1:10" x14ac:dyDescent="0.2">
      <c r="A11" s="237"/>
      <c r="B11" s="237"/>
      <c r="C11" s="76"/>
      <c r="D11" s="238"/>
      <c r="E11" s="239"/>
      <c r="F11" s="240"/>
      <c r="G11" s="239"/>
      <c r="H11" s="240"/>
    </row>
    <row r="12" spans="1:10" x14ac:dyDescent="0.2">
      <c r="A12" s="26" t="s">
        <v>2266</v>
      </c>
      <c r="B12" s="251"/>
      <c r="C12" s="214" t="s">
        <v>5189</v>
      </c>
      <c r="D12" s="234" t="s">
        <v>1071</v>
      </c>
      <c r="E12" s="31">
        <v>2012</v>
      </c>
      <c r="F12" s="216"/>
      <c r="G12" s="31"/>
      <c r="H12" s="217"/>
    </row>
    <row r="13" spans="1:10" x14ac:dyDescent="0.2">
      <c r="A13" s="26"/>
      <c r="B13" s="252"/>
      <c r="C13" s="26" t="s">
        <v>5895</v>
      </c>
      <c r="D13" s="234" t="s">
        <v>1072</v>
      </c>
      <c r="E13" s="31">
        <v>864</v>
      </c>
      <c r="F13" s="216"/>
      <c r="G13" s="31"/>
      <c r="H13" s="217"/>
    </row>
    <row r="14" spans="1:10" x14ac:dyDescent="0.2">
      <c r="A14" s="26"/>
      <c r="B14" s="252"/>
      <c r="C14" s="26" t="s">
        <v>5896</v>
      </c>
      <c r="D14" s="234" t="s">
        <v>5573</v>
      </c>
      <c r="E14" s="31">
        <v>623</v>
      </c>
      <c r="F14" s="216"/>
      <c r="G14" s="31"/>
      <c r="H14" s="217"/>
    </row>
    <row r="15" spans="1:10" x14ac:dyDescent="0.2">
      <c r="A15" s="26"/>
      <c r="B15" s="252"/>
      <c r="C15" s="26" t="s">
        <v>5897</v>
      </c>
      <c r="D15" s="234" t="s">
        <v>5898</v>
      </c>
      <c r="E15" s="31">
        <v>463</v>
      </c>
      <c r="F15" s="216"/>
      <c r="G15" s="31"/>
      <c r="H15" s="217"/>
    </row>
    <row r="16" spans="1:10" x14ac:dyDescent="0.2">
      <c r="A16" s="26"/>
      <c r="B16" s="252"/>
      <c r="C16" s="26"/>
      <c r="D16" s="234"/>
      <c r="E16" s="218">
        <v>4283</v>
      </c>
      <c r="F16" s="219"/>
      <c r="G16" s="218">
        <v>6457</v>
      </c>
      <c r="H16" s="220">
        <v>66.3</v>
      </c>
    </row>
    <row r="17" spans="1:8" x14ac:dyDescent="0.2">
      <c r="A17" s="26"/>
      <c r="B17" s="252"/>
      <c r="C17" s="26" t="s">
        <v>2318</v>
      </c>
      <c r="D17" s="234"/>
      <c r="E17" s="31"/>
      <c r="F17" s="216"/>
      <c r="G17" s="31"/>
      <c r="H17" s="217"/>
    </row>
    <row r="18" spans="1:8" x14ac:dyDescent="0.2">
      <c r="A18" s="26" t="s">
        <v>1008</v>
      </c>
      <c r="B18" s="252"/>
      <c r="C18" s="214" t="s">
        <v>5738</v>
      </c>
      <c r="D18" s="234" t="s">
        <v>1071</v>
      </c>
      <c r="E18" s="31">
        <v>1845</v>
      </c>
      <c r="F18" s="216"/>
      <c r="G18" s="31"/>
      <c r="H18" s="217"/>
    </row>
    <row r="19" spans="1:8" x14ac:dyDescent="0.2">
      <c r="A19" s="26"/>
      <c r="B19" s="252"/>
      <c r="C19" s="26" t="s">
        <v>5899</v>
      </c>
      <c r="D19" s="234" t="s">
        <v>1072</v>
      </c>
      <c r="E19" s="31">
        <v>1035</v>
      </c>
      <c r="F19" s="216"/>
      <c r="G19" s="31"/>
      <c r="H19" s="217"/>
    </row>
    <row r="20" spans="1:8" x14ac:dyDescent="0.2">
      <c r="A20" s="26"/>
      <c r="B20" s="252"/>
      <c r="C20" s="26" t="s">
        <v>5901</v>
      </c>
      <c r="D20" s="234" t="s">
        <v>5900</v>
      </c>
      <c r="E20" s="31">
        <v>491</v>
      </c>
      <c r="F20" s="216"/>
      <c r="G20" s="31"/>
      <c r="H20" s="217"/>
    </row>
    <row r="21" spans="1:8" x14ac:dyDescent="0.2">
      <c r="A21" s="26"/>
      <c r="B21" s="252"/>
      <c r="C21" s="26" t="s">
        <v>2318</v>
      </c>
      <c r="D21" s="234"/>
      <c r="E21" s="218">
        <v>3654</v>
      </c>
      <c r="F21" s="219"/>
      <c r="G21" s="218">
        <v>6430</v>
      </c>
      <c r="H21" s="220">
        <v>56.8</v>
      </c>
    </row>
    <row r="22" spans="1:8" x14ac:dyDescent="0.2">
      <c r="A22" s="26"/>
      <c r="B22" s="252"/>
      <c r="C22" s="26" t="s">
        <v>2318</v>
      </c>
      <c r="D22" s="234"/>
      <c r="E22" s="31"/>
      <c r="F22" s="216"/>
      <c r="G22" s="31"/>
      <c r="H22" s="217"/>
    </row>
    <row r="23" spans="1:8" x14ac:dyDescent="0.2">
      <c r="A23" s="26" t="s">
        <v>1974</v>
      </c>
      <c r="B23" s="252"/>
      <c r="C23" s="26" t="s">
        <v>5902</v>
      </c>
      <c r="D23" s="234" t="s">
        <v>1072</v>
      </c>
      <c r="E23" s="31">
        <v>1290</v>
      </c>
      <c r="F23" s="216"/>
      <c r="G23" s="31"/>
      <c r="H23" s="217"/>
    </row>
    <row r="24" spans="1:8" x14ac:dyDescent="0.2">
      <c r="A24" s="26"/>
      <c r="B24" s="252"/>
      <c r="C24" s="214" t="s">
        <v>1084</v>
      </c>
      <c r="D24" s="234" t="s">
        <v>1071</v>
      </c>
      <c r="E24" s="31">
        <v>2497</v>
      </c>
      <c r="F24" s="216"/>
      <c r="G24" s="31"/>
      <c r="H24" s="217"/>
    </row>
    <row r="25" spans="1:8" x14ac:dyDescent="0.2">
      <c r="A25" s="26"/>
      <c r="B25" s="252"/>
      <c r="C25" s="26" t="s">
        <v>2318</v>
      </c>
      <c r="D25" s="234"/>
      <c r="E25" s="218">
        <v>4002</v>
      </c>
      <c r="F25" s="219"/>
      <c r="G25" s="218">
        <v>5935</v>
      </c>
      <c r="H25" s="220">
        <v>67.400000000000006</v>
      </c>
    </row>
    <row r="26" spans="1:8" x14ac:dyDescent="0.2">
      <c r="A26" s="26"/>
      <c r="B26" s="252"/>
      <c r="C26" s="26" t="s">
        <v>2318</v>
      </c>
      <c r="D26" s="234"/>
      <c r="E26" s="31"/>
      <c r="F26" s="216"/>
      <c r="G26" s="31"/>
      <c r="H26" s="217"/>
    </row>
    <row r="27" spans="1:8" x14ac:dyDescent="0.2">
      <c r="A27" s="26" t="s">
        <v>5197</v>
      </c>
      <c r="B27" s="252"/>
      <c r="C27" s="214" t="s">
        <v>1085</v>
      </c>
      <c r="D27" s="234" t="s">
        <v>1071</v>
      </c>
      <c r="E27" s="31">
        <v>2330</v>
      </c>
      <c r="F27" s="216"/>
      <c r="G27" s="31"/>
      <c r="H27" s="217"/>
    </row>
    <row r="28" spans="1:8" x14ac:dyDescent="0.2">
      <c r="A28" s="26"/>
      <c r="B28" s="252"/>
      <c r="C28" s="26" t="s">
        <v>5903</v>
      </c>
      <c r="D28" s="234" t="s">
        <v>1072</v>
      </c>
      <c r="E28" s="31">
        <v>2569</v>
      </c>
      <c r="F28" s="216"/>
      <c r="G28" s="31"/>
      <c r="H28" s="217"/>
    </row>
    <row r="29" spans="1:8" x14ac:dyDescent="0.2">
      <c r="A29" s="26"/>
      <c r="B29" s="252"/>
      <c r="C29" s="26" t="s">
        <v>2318</v>
      </c>
      <c r="D29" s="234"/>
      <c r="E29" s="218">
        <v>4387</v>
      </c>
      <c r="F29" s="219"/>
      <c r="G29" s="218">
        <v>6463</v>
      </c>
      <c r="H29" s="220">
        <v>67.900000000000006</v>
      </c>
    </row>
    <row r="30" spans="1:8" x14ac:dyDescent="0.2">
      <c r="A30" s="26"/>
      <c r="B30" s="252"/>
      <c r="C30" s="26" t="s">
        <v>2318</v>
      </c>
      <c r="D30" s="234"/>
      <c r="E30" s="31"/>
      <c r="F30" s="216"/>
      <c r="G30" s="31"/>
      <c r="H30" s="217"/>
    </row>
    <row r="31" spans="1:8" x14ac:dyDescent="0.2">
      <c r="A31" s="26" t="s">
        <v>5584</v>
      </c>
      <c r="B31" s="252"/>
      <c r="C31" s="214" t="s">
        <v>5585</v>
      </c>
      <c r="D31" s="234" t="s">
        <v>1071</v>
      </c>
      <c r="E31" s="31">
        <v>2157</v>
      </c>
      <c r="F31" s="216"/>
      <c r="G31" s="31"/>
      <c r="H31" s="217"/>
    </row>
    <row r="32" spans="1:8" x14ac:dyDescent="0.2">
      <c r="B32" s="252"/>
      <c r="C32" s="26" t="s">
        <v>5904</v>
      </c>
      <c r="D32" s="234" t="s">
        <v>5573</v>
      </c>
      <c r="E32" s="31">
        <v>1210</v>
      </c>
      <c r="F32" s="216"/>
      <c r="G32" s="31"/>
      <c r="H32" s="217"/>
    </row>
    <row r="33" spans="1:9" x14ac:dyDescent="0.2">
      <c r="B33" s="252"/>
      <c r="C33" s="26" t="s">
        <v>5905</v>
      </c>
      <c r="D33" s="234" t="s">
        <v>1072</v>
      </c>
      <c r="E33" s="31">
        <v>756</v>
      </c>
      <c r="F33" s="216"/>
      <c r="G33" s="31"/>
      <c r="H33" s="217"/>
    </row>
    <row r="34" spans="1:9" x14ac:dyDescent="0.2">
      <c r="B34" s="252"/>
      <c r="C34" s="26"/>
      <c r="D34" s="234"/>
      <c r="E34" s="218">
        <v>4401</v>
      </c>
      <c r="F34" s="219"/>
      <c r="G34" s="218">
        <v>6478</v>
      </c>
      <c r="H34" s="220">
        <v>67.900000000000006</v>
      </c>
    </row>
    <row r="35" spans="1:9" x14ac:dyDescent="0.2">
      <c r="B35" s="252"/>
      <c r="C35" s="26"/>
      <c r="D35" s="234"/>
      <c r="E35" s="88"/>
      <c r="F35" s="84"/>
      <c r="G35" s="88"/>
      <c r="H35" s="235"/>
    </row>
    <row r="36" spans="1:9" x14ac:dyDescent="0.2">
      <c r="A36" s="26" t="s">
        <v>1086</v>
      </c>
      <c r="B36" s="252">
        <v>1</v>
      </c>
      <c r="C36" s="26" t="s">
        <v>5906</v>
      </c>
      <c r="D36" s="234" t="s">
        <v>5573</v>
      </c>
      <c r="E36" s="31">
        <v>633</v>
      </c>
      <c r="F36" s="216"/>
      <c r="G36" s="31"/>
      <c r="H36" s="217"/>
      <c r="I36" s="26"/>
    </row>
    <row r="37" spans="1:9" x14ac:dyDescent="0.2">
      <c r="A37" s="26"/>
      <c r="B37" s="252"/>
      <c r="C37" s="26" t="s">
        <v>5744</v>
      </c>
      <c r="D37" s="234" t="s">
        <v>1239</v>
      </c>
      <c r="E37" s="31">
        <v>3126</v>
      </c>
      <c r="F37" s="216"/>
      <c r="G37" s="31"/>
      <c r="H37" s="217"/>
      <c r="I37" s="26"/>
    </row>
    <row r="38" spans="1:9" x14ac:dyDescent="0.2">
      <c r="A38" s="26"/>
      <c r="B38" s="252"/>
      <c r="C38" s="26" t="s">
        <v>5907</v>
      </c>
      <c r="D38" s="234" t="s">
        <v>1072</v>
      </c>
      <c r="E38" s="31">
        <v>563</v>
      </c>
      <c r="F38" s="216"/>
      <c r="G38" s="31"/>
      <c r="H38" s="217"/>
      <c r="I38" s="26"/>
    </row>
    <row r="39" spans="1:9" x14ac:dyDescent="0.2">
      <c r="A39" s="26"/>
      <c r="B39" s="252"/>
      <c r="C39" s="26" t="s">
        <v>5908</v>
      </c>
      <c r="D39" s="234" t="s">
        <v>1071</v>
      </c>
      <c r="E39" s="31">
        <v>2390</v>
      </c>
      <c r="F39" s="1"/>
      <c r="G39" s="1"/>
      <c r="H39" s="1"/>
      <c r="I39" s="26"/>
    </row>
    <row r="40" spans="1:9" x14ac:dyDescent="0.2">
      <c r="A40" s="26"/>
      <c r="B40" s="252"/>
      <c r="C40" s="26" t="s">
        <v>5421</v>
      </c>
      <c r="D40" s="234" t="s">
        <v>1071</v>
      </c>
      <c r="E40" s="31">
        <v>3974</v>
      </c>
      <c r="F40" s="1"/>
      <c r="G40" s="1"/>
      <c r="H40" s="1"/>
      <c r="I40" s="26"/>
    </row>
    <row r="41" spans="1:9" x14ac:dyDescent="0.2">
      <c r="A41" s="26"/>
      <c r="B41" s="252"/>
      <c r="C41" s="26" t="s">
        <v>5226</v>
      </c>
      <c r="D41" s="234" t="s">
        <v>1071</v>
      </c>
      <c r="E41" s="31">
        <v>2677</v>
      </c>
      <c r="F41" s="1"/>
      <c r="G41" s="1"/>
      <c r="H41" s="1"/>
      <c r="I41" s="26"/>
    </row>
    <row r="42" spans="1:9" x14ac:dyDescent="0.2">
      <c r="A42" s="26"/>
      <c r="B42" s="252"/>
      <c r="C42" s="26" t="s">
        <v>5909</v>
      </c>
      <c r="D42" s="234" t="s">
        <v>5573</v>
      </c>
      <c r="E42" s="31">
        <v>378</v>
      </c>
      <c r="F42" s="1"/>
      <c r="G42" s="1"/>
      <c r="H42" s="1"/>
      <c r="I42" s="26"/>
    </row>
    <row r="43" spans="1:9" x14ac:dyDescent="0.2">
      <c r="A43" s="26"/>
      <c r="B43" s="252"/>
      <c r="C43" s="26" t="s">
        <v>5910</v>
      </c>
      <c r="D43" s="234" t="s">
        <v>1071</v>
      </c>
      <c r="E43" s="31">
        <v>2820</v>
      </c>
      <c r="F43" s="1"/>
      <c r="G43" s="1"/>
      <c r="H43" s="1"/>
      <c r="I43" s="26"/>
    </row>
    <row r="44" spans="1:9" x14ac:dyDescent="0.2">
      <c r="A44" s="26"/>
      <c r="B44" s="252"/>
      <c r="C44" s="26" t="s">
        <v>5911</v>
      </c>
      <c r="D44" s="234" t="s">
        <v>1072</v>
      </c>
      <c r="E44" s="31">
        <v>287</v>
      </c>
      <c r="F44" s="1"/>
      <c r="G44" s="1"/>
      <c r="H44" s="1"/>
      <c r="I44" s="26"/>
    </row>
    <row r="45" spans="1:9" x14ac:dyDescent="0.2">
      <c r="A45" s="26"/>
      <c r="B45" s="252"/>
      <c r="C45" s="26" t="s">
        <v>5912</v>
      </c>
      <c r="D45" s="234" t="s">
        <v>1239</v>
      </c>
      <c r="E45" s="31">
        <v>905</v>
      </c>
      <c r="F45" s="1"/>
      <c r="G45" s="1"/>
      <c r="H45" s="1"/>
      <c r="I45" s="26"/>
    </row>
    <row r="46" spans="1:9" x14ac:dyDescent="0.2">
      <c r="A46" s="26"/>
      <c r="B46" s="252"/>
      <c r="C46" s="26" t="s">
        <v>5913</v>
      </c>
      <c r="D46" s="234" t="s">
        <v>1239</v>
      </c>
      <c r="E46" s="31">
        <v>670</v>
      </c>
      <c r="F46" s="1"/>
      <c r="G46" s="1"/>
      <c r="H46" s="1"/>
      <c r="I46" s="26"/>
    </row>
    <row r="47" spans="1:9" x14ac:dyDescent="0.2">
      <c r="A47" s="26"/>
      <c r="B47" s="252"/>
      <c r="C47" s="26" t="s">
        <v>5914</v>
      </c>
      <c r="D47" s="234" t="s">
        <v>1239</v>
      </c>
      <c r="E47" s="31">
        <v>764</v>
      </c>
      <c r="F47" s="1"/>
      <c r="G47" s="1"/>
      <c r="H47" s="1"/>
      <c r="I47" s="26"/>
    </row>
    <row r="48" spans="1:9" x14ac:dyDescent="0.2">
      <c r="A48" s="26"/>
      <c r="B48" s="252"/>
      <c r="C48" s="26" t="s">
        <v>2037</v>
      </c>
      <c r="D48" s="234" t="s">
        <v>5573</v>
      </c>
      <c r="E48" s="31">
        <v>1991</v>
      </c>
      <c r="F48" s="1"/>
      <c r="G48" s="1"/>
      <c r="H48" s="1"/>
      <c r="I48" s="26"/>
    </row>
    <row r="49" spans="1:9" x14ac:dyDescent="0.2">
      <c r="A49" s="26"/>
      <c r="B49" s="252"/>
      <c r="C49" s="26" t="s">
        <v>5915</v>
      </c>
      <c r="D49" s="234" t="s">
        <v>5573</v>
      </c>
      <c r="E49" s="31">
        <v>243</v>
      </c>
      <c r="F49" s="1"/>
      <c r="G49" s="1"/>
      <c r="H49" s="1"/>
      <c r="I49" s="26"/>
    </row>
    <row r="50" spans="1:9" x14ac:dyDescent="0.2">
      <c r="A50" s="26"/>
      <c r="B50" s="252"/>
      <c r="C50" s="26" t="s">
        <v>5916</v>
      </c>
      <c r="D50" s="234" t="s">
        <v>1918</v>
      </c>
      <c r="E50" s="31">
        <v>527</v>
      </c>
      <c r="F50" s="1"/>
      <c r="G50" s="1"/>
      <c r="H50" s="1"/>
      <c r="I50" s="26"/>
    </row>
    <row r="51" spans="1:9" x14ac:dyDescent="0.2">
      <c r="A51" s="26"/>
      <c r="B51" s="252"/>
      <c r="C51" s="26" t="s">
        <v>5753</v>
      </c>
      <c r="D51" s="234" t="s">
        <v>1072</v>
      </c>
      <c r="E51" s="31">
        <v>555</v>
      </c>
      <c r="F51" s="1"/>
      <c r="G51" s="1"/>
      <c r="H51" s="1"/>
      <c r="I51" s="26"/>
    </row>
    <row r="52" spans="1:9" x14ac:dyDescent="0.2">
      <c r="A52" s="26"/>
      <c r="B52" s="252"/>
      <c r="C52" s="26" t="s">
        <v>5917</v>
      </c>
      <c r="D52" s="234" t="s">
        <v>1071</v>
      </c>
      <c r="E52" s="31">
        <v>4214</v>
      </c>
      <c r="F52" s="1"/>
      <c r="G52" s="1"/>
      <c r="H52" s="1"/>
      <c r="I52" s="26"/>
    </row>
    <row r="53" spans="1:9" x14ac:dyDescent="0.2">
      <c r="A53" s="26"/>
      <c r="B53" s="252"/>
      <c r="C53" s="26" t="s">
        <v>5918</v>
      </c>
      <c r="D53" s="234" t="s">
        <v>1072</v>
      </c>
      <c r="E53" s="31">
        <v>2711</v>
      </c>
      <c r="F53" s="1"/>
      <c r="G53" s="1"/>
      <c r="H53" s="1"/>
      <c r="I53" s="26"/>
    </row>
    <row r="54" spans="1:9" x14ac:dyDescent="0.2">
      <c r="A54" s="26"/>
      <c r="B54" s="252"/>
      <c r="C54" s="26" t="s">
        <v>5919</v>
      </c>
      <c r="D54" s="234" t="s">
        <v>5925</v>
      </c>
      <c r="E54" s="31">
        <v>2927</v>
      </c>
      <c r="F54" s="1"/>
      <c r="G54" s="1"/>
      <c r="H54" s="1"/>
      <c r="I54" s="26"/>
    </row>
    <row r="55" spans="1:9" x14ac:dyDescent="0.2">
      <c r="A55" s="26"/>
      <c r="B55" s="252"/>
      <c r="C55" s="26" t="s">
        <v>5920</v>
      </c>
      <c r="D55" s="234" t="s">
        <v>5573</v>
      </c>
      <c r="E55" s="31">
        <v>333</v>
      </c>
      <c r="F55" s="1"/>
      <c r="G55" s="1"/>
      <c r="H55" s="1"/>
      <c r="I55" s="26"/>
    </row>
    <row r="56" spans="1:9" x14ac:dyDescent="0.2">
      <c r="A56" s="26"/>
      <c r="B56" s="252"/>
      <c r="C56" s="26" t="s">
        <v>5921</v>
      </c>
      <c r="D56" s="234" t="s">
        <v>1072</v>
      </c>
      <c r="E56" s="31">
        <v>857</v>
      </c>
      <c r="F56" s="1"/>
      <c r="G56" s="1"/>
      <c r="H56" s="1"/>
      <c r="I56" s="26"/>
    </row>
    <row r="57" spans="1:9" x14ac:dyDescent="0.2">
      <c r="A57" s="26"/>
      <c r="B57" s="252"/>
      <c r="C57" s="26" t="s">
        <v>5922</v>
      </c>
      <c r="D57" s="234" t="s">
        <v>5573</v>
      </c>
      <c r="E57" s="31">
        <v>213</v>
      </c>
      <c r="F57" s="1"/>
      <c r="G57" s="1"/>
      <c r="H57" s="1"/>
      <c r="I57" s="26"/>
    </row>
    <row r="58" spans="1:9" x14ac:dyDescent="0.2">
      <c r="A58" s="26"/>
      <c r="B58" s="252"/>
      <c r="C58" s="26" t="s">
        <v>5923</v>
      </c>
      <c r="D58" s="234" t="s">
        <v>1072</v>
      </c>
      <c r="E58" s="31">
        <v>313</v>
      </c>
      <c r="F58" s="1"/>
      <c r="G58" s="1"/>
      <c r="H58" s="1"/>
      <c r="I58" s="26"/>
    </row>
    <row r="59" spans="1:9" x14ac:dyDescent="0.2">
      <c r="A59" s="26"/>
      <c r="B59" s="252"/>
      <c r="C59" s="26" t="s">
        <v>5762</v>
      </c>
      <c r="D59" s="234" t="s">
        <v>1071</v>
      </c>
      <c r="E59" s="31">
        <v>6796</v>
      </c>
      <c r="F59" s="1"/>
      <c r="G59" s="1"/>
      <c r="H59" s="1"/>
      <c r="I59" s="26"/>
    </row>
    <row r="60" spans="1:9" x14ac:dyDescent="0.2">
      <c r="A60" s="26"/>
      <c r="B60" s="252"/>
      <c r="C60" s="26" t="s">
        <v>5924</v>
      </c>
      <c r="D60" s="234" t="s">
        <v>1239</v>
      </c>
      <c r="E60" s="31">
        <v>806</v>
      </c>
      <c r="F60" s="1"/>
      <c r="G60" s="1"/>
      <c r="H60" s="1"/>
      <c r="I60" s="26"/>
    </row>
    <row r="61" spans="1:9" x14ac:dyDescent="0.2">
      <c r="A61" s="26"/>
      <c r="B61" s="252"/>
      <c r="C61" s="26"/>
      <c r="D61" s="234"/>
      <c r="E61" s="31">
        <v>43367</v>
      </c>
      <c r="F61" s="1"/>
      <c r="G61" s="1">
        <v>91289</v>
      </c>
      <c r="H61" s="1">
        <v>47.5</v>
      </c>
      <c r="I61" s="26"/>
    </row>
    <row r="62" spans="1:9" x14ac:dyDescent="0.2">
      <c r="A62" s="26"/>
      <c r="B62" s="252"/>
      <c r="C62" s="26"/>
      <c r="D62" s="234"/>
      <c r="E62" s="1"/>
      <c r="F62" s="1"/>
      <c r="G62" s="1"/>
      <c r="H62" s="1"/>
      <c r="I62" s="26"/>
    </row>
    <row r="63" spans="1:9" x14ac:dyDescent="0.2">
      <c r="A63" s="26"/>
      <c r="B63" s="252">
        <v>2</v>
      </c>
      <c r="C63" s="214" t="s">
        <v>5762</v>
      </c>
      <c r="D63" s="234" t="s">
        <v>1071</v>
      </c>
      <c r="E63" s="31">
        <v>5967</v>
      </c>
      <c r="F63" s="1"/>
      <c r="G63" s="1"/>
      <c r="H63" s="1"/>
      <c r="I63" s="26"/>
    </row>
    <row r="64" spans="1:9" x14ac:dyDescent="0.2">
      <c r="A64" s="26"/>
      <c r="B64" s="252"/>
      <c r="C64" s="214" t="s">
        <v>5421</v>
      </c>
      <c r="D64" s="234" t="s">
        <v>1071</v>
      </c>
      <c r="E64" s="31">
        <v>5959</v>
      </c>
      <c r="F64" s="1"/>
      <c r="G64" s="1"/>
      <c r="H64" s="1"/>
      <c r="I64" s="26"/>
    </row>
    <row r="65" spans="1:9" x14ac:dyDescent="0.2">
      <c r="A65" s="26"/>
      <c r="B65" s="252"/>
      <c r="C65" s="214" t="s">
        <v>5917</v>
      </c>
      <c r="D65" s="234" t="s">
        <v>1071</v>
      </c>
      <c r="E65" s="31">
        <v>5957</v>
      </c>
      <c r="F65" s="1"/>
      <c r="G65" s="1"/>
      <c r="H65" s="1"/>
      <c r="I65" s="26"/>
    </row>
    <row r="66" spans="1:9" x14ac:dyDescent="0.2">
      <c r="A66" s="26"/>
      <c r="B66" s="252"/>
      <c r="C66" s="214" t="s">
        <v>5744</v>
      </c>
      <c r="D66" s="234" t="s">
        <v>1239</v>
      </c>
      <c r="E66" s="31">
        <v>6269</v>
      </c>
      <c r="F66" s="1"/>
      <c r="G66" s="1"/>
      <c r="H66" s="1"/>
      <c r="I66" s="26"/>
    </row>
    <row r="67" spans="1:9" x14ac:dyDescent="0.2">
      <c r="A67" s="26"/>
      <c r="B67" s="252"/>
      <c r="C67" s="214" t="s">
        <v>5226</v>
      </c>
      <c r="D67" s="234" t="s">
        <v>1071</v>
      </c>
      <c r="E67" s="31">
        <v>5966</v>
      </c>
      <c r="F67" s="1"/>
      <c r="G67" s="1"/>
      <c r="H67" s="1"/>
      <c r="I67" s="26"/>
    </row>
    <row r="68" spans="1:9" x14ac:dyDescent="0.2">
      <c r="A68" s="26"/>
      <c r="B68" s="252"/>
      <c r="C68" s="214" t="s">
        <v>5918</v>
      </c>
      <c r="D68" s="234" t="s">
        <v>1072</v>
      </c>
      <c r="E68" s="31">
        <v>5216</v>
      </c>
      <c r="F68" s="1"/>
      <c r="G68" s="1"/>
      <c r="H68" s="1"/>
      <c r="I68" s="26"/>
    </row>
    <row r="69" spans="1:9" x14ac:dyDescent="0.2">
      <c r="A69" s="26"/>
      <c r="B69" s="252"/>
      <c r="C69" s="26" t="s">
        <v>2318</v>
      </c>
      <c r="D69" s="234"/>
      <c r="E69" s="31"/>
      <c r="F69" s="216"/>
      <c r="G69" s="31"/>
      <c r="H69" s="217"/>
    </row>
    <row r="70" spans="1:9" x14ac:dyDescent="0.2">
      <c r="A70" s="26" t="s">
        <v>1125</v>
      </c>
      <c r="B70" s="252"/>
      <c r="C70" s="26" t="s">
        <v>5926</v>
      </c>
      <c r="D70" s="234" t="s">
        <v>1072</v>
      </c>
      <c r="E70" s="31">
        <v>1015</v>
      </c>
      <c r="F70" s="216"/>
      <c r="G70" s="31"/>
      <c r="H70" s="217"/>
    </row>
    <row r="71" spans="1:9" x14ac:dyDescent="0.2">
      <c r="A71" s="26"/>
      <c r="B71" s="252"/>
      <c r="C71" s="26" t="s">
        <v>5611</v>
      </c>
      <c r="D71" s="234" t="s">
        <v>5573</v>
      </c>
      <c r="E71" s="31">
        <v>1132</v>
      </c>
      <c r="F71" s="216"/>
      <c r="G71" s="31"/>
      <c r="H71" s="217"/>
    </row>
    <row r="72" spans="1:9" x14ac:dyDescent="0.2">
      <c r="A72" s="26"/>
      <c r="B72" s="252"/>
      <c r="C72" s="214" t="s">
        <v>5235</v>
      </c>
      <c r="D72" s="234" t="s">
        <v>1071</v>
      </c>
      <c r="E72" s="31">
        <v>2919</v>
      </c>
      <c r="F72" s="216"/>
      <c r="G72" s="31"/>
      <c r="H72" s="217"/>
    </row>
    <row r="73" spans="1:9" x14ac:dyDescent="0.2">
      <c r="A73" s="26"/>
      <c r="B73" s="252"/>
      <c r="C73" s="26" t="s">
        <v>2318</v>
      </c>
      <c r="D73" s="234"/>
      <c r="E73" s="218">
        <v>5360</v>
      </c>
      <c r="F73" s="219"/>
      <c r="G73" s="218">
        <v>8229</v>
      </c>
      <c r="H73" s="220">
        <v>65.099999999999994</v>
      </c>
    </row>
    <row r="74" spans="1:9" x14ac:dyDescent="0.2">
      <c r="A74" s="26"/>
      <c r="B74" s="252"/>
      <c r="C74" s="26"/>
      <c r="D74" s="234"/>
      <c r="E74" s="88"/>
      <c r="F74" s="84"/>
      <c r="G74" s="88"/>
      <c r="H74" s="235"/>
    </row>
    <row r="75" spans="1:9" x14ac:dyDescent="0.2">
      <c r="A75" s="26" t="s">
        <v>1427</v>
      </c>
      <c r="B75" s="252"/>
      <c r="C75" s="26" t="s">
        <v>5927</v>
      </c>
      <c r="D75" s="234" t="s">
        <v>1072</v>
      </c>
      <c r="E75" s="31">
        <v>630</v>
      </c>
      <c r="F75" s="216"/>
      <c r="G75" s="31"/>
      <c r="H75" s="217"/>
    </row>
    <row r="76" spans="1:9" x14ac:dyDescent="0.2">
      <c r="A76" s="26"/>
      <c r="B76" s="252"/>
      <c r="C76" s="214" t="s">
        <v>5447</v>
      </c>
      <c r="D76" s="234" t="s">
        <v>1071</v>
      </c>
      <c r="E76" s="31">
        <v>2011</v>
      </c>
      <c r="F76" s="216"/>
      <c r="G76" s="31"/>
      <c r="H76" s="217"/>
    </row>
    <row r="77" spans="1:9" x14ac:dyDescent="0.2">
      <c r="A77" s="26"/>
      <c r="B77" s="252"/>
      <c r="C77" s="26" t="s">
        <v>2318</v>
      </c>
      <c r="D77" s="234"/>
      <c r="E77" s="218">
        <v>2740</v>
      </c>
      <c r="F77" s="219"/>
      <c r="G77" s="218">
        <v>4891</v>
      </c>
      <c r="H77" s="220">
        <v>56</v>
      </c>
    </row>
    <row r="78" spans="1:9" x14ac:dyDescent="0.2">
      <c r="A78" s="26"/>
      <c r="B78" s="252"/>
      <c r="C78" s="26" t="s">
        <v>2318</v>
      </c>
      <c r="D78" s="234"/>
      <c r="E78" s="31"/>
      <c r="F78" s="216"/>
      <c r="G78" s="31"/>
      <c r="H78" s="217"/>
    </row>
    <row r="79" spans="1:9" x14ac:dyDescent="0.2">
      <c r="A79" s="26" t="s">
        <v>1430</v>
      </c>
      <c r="B79" s="252"/>
      <c r="C79" s="214" t="s">
        <v>5450</v>
      </c>
      <c r="D79" s="234" t="s">
        <v>1071</v>
      </c>
      <c r="E79" s="31">
        <v>2238</v>
      </c>
      <c r="F79" s="216"/>
      <c r="G79" s="31"/>
      <c r="H79" s="217"/>
    </row>
    <row r="80" spans="1:9" x14ac:dyDescent="0.2">
      <c r="A80" s="26"/>
      <c r="B80" s="252"/>
      <c r="C80" s="26" t="s">
        <v>5770</v>
      </c>
      <c r="D80" s="234" t="s">
        <v>5573</v>
      </c>
      <c r="E80" s="31">
        <v>935</v>
      </c>
      <c r="F80" s="216"/>
      <c r="G80" s="31"/>
      <c r="H80" s="217"/>
    </row>
    <row r="81" spans="1:8" x14ac:dyDescent="0.2">
      <c r="A81" s="26"/>
      <c r="B81" s="252"/>
      <c r="C81" s="26" t="s">
        <v>5928</v>
      </c>
      <c r="D81" s="234" t="s">
        <v>1072</v>
      </c>
      <c r="E81" s="31">
        <v>769</v>
      </c>
      <c r="F81" s="216"/>
      <c r="G81" s="31"/>
      <c r="H81" s="217"/>
    </row>
    <row r="82" spans="1:8" x14ac:dyDescent="0.2">
      <c r="A82" s="26"/>
      <c r="B82" s="252"/>
      <c r="C82" s="26" t="s">
        <v>2318</v>
      </c>
      <c r="D82" s="234"/>
      <c r="E82" s="218">
        <v>4204</v>
      </c>
      <c r="F82" s="219"/>
      <c r="G82" s="218">
        <v>6354</v>
      </c>
      <c r="H82" s="220">
        <v>66.2</v>
      </c>
    </row>
    <row r="83" spans="1:8" x14ac:dyDescent="0.2">
      <c r="A83" s="26"/>
      <c r="B83" s="252"/>
      <c r="C83" s="26"/>
      <c r="D83" s="234"/>
      <c r="E83" s="88"/>
      <c r="F83" s="84"/>
      <c r="G83" s="88"/>
      <c r="H83" s="235"/>
    </row>
    <row r="84" spans="1:8" x14ac:dyDescent="0.2">
      <c r="A84" s="26" t="s">
        <v>2268</v>
      </c>
      <c r="B84" s="252"/>
      <c r="C84" s="26" t="s">
        <v>5929</v>
      </c>
      <c r="D84" s="234" t="s">
        <v>1072</v>
      </c>
      <c r="E84" s="31">
        <v>1048</v>
      </c>
      <c r="F84" s="216"/>
      <c r="G84" s="31"/>
      <c r="H84" s="217"/>
    </row>
    <row r="85" spans="1:8" x14ac:dyDescent="0.2">
      <c r="A85" s="26"/>
      <c r="B85" s="252"/>
      <c r="C85" s="214" t="s">
        <v>5930</v>
      </c>
      <c r="D85" s="234" t="s">
        <v>1071</v>
      </c>
      <c r="E85" s="31">
        <v>2240</v>
      </c>
      <c r="F85" s="216"/>
      <c r="G85" s="31"/>
      <c r="H85" s="217"/>
    </row>
    <row r="86" spans="1:8" x14ac:dyDescent="0.2">
      <c r="A86" s="26"/>
      <c r="B86" s="252"/>
      <c r="C86" s="26" t="s">
        <v>2318</v>
      </c>
      <c r="D86" s="234"/>
      <c r="E86" s="218">
        <v>3454</v>
      </c>
      <c r="F86" s="219"/>
      <c r="G86" s="218">
        <v>5645</v>
      </c>
      <c r="H86" s="220">
        <v>61.2</v>
      </c>
    </row>
    <row r="87" spans="1:8" x14ac:dyDescent="0.2">
      <c r="A87" s="26"/>
      <c r="B87" s="252"/>
      <c r="C87" s="26" t="s">
        <v>2318</v>
      </c>
      <c r="D87" s="234"/>
      <c r="E87" s="31"/>
      <c r="F87" s="216"/>
      <c r="G87" s="31"/>
      <c r="H87" s="217"/>
    </row>
    <row r="88" spans="1:8" x14ac:dyDescent="0.2">
      <c r="A88" s="26" t="s">
        <v>369</v>
      </c>
      <c r="B88" s="252"/>
      <c r="C88" s="214" t="s">
        <v>5931</v>
      </c>
      <c r="D88" s="234" t="s">
        <v>1071</v>
      </c>
      <c r="E88" s="31">
        <v>2870</v>
      </c>
      <c r="F88" s="216"/>
      <c r="G88" s="31"/>
      <c r="H88" s="217"/>
    </row>
    <row r="89" spans="1:8" x14ac:dyDescent="0.2">
      <c r="A89" s="26"/>
      <c r="B89" s="252"/>
      <c r="C89" s="26" t="s">
        <v>5932</v>
      </c>
      <c r="D89" s="234" t="s">
        <v>1072</v>
      </c>
      <c r="E89" s="31">
        <v>1253</v>
      </c>
      <c r="F89" s="216"/>
      <c r="G89" s="31"/>
      <c r="H89" s="217"/>
    </row>
    <row r="90" spans="1:8" x14ac:dyDescent="0.2">
      <c r="A90" s="26"/>
      <c r="B90" s="252"/>
      <c r="C90" s="26" t="s">
        <v>2318</v>
      </c>
      <c r="D90" s="234"/>
      <c r="E90" s="218">
        <v>4315</v>
      </c>
      <c r="F90" s="219"/>
      <c r="G90" s="218">
        <v>6964</v>
      </c>
      <c r="H90" s="220">
        <v>62</v>
      </c>
    </row>
    <row r="91" spans="1:8" x14ac:dyDescent="0.2">
      <c r="A91" s="26"/>
      <c r="B91" s="252"/>
      <c r="C91" s="26" t="s">
        <v>2318</v>
      </c>
      <c r="D91" s="234"/>
      <c r="E91" s="31"/>
      <c r="F91" s="216"/>
      <c r="G91" s="31"/>
      <c r="H91" s="217"/>
    </row>
    <row r="92" spans="1:8" x14ac:dyDescent="0.2">
      <c r="A92" s="26" t="s">
        <v>1977</v>
      </c>
      <c r="B92" s="252"/>
      <c r="C92" s="26" t="s">
        <v>5933</v>
      </c>
      <c r="D92" s="234" t="s">
        <v>5578</v>
      </c>
      <c r="E92" s="31">
        <v>308</v>
      </c>
      <c r="F92" s="216"/>
      <c r="G92" s="31"/>
      <c r="H92" s="217"/>
    </row>
    <row r="93" spans="1:8" x14ac:dyDescent="0.2">
      <c r="A93" s="26"/>
      <c r="B93" s="252"/>
      <c r="C93" s="214" t="s">
        <v>5934</v>
      </c>
      <c r="D93" s="234" t="s">
        <v>1071</v>
      </c>
      <c r="E93" s="31">
        <v>3458</v>
      </c>
      <c r="F93" s="216"/>
      <c r="G93" s="31"/>
      <c r="H93" s="217"/>
    </row>
    <row r="94" spans="1:8" x14ac:dyDescent="0.2">
      <c r="A94" s="26"/>
      <c r="B94" s="252"/>
      <c r="C94" s="26" t="s">
        <v>2318</v>
      </c>
      <c r="D94" s="234"/>
      <c r="E94" s="218">
        <v>4052</v>
      </c>
      <c r="F94" s="219"/>
      <c r="G94" s="218">
        <v>6531</v>
      </c>
      <c r="H94" s="220">
        <v>62</v>
      </c>
    </row>
    <row r="95" spans="1:8" x14ac:dyDescent="0.2">
      <c r="A95" s="26"/>
      <c r="B95" s="252"/>
      <c r="C95" s="26" t="s">
        <v>2318</v>
      </c>
      <c r="D95" s="234"/>
      <c r="E95" s="31"/>
      <c r="F95" s="216"/>
      <c r="G95" s="31"/>
      <c r="H95" s="217"/>
    </row>
    <row r="96" spans="1:8" x14ac:dyDescent="0.2">
      <c r="A96" s="26" t="s">
        <v>1919</v>
      </c>
      <c r="B96" s="252">
        <v>1</v>
      </c>
      <c r="C96" s="26" t="s">
        <v>5626</v>
      </c>
      <c r="D96" s="234" t="s">
        <v>5573</v>
      </c>
      <c r="E96" s="31">
        <v>658</v>
      </c>
      <c r="F96" s="216"/>
      <c r="G96" s="31"/>
      <c r="H96" s="217"/>
    </row>
    <row r="97" spans="1:8" x14ac:dyDescent="0.2">
      <c r="A97" s="26"/>
      <c r="B97" s="252"/>
      <c r="C97" s="26" t="s">
        <v>5935</v>
      </c>
      <c r="D97" s="234" t="s">
        <v>1071</v>
      </c>
      <c r="E97" s="31">
        <v>1126</v>
      </c>
      <c r="F97" s="216"/>
      <c r="G97" s="31"/>
      <c r="H97" s="217"/>
    </row>
    <row r="98" spans="1:8" x14ac:dyDescent="0.2">
      <c r="A98" s="26"/>
      <c r="B98" s="252"/>
      <c r="C98" s="26" t="s">
        <v>5936</v>
      </c>
      <c r="D98" s="234" t="s">
        <v>1071</v>
      </c>
      <c r="E98" s="31">
        <v>1135</v>
      </c>
      <c r="F98" s="216"/>
      <c r="G98" s="31"/>
      <c r="H98" s="217"/>
    </row>
    <row r="99" spans="1:8" x14ac:dyDescent="0.2">
      <c r="A99" s="26"/>
      <c r="B99" s="252"/>
      <c r="C99" s="26" t="s">
        <v>5937</v>
      </c>
      <c r="D99" s="234" t="s">
        <v>1072</v>
      </c>
      <c r="E99" s="31">
        <v>819</v>
      </c>
      <c r="F99" s="216"/>
      <c r="G99" s="31"/>
      <c r="H99" s="217"/>
    </row>
    <row r="100" spans="1:8" x14ac:dyDescent="0.2">
      <c r="A100" s="26"/>
      <c r="B100" s="252"/>
      <c r="C100" s="26" t="s">
        <v>5938</v>
      </c>
      <c r="D100" s="234" t="s">
        <v>1072</v>
      </c>
      <c r="E100" s="218">
        <v>1340</v>
      </c>
      <c r="F100" s="219"/>
      <c r="G100" s="218"/>
      <c r="H100" s="220"/>
    </row>
    <row r="101" spans="1:8" x14ac:dyDescent="0.2">
      <c r="A101" s="26"/>
      <c r="B101" s="252"/>
      <c r="C101" s="26" t="s">
        <v>5939</v>
      </c>
      <c r="D101" s="234" t="s">
        <v>1072</v>
      </c>
      <c r="E101" s="31">
        <v>632</v>
      </c>
      <c r="F101" s="216"/>
      <c r="G101" s="31"/>
      <c r="H101" s="217"/>
    </row>
    <row r="102" spans="1:8" x14ac:dyDescent="0.2">
      <c r="A102" s="26"/>
      <c r="B102" s="252"/>
      <c r="C102" s="26" t="s">
        <v>5267</v>
      </c>
      <c r="D102" s="234" t="s">
        <v>5573</v>
      </c>
      <c r="E102" s="31">
        <v>413</v>
      </c>
      <c r="F102" s="216"/>
      <c r="G102" s="31"/>
      <c r="H102" s="217"/>
    </row>
    <row r="103" spans="1:8" x14ac:dyDescent="0.2">
      <c r="A103" s="26"/>
      <c r="B103" s="252"/>
      <c r="C103" s="26" t="s">
        <v>5271</v>
      </c>
      <c r="D103" s="234" t="s">
        <v>1071</v>
      </c>
      <c r="E103" s="31">
        <v>769</v>
      </c>
      <c r="F103" s="216"/>
      <c r="G103" s="31"/>
      <c r="H103" s="217"/>
    </row>
    <row r="104" spans="1:8" x14ac:dyDescent="0.2">
      <c r="A104" s="26"/>
      <c r="B104" s="252"/>
      <c r="C104" s="26" t="s">
        <v>5940</v>
      </c>
      <c r="D104" s="234" t="s">
        <v>1071</v>
      </c>
      <c r="E104" s="31">
        <v>834</v>
      </c>
      <c r="F104" s="216"/>
      <c r="G104" s="31"/>
      <c r="H104" s="217"/>
    </row>
    <row r="105" spans="1:8" x14ac:dyDescent="0.2">
      <c r="A105" s="26"/>
      <c r="B105" s="252"/>
      <c r="C105" s="26" t="s">
        <v>4890</v>
      </c>
      <c r="D105" s="234" t="s">
        <v>1071</v>
      </c>
      <c r="E105" s="218">
        <v>1381</v>
      </c>
      <c r="F105" s="219"/>
      <c r="G105" s="218"/>
      <c r="H105" s="220"/>
    </row>
    <row r="106" spans="1:8" x14ac:dyDescent="0.2">
      <c r="A106" s="26"/>
      <c r="B106" s="252"/>
      <c r="C106" s="26" t="s">
        <v>5941</v>
      </c>
      <c r="D106" s="234" t="s">
        <v>1072</v>
      </c>
      <c r="E106" s="31">
        <v>608</v>
      </c>
      <c r="F106" s="216"/>
      <c r="G106" s="31"/>
      <c r="H106" s="217"/>
    </row>
    <row r="107" spans="1:8" x14ac:dyDescent="0.2">
      <c r="A107" s="26"/>
      <c r="B107" s="252"/>
      <c r="C107" s="26" t="s">
        <v>5942</v>
      </c>
      <c r="D107" s="234" t="s">
        <v>5573</v>
      </c>
      <c r="E107" s="31">
        <v>619</v>
      </c>
      <c r="F107" s="216"/>
      <c r="G107" s="31"/>
      <c r="H107" s="217"/>
    </row>
    <row r="108" spans="1:8" x14ac:dyDescent="0.2">
      <c r="A108" s="26"/>
      <c r="B108" s="252"/>
      <c r="C108" s="26" t="s">
        <v>5624</v>
      </c>
      <c r="D108" s="234" t="s">
        <v>5573</v>
      </c>
      <c r="E108" s="31">
        <v>500</v>
      </c>
      <c r="F108" s="216"/>
      <c r="G108" s="31"/>
      <c r="H108" s="217"/>
    </row>
    <row r="109" spans="1:8" x14ac:dyDescent="0.2">
      <c r="A109" s="26"/>
      <c r="B109" s="252"/>
      <c r="C109" s="26" t="s">
        <v>5943</v>
      </c>
      <c r="D109" s="234" t="s">
        <v>1736</v>
      </c>
      <c r="E109" s="31">
        <v>432</v>
      </c>
      <c r="F109" s="216"/>
      <c r="G109" s="31"/>
      <c r="H109" s="217"/>
    </row>
    <row r="110" spans="1:8" x14ac:dyDescent="0.2">
      <c r="A110" s="26"/>
      <c r="B110" s="252"/>
      <c r="C110" s="26" t="s">
        <v>5944</v>
      </c>
      <c r="D110" s="234" t="s">
        <v>1072</v>
      </c>
      <c r="E110" s="31">
        <v>1136</v>
      </c>
      <c r="F110" s="216"/>
      <c r="G110" s="31"/>
      <c r="H110" s="217"/>
    </row>
    <row r="111" spans="1:8" x14ac:dyDescent="0.2">
      <c r="A111" s="26"/>
      <c r="B111" s="252"/>
      <c r="C111" s="26" t="s">
        <v>5789</v>
      </c>
      <c r="D111" s="234" t="s">
        <v>1071</v>
      </c>
      <c r="E111" s="31">
        <v>17022</v>
      </c>
      <c r="F111" s="216"/>
      <c r="G111" s="31"/>
      <c r="H111" s="217"/>
    </row>
    <row r="112" spans="1:8" x14ac:dyDescent="0.2">
      <c r="A112" s="26"/>
      <c r="B112" s="252"/>
      <c r="C112" s="26" t="s">
        <v>5945</v>
      </c>
      <c r="D112" s="234" t="s">
        <v>1736</v>
      </c>
      <c r="E112" s="218">
        <v>1060</v>
      </c>
      <c r="F112" s="219"/>
      <c r="G112" s="218"/>
      <c r="H112" s="220"/>
    </row>
    <row r="113" spans="1:8" x14ac:dyDescent="0.2">
      <c r="A113" s="26"/>
      <c r="B113" s="252"/>
      <c r="C113" s="26" t="s">
        <v>5946</v>
      </c>
      <c r="D113" s="234" t="s">
        <v>1736</v>
      </c>
      <c r="E113" s="31">
        <v>430</v>
      </c>
      <c r="F113" s="216"/>
      <c r="G113" s="31"/>
      <c r="H113" s="217"/>
    </row>
    <row r="114" spans="1:8" x14ac:dyDescent="0.2">
      <c r="A114" s="26"/>
      <c r="B114" s="252"/>
      <c r="C114" s="26" t="s">
        <v>5947</v>
      </c>
      <c r="D114" s="234" t="s">
        <v>1736</v>
      </c>
      <c r="E114" s="31">
        <v>2212</v>
      </c>
      <c r="F114" s="216"/>
      <c r="G114" s="31"/>
      <c r="H114" s="217"/>
    </row>
    <row r="115" spans="1:8" x14ac:dyDescent="0.2">
      <c r="A115" s="26"/>
      <c r="B115" s="252"/>
      <c r="C115" s="26" t="s">
        <v>5948</v>
      </c>
      <c r="D115" s="234" t="s">
        <v>1072</v>
      </c>
      <c r="E115" s="31">
        <v>7264</v>
      </c>
      <c r="F115" s="216"/>
      <c r="G115" s="31"/>
      <c r="H115" s="217"/>
    </row>
    <row r="116" spans="1:8" x14ac:dyDescent="0.2">
      <c r="A116" s="26"/>
      <c r="B116" s="252"/>
      <c r="C116" s="26" t="s">
        <v>5795</v>
      </c>
      <c r="D116" s="234" t="s">
        <v>5573</v>
      </c>
      <c r="E116" s="31">
        <v>6632</v>
      </c>
      <c r="F116" s="216"/>
      <c r="G116" s="31"/>
      <c r="H116" s="217"/>
    </row>
    <row r="117" spans="1:8" x14ac:dyDescent="0.2">
      <c r="A117" s="26"/>
      <c r="B117" s="252"/>
      <c r="C117" s="26" t="s">
        <v>5796</v>
      </c>
      <c r="D117" s="234" t="s">
        <v>1071</v>
      </c>
      <c r="E117" s="31">
        <v>1757</v>
      </c>
      <c r="F117" s="216"/>
      <c r="G117" s="31"/>
      <c r="H117" s="217"/>
    </row>
    <row r="118" spans="1:8" x14ac:dyDescent="0.2">
      <c r="A118" s="26"/>
      <c r="B118" s="252"/>
      <c r="C118" s="26" t="s">
        <v>5949</v>
      </c>
      <c r="D118" s="234" t="s">
        <v>5573</v>
      </c>
      <c r="E118" s="31">
        <v>383</v>
      </c>
      <c r="F118" s="216"/>
      <c r="G118" s="31"/>
      <c r="H118" s="217"/>
    </row>
    <row r="119" spans="1:8" x14ac:dyDescent="0.2">
      <c r="A119" s="26"/>
      <c r="B119" s="252"/>
      <c r="C119" s="26" t="s">
        <v>5950</v>
      </c>
      <c r="D119" s="234" t="s">
        <v>1736</v>
      </c>
      <c r="E119" s="218">
        <v>189</v>
      </c>
      <c r="F119" s="219"/>
      <c r="G119" s="218"/>
      <c r="H119" s="220"/>
    </row>
    <row r="120" spans="1:8" x14ac:dyDescent="0.2">
      <c r="A120" s="26"/>
      <c r="B120" s="252"/>
      <c r="C120" s="26" t="s">
        <v>5951</v>
      </c>
      <c r="D120" s="234" t="s">
        <v>1736</v>
      </c>
      <c r="E120" s="88">
        <v>105</v>
      </c>
      <c r="F120" s="84"/>
      <c r="G120" s="88"/>
      <c r="H120" s="235"/>
    </row>
    <row r="121" spans="1:8" x14ac:dyDescent="0.2">
      <c r="A121" s="26"/>
      <c r="B121" s="252"/>
      <c r="C121" s="26" t="s">
        <v>5952</v>
      </c>
      <c r="D121" s="234" t="s">
        <v>5578</v>
      </c>
      <c r="E121" s="31">
        <v>824</v>
      </c>
      <c r="F121" s="216"/>
      <c r="G121" s="31"/>
      <c r="H121" s="217"/>
    </row>
    <row r="122" spans="1:8" x14ac:dyDescent="0.2">
      <c r="A122" s="26"/>
      <c r="B122" s="252"/>
      <c r="C122" s="26" t="s">
        <v>5953</v>
      </c>
      <c r="D122" s="234" t="s">
        <v>1072</v>
      </c>
      <c r="E122" s="31">
        <v>875</v>
      </c>
      <c r="F122" s="216"/>
      <c r="G122" s="31"/>
      <c r="H122" s="217"/>
    </row>
    <row r="123" spans="1:8" x14ac:dyDescent="0.2">
      <c r="A123" s="26"/>
      <c r="B123" s="252"/>
      <c r="C123" s="26" t="s">
        <v>5954</v>
      </c>
      <c r="D123" s="234" t="s">
        <v>1736</v>
      </c>
      <c r="E123" s="31">
        <v>272</v>
      </c>
      <c r="F123" s="216"/>
      <c r="G123" s="31"/>
      <c r="H123" s="217"/>
    </row>
    <row r="124" spans="1:8" x14ac:dyDescent="0.2">
      <c r="A124" s="26"/>
      <c r="B124" s="252"/>
      <c r="C124" s="26" t="s">
        <v>5955</v>
      </c>
      <c r="D124" s="234" t="s">
        <v>5573</v>
      </c>
      <c r="E124" s="31">
        <v>612</v>
      </c>
      <c r="F124" s="216"/>
      <c r="G124" s="31"/>
      <c r="H124" s="217"/>
    </row>
    <row r="125" spans="1:8" x14ac:dyDescent="0.2">
      <c r="A125" s="26"/>
      <c r="B125" s="252"/>
      <c r="C125" s="26"/>
      <c r="D125" s="234"/>
      <c r="E125" s="31">
        <v>57256</v>
      </c>
      <c r="F125" s="216"/>
      <c r="G125" s="31">
        <v>108424</v>
      </c>
      <c r="H125" s="217">
        <v>52.8</v>
      </c>
    </row>
    <row r="126" spans="1:8" x14ac:dyDescent="0.2">
      <c r="A126" s="26"/>
      <c r="B126" s="252"/>
      <c r="C126" s="26"/>
      <c r="D126" s="234"/>
      <c r="E126" s="31"/>
      <c r="F126" s="216"/>
      <c r="G126" s="31"/>
      <c r="H126" s="217"/>
    </row>
    <row r="127" spans="1:8" x14ac:dyDescent="0.2">
      <c r="A127" s="26"/>
      <c r="B127" s="252">
        <v>2</v>
      </c>
      <c r="C127" s="214" t="s">
        <v>5789</v>
      </c>
      <c r="D127" s="234" t="s">
        <v>1071</v>
      </c>
      <c r="E127" s="31">
        <v>6505</v>
      </c>
      <c r="F127" s="216"/>
      <c r="G127" s="31"/>
      <c r="H127" s="217"/>
    </row>
    <row r="128" spans="1:8" x14ac:dyDescent="0.2">
      <c r="A128" s="26"/>
      <c r="B128" s="252"/>
      <c r="C128" s="214" t="s">
        <v>5948</v>
      </c>
      <c r="D128" s="234" t="s">
        <v>1072</v>
      </c>
      <c r="E128" s="31">
        <v>6505</v>
      </c>
      <c r="F128" s="216"/>
      <c r="G128" s="31"/>
      <c r="H128" s="217"/>
    </row>
    <row r="129" spans="1:8" x14ac:dyDescent="0.2">
      <c r="A129" s="26"/>
      <c r="B129" s="252"/>
      <c r="C129" s="214" t="s">
        <v>5795</v>
      </c>
      <c r="D129" s="234" t="s">
        <v>5573</v>
      </c>
      <c r="E129" s="31">
        <v>6505</v>
      </c>
      <c r="F129" s="216"/>
      <c r="G129" s="31"/>
      <c r="H129" s="217"/>
    </row>
    <row r="130" spans="1:8" x14ac:dyDescent="0.2">
      <c r="A130" s="26"/>
      <c r="B130" s="252"/>
      <c r="C130" s="214" t="s">
        <v>5796</v>
      </c>
      <c r="D130" s="234" t="s">
        <v>1071</v>
      </c>
      <c r="E130" s="31">
        <v>6505</v>
      </c>
      <c r="F130" s="216"/>
      <c r="G130" s="31"/>
      <c r="H130" s="217"/>
    </row>
    <row r="131" spans="1:8" x14ac:dyDescent="0.2">
      <c r="A131" s="26"/>
      <c r="B131" s="252"/>
      <c r="C131" s="214" t="s">
        <v>5271</v>
      </c>
      <c r="D131" s="234" t="s">
        <v>1071</v>
      </c>
      <c r="E131" s="31">
        <v>5895</v>
      </c>
      <c r="F131" s="216"/>
      <c r="G131" s="31"/>
      <c r="H131" s="217"/>
    </row>
    <row r="132" spans="1:8" ht="12.75" customHeight="1" x14ac:dyDescent="0.2">
      <c r="A132" s="26"/>
      <c r="B132" s="252"/>
      <c r="C132" s="214" t="s">
        <v>5947</v>
      </c>
      <c r="D132" s="234" t="s">
        <v>1736</v>
      </c>
      <c r="E132" s="31">
        <v>5504</v>
      </c>
      <c r="F132" s="216"/>
      <c r="G132" s="31"/>
      <c r="H132" s="217"/>
    </row>
    <row r="133" spans="1:8" x14ac:dyDescent="0.2">
      <c r="A133" s="26"/>
      <c r="B133" s="252"/>
      <c r="C133" s="214" t="s">
        <v>5953</v>
      </c>
      <c r="D133" s="234" t="s">
        <v>1072</v>
      </c>
      <c r="E133" s="218">
        <v>4921</v>
      </c>
      <c r="F133" s="219"/>
      <c r="G133" s="218"/>
      <c r="H133" s="220"/>
    </row>
    <row r="134" spans="1:8" x14ac:dyDescent="0.2">
      <c r="A134" s="26"/>
      <c r="B134" s="252"/>
      <c r="C134" s="26" t="s">
        <v>2318</v>
      </c>
      <c r="D134" s="234"/>
      <c r="E134" s="31"/>
      <c r="F134" s="216"/>
      <c r="G134" s="31"/>
      <c r="H134" s="217"/>
    </row>
    <row r="135" spans="1:8" x14ac:dyDescent="0.2">
      <c r="A135" s="26" t="s">
        <v>2269</v>
      </c>
      <c r="B135" s="252"/>
      <c r="C135" s="26" t="s">
        <v>5802</v>
      </c>
      <c r="D135" s="234" t="s">
        <v>1072</v>
      </c>
      <c r="E135" s="31">
        <v>1965</v>
      </c>
      <c r="F135" s="216"/>
      <c r="G135" s="31"/>
      <c r="H135" s="217"/>
    </row>
    <row r="136" spans="1:8" x14ac:dyDescent="0.2">
      <c r="A136" s="26"/>
      <c r="B136" s="252"/>
      <c r="C136" s="214" t="s">
        <v>5956</v>
      </c>
      <c r="D136" s="234" t="s">
        <v>1071</v>
      </c>
      <c r="E136" s="31">
        <v>2480</v>
      </c>
      <c r="F136" s="216"/>
      <c r="G136" s="31"/>
      <c r="H136" s="217"/>
    </row>
    <row r="137" spans="1:8" x14ac:dyDescent="0.2">
      <c r="A137" s="26"/>
      <c r="B137" s="252"/>
      <c r="C137" s="26" t="s">
        <v>2318</v>
      </c>
      <c r="D137" s="234"/>
      <c r="E137" s="218">
        <v>4780</v>
      </c>
      <c r="F137" s="219"/>
      <c r="G137" s="218">
        <v>7862</v>
      </c>
      <c r="H137" s="220">
        <v>60.8</v>
      </c>
    </row>
    <row r="138" spans="1:8" x14ac:dyDescent="0.2">
      <c r="A138" s="26"/>
      <c r="B138" s="252"/>
      <c r="C138" s="26" t="s">
        <v>2318</v>
      </c>
      <c r="D138" s="234"/>
      <c r="E138" s="31"/>
      <c r="F138" s="216"/>
      <c r="G138" s="31"/>
      <c r="H138" s="217"/>
    </row>
    <row r="139" spans="1:8" x14ac:dyDescent="0.2">
      <c r="A139" s="26" t="s">
        <v>3265</v>
      </c>
      <c r="B139" s="252"/>
      <c r="C139" s="214" t="s">
        <v>5643</v>
      </c>
      <c r="D139" s="234" t="s">
        <v>1071</v>
      </c>
      <c r="E139" s="31">
        <v>2061</v>
      </c>
      <c r="F139" s="216"/>
      <c r="G139" s="31"/>
      <c r="H139" s="217"/>
    </row>
    <row r="140" spans="1:8" x14ac:dyDescent="0.2">
      <c r="A140" s="26"/>
      <c r="B140" s="252"/>
      <c r="C140" s="26" t="s">
        <v>5957</v>
      </c>
      <c r="D140" s="234" t="s">
        <v>1072</v>
      </c>
      <c r="E140" s="31">
        <v>675</v>
      </c>
      <c r="F140" s="216"/>
      <c r="G140" s="31"/>
      <c r="H140" s="217"/>
    </row>
    <row r="141" spans="1:8" x14ac:dyDescent="0.2">
      <c r="A141" s="26"/>
      <c r="B141" s="252"/>
      <c r="C141" s="26" t="s">
        <v>5958</v>
      </c>
      <c r="D141" s="234" t="s">
        <v>5573</v>
      </c>
      <c r="E141" s="31">
        <v>273</v>
      </c>
      <c r="F141" s="216"/>
      <c r="G141" s="31"/>
      <c r="H141" s="217"/>
    </row>
    <row r="142" spans="1:8" x14ac:dyDescent="0.2">
      <c r="A142" s="26"/>
      <c r="B142" s="252"/>
      <c r="C142" s="26" t="s">
        <v>2318</v>
      </c>
      <c r="D142" s="234"/>
      <c r="E142" s="218">
        <v>3170</v>
      </c>
      <c r="F142" s="219"/>
      <c r="G142" s="218">
        <v>5192</v>
      </c>
      <c r="H142" s="220">
        <v>61</v>
      </c>
    </row>
    <row r="143" spans="1:8" x14ac:dyDescent="0.2">
      <c r="A143" s="26"/>
      <c r="B143" s="252"/>
      <c r="C143" s="26" t="s">
        <v>2318</v>
      </c>
      <c r="D143" s="234"/>
      <c r="E143" s="31"/>
      <c r="F143" s="216"/>
      <c r="G143" s="31"/>
      <c r="H143" s="217"/>
    </row>
    <row r="144" spans="1:8" x14ac:dyDescent="0.2">
      <c r="A144" s="26" t="s">
        <v>1920</v>
      </c>
      <c r="B144" s="252"/>
      <c r="C144" s="26" t="s">
        <v>5959</v>
      </c>
      <c r="D144" s="234" t="s">
        <v>1072</v>
      </c>
      <c r="E144" s="31">
        <v>935</v>
      </c>
      <c r="F144" s="216"/>
      <c r="G144" s="31"/>
      <c r="H144" s="217"/>
    </row>
    <row r="145" spans="1:8" x14ac:dyDescent="0.2">
      <c r="A145" s="26"/>
      <c r="B145" s="252"/>
      <c r="C145" s="26" t="s">
        <v>5960</v>
      </c>
      <c r="D145" s="234" t="s">
        <v>5573</v>
      </c>
      <c r="E145" s="31">
        <v>902</v>
      </c>
      <c r="F145" s="216"/>
      <c r="G145" s="31"/>
      <c r="H145" s="217"/>
    </row>
    <row r="146" spans="1:8" x14ac:dyDescent="0.2">
      <c r="A146" s="26"/>
      <c r="B146" s="252"/>
      <c r="C146" s="214" t="s">
        <v>5285</v>
      </c>
      <c r="D146" s="234" t="s">
        <v>1071</v>
      </c>
      <c r="E146" s="31">
        <v>2967</v>
      </c>
      <c r="F146" s="216"/>
      <c r="G146" s="31"/>
      <c r="H146" s="217"/>
    </row>
    <row r="147" spans="1:8" x14ac:dyDescent="0.2">
      <c r="A147" s="26"/>
      <c r="B147" s="252"/>
      <c r="C147" s="26" t="s">
        <v>2318</v>
      </c>
      <c r="D147" s="234"/>
      <c r="E147" s="218">
        <v>5160</v>
      </c>
      <c r="F147" s="219"/>
      <c r="G147" s="218">
        <v>7886</v>
      </c>
      <c r="H147" s="220">
        <v>65.400000000000006</v>
      </c>
    </row>
    <row r="148" spans="1:8" ht="12.75" customHeight="1" x14ac:dyDescent="0.2">
      <c r="A148" s="26"/>
      <c r="B148" s="252"/>
      <c r="C148" s="26"/>
      <c r="D148" s="234"/>
      <c r="E148" s="88"/>
      <c r="F148" s="84"/>
      <c r="G148" s="88"/>
      <c r="H148" s="235"/>
    </row>
    <row r="149" spans="1:8" x14ac:dyDescent="0.2">
      <c r="A149" s="26" t="s">
        <v>0</v>
      </c>
      <c r="B149" s="252">
        <v>1</v>
      </c>
      <c r="C149" s="26" t="s">
        <v>5961</v>
      </c>
      <c r="D149" s="234" t="s">
        <v>5573</v>
      </c>
      <c r="E149" s="31">
        <v>951</v>
      </c>
      <c r="F149" s="216"/>
      <c r="G149" s="31"/>
      <c r="H149" s="217"/>
    </row>
    <row r="150" spans="1:8" x14ac:dyDescent="0.2">
      <c r="A150" s="26"/>
      <c r="B150" s="252"/>
      <c r="C150" s="26" t="s">
        <v>5962</v>
      </c>
      <c r="D150" s="234" t="s">
        <v>1072</v>
      </c>
      <c r="E150" s="31">
        <v>2358</v>
      </c>
      <c r="F150" s="216"/>
      <c r="G150" s="31"/>
      <c r="H150" s="217"/>
    </row>
    <row r="151" spans="1:8" x14ac:dyDescent="0.2">
      <c r="A151" s="26"/>
      <c r="B151" s="252"/>
      <c r="C151" s="26" t="s">
        <v>5963</v>
      </c>
      <c r="D151" s="234" t="s">
        <v>1071</v>
      </c>
      <c r="E151" s="31">
        <v>2234</v>
      </c>
      <c r="F151" s="216"/>
      <c r="G151" s="31"/>
      <c r="H151" s="217"/>
    </row>
    <row r="152" spans="1:8" x14ac:dyDescent="0.2">
      <c r="A152" s="26"/>
      <c r="B152" s="252"/>
      <c r="C152" s="26" t="s">
        <v>2318</v>
      </c>
      <c r="D152" s="234"/>
      <c r="E152" s="218">
        <v>5878</v>
      </c>
      <c r="F152" s="219"/>
      <c r="G152" s="218">
        <v>8974</v>
      </c>
      <c r="H152" s="220">
        <v>65.5</v>
      </c>
    </row>
    <row r="153" spans="1:8" x14ac:dyDescent="0.2">
      <c r="A153" s="26"/>
      <c r="B153" s="252"/>
      <c r="C153" s="26"/>
      <c r="D153" s="234"/>
      <c r="E153" s="88"/>
      <c r="F153" s="84"/>
      <c r="G153" s="88"/>
      <c r="H153" s="235"/>
    </row>
    <row r="154" spans="1:8" x14ac:dyDescent="0.2">
      <c r="A154" s="26"/>
      <c r="B154" s="252">
        <v>2</v>
      </c>
      <c r="C154" s="214" t="s">
        <v>5962</v>
      </c>
      <c r="D154" s="234" t="s">
        <v>1072</v>
      </c>
      <c r="E154" s="88">
        <v>2558</v>
      </c>
      <c r="F154" s="84"/>
      <c r="G154" s="88"/>
      <c r="H154" s="235"/>
    </row>
    <row r="155" spans="1:8" x14ac:dyDescent="0.2">
      <c r="A155" s="26"/>
      <c r="B155" s="252"/>
      <c r="C155" s="26" t="s">
        <v>5963</v>
      </c>
      <c r="D155" s="234" t="s">
        <v>1071</v>
      </c>
      <c r="E155" s="88">
        <v>2405</v>
      </c>
      <c r="F155" s="84"/>
      <c r="G155" s="88"/>
      <c r="H155" s="235"/>
    </row>
    <row r="156" spans="1:8" x14ac:dyDescent="0.2">
      <c r="A156" s="26"/>
      <c r="B156" s="252"/>
      <c r="C156" s="26" t="s">
        <v>2318</v>
      </c>
      <c r="D156" s="234"/>
      <c r="E156" s="31"/>
      <c r="F156" s="216"/>
      <c r="G156" s="31"/>
      <c r="H156" s="217"/>
    </row>
    <row r="157" spans="1:8" x14ac:dyDescent="0.2">
      <c r="A157" s="26" t="s">
        <v>370</v>
      </c>
      <c r="B157" s="252"/>
      <c r="C157" s="214" t="s">
        <v>5812</v>
      </c>
      <c r="D157" s="234" t="s">
        <v>1071</v>
      </c>
      <c r="E157" s="31">
        <v>2806</v>
      </c>
      <c r="F157" s="216"/>
      <c r="G157" s="31"/>
      <c r="H157" s="217"/>
    </row>
    <row r="158" spans="1:8" x14ac:dyDescent="0.2">
      <c r="A158" s="26"/>
      <c r="B158" s="252"/>
      <c r="C158" s="26" t="s">
        <v>5964</v>
      </c>
      <c r="D158" s="234" t="s">
        <v>1072</v>
      </c>
      <c r="E158" s="31">
        <v>1145</v>
      </c>
      <c r="F158" s="216"/>
      <c r="G158" s="31"/>
      <c r="H158" s="217"/>
    </row>
    <row r="159" spans="1:8" x14ac:dyDescent="0.2">
      <c r="A159" s="26"/>
      <c r="B159" s="252"/>
      <c r="C159" s="26" t="s">
        <v>2318</v>
      </c>
      <c r="D159" s="234"/>
      <c r="E159" s="218">
        <v>4188</v>
      </c>
      <c r="F159" s="219"/>
      <c r="G159" s="218">
        <v>6073</v>
      </c>
      <c r="H159" s="220">
        <v>69</v>
      </c>
    </row>
    <row r="160" spans="1:8" x14ac:dyDescent="0.2">
      <c r="A160" s="26"/>
      <c r="B160" s="252"/>
      <c r="C160" s="26" t="s">
        <v>2318</v>
      </c>
      <c r="D160" s="234"/>
      <c r="E160" s="31"/>
      <c r="F160" s="216"/>
      <c r="G160" s="31"/>
      <c r="H160" s="217"/>
    </row>
    <row r="161" spans="1:8" x14ac:dyDescent="0.2">
      <c r="A161" s="26" t="s">
        <v>1744</v>
      </c>
      <c r="B161" s="252"/>
      <c r="C161" s="26" t="s">
        <v>5965</v>
      </c>
      <c r="D161" s="234" t="s">
        <v>1072</v>
      </c>
      <c r="E161" s="31">
        <v>757</v>
      </c>
      <c r="F161" s="216"/>
      <c r="G161" s="31"/>
      <c r="H161" s="217"/>
    </row>
    <row r="162" spans="1:8" x14ac:dyDescent="0.2">
      <c r="A162" s="26"/>
      <c r="B162" s="252"/>
      <c r="C162" s="26" t="s">
        <v>5815</v>
      </c>
      <c r="D162" s="234" t="s">
        <v>5636</v>
      </c>
      <c r="E162" s="31">
        <v>975</v>
      </c>
      <c r="F162" s="216"/>
      <c r="G162" s="31"/>
      <c r="H162" s="217"/>
    </row>
    <row r="163" spans="1:8" x14ac:dyDescent="0.2">
      <c r="A163" s="26"/>
      <c r="B163" s="252"/>
      <c r="C163" s="214" t="s">
        <v>5816</v>
      </c>
      <c r="D163" s="234" t="s">
        <v>1071</v>
      </c>
      <c r="E163" s="31">
        <v>2446</v>
      </c>
      <c r="F163" s="216"/>
      <c r="G163" s="31"/>
      <c r="H163" s="217"/>
    </row>
    <row r="164" spans="1:8" x14ac:dyDescent="0.2">
      <c r="A164" s="26"/>
      <c r="B164" s="252"/>
      <c r="C164" s="26" t="s">
        <v>2318</v>
      </c>
      <c r="D164" s="234"/>
      <c r="E164" s="218">
        <v>4468</v>
      </c>
      <c r="F164" s="219"/>
      <c r="G164" s="218">
        <v>6358</v>
      </c>
      <c r="H164" s="220">
        <v>70.3</v>
      </c>
    </row>
    <row r="165" spans="1:8" x14ac:dyDescent="0.2">
      <c r="A165" s="26"/>
      <c r="B165" s="252"/>
      <c r="C165" s="26" t="s">
        <v>2318</v>
      </c>
      <c r="D165" s="234"/>
      <c r="E165" s="31"/>
      <c r="F165" s="216"/>
      <c r="G165" s="31"/>
      <c r="H165" s="217"/>
    </row>
    <row r="166" spans="1:8" x14ac:dyDescent="0.2">
      <c r="A166" s="26" t="s">
        <v>5293</v>
      </c>
      <c r="B166" s="252"/>
      <c r="C166" s="26" t="s">
        <v>3263</v>
      </c>
      <c r="D166" s="234" t="s">
        <v>1072</v>
      </c>
      <c r="E166" s="31">
        <v>1792</v>
      </c>
      <c r="F166" s="216"/>
      <c r="G166" s="31"/>
      <c r="H166" s="217"/>
    </row>
    <row r="167" spans="1:8" x14ac:dyDescent="0.2">
      <c r="A167" s="26"/>
      <c r="B167" s="252"/>
      <c r="C167" s="214" t="s">
        <v>5295</v>
      </c>
      <c r="D167" s="234" t="s">
        <v>1071</v>
      </c>
      <c r="E167" s="31">
        <v>1832</v>
      </c>
      <c r="F167" s="216"/>
      <c r="G167" s="31"/>
      <c r="H167" s="217"/>
    </row>
    <row r="168" spans="1:8" x14ac:dyDescent="0.2">
      <c r="A168" s="26"/>
      <c r="B168" s="252"/>
      <c r="C168" s="26" t="s">
        <v>2318</v>
      </c>
      <c r="D168" s="234"/>
      <c r="E168" s="218">
        <v>3808</v>
      </c>
      <c r="F168" s="219"/>
      <c r="G168" s="218">
        <v>5561</v>
      </c>
      <c r="H168" s="220">
        <v>71.900000000000006</v>
      </c>
    </row>
    <row r="169" spans="1:8" x14ac:dyDescent="0.2">
      <c r="A169" s="26"/>
      <c r="B169" s="252"/>
      <c r="C169" s="26"/>
      <c r="D169" s="234"/>
      <c r="E169" s="88"/>
      <c r="F169" s="84"/>
      <c r="G169" s="88"/>
      <c r="H169" s="235"/>
    </row>
    <row r="170" spans="1:8" x14ac:dyDescent="0.2">
      <c r="A170" s="26" t="s">
        <v>1</v>
      </c>
      <c r="B170" s="252">
        <v>1</v>
      </c>
      <c r="C170" s="26" t="s">
        <v>5262</v>
      </c>
      <c r="D170" s="234" t="s">
        <v>5900</v>
      </c>
      <c r="E170" s="31">
        <v>469</v>
      </c>
      <c r="F170" s="216"/>
      <c r="G170" s="31"/>
      <c r="H170" s="217"/>
    </row>
    <row r="171" spans="1:8" x14ac:dyDescent="0.2">
      <c r="A171" s="26"/>
      <c r="B171" s="252"/>
      <c r="C171" s="26" t="s">
        <v>5966</v>
      </c>
      <c r="D171" s="234" t="s">
        <v>5573</v>
      </c>
      <c r="E171" s="31">
        <v>1520</v>
      </c>
      <c r="F171" s="216"/>
      <c r="G171" s="31"/>
      <c r="H171" s="217"/>
    </row>
    <row r="172" spans="1:8" x14ac:dyDescent="0.2">
      <c r="A172" s="26"/>
      <c r="B172" s="252"/>
      <c r="C172" s="26" t="s">
        <v>5967</v>
      </c>
      <c r="D172" s="234" t="s">
        <v>1072</v>
      </c>
      <c r="E172" s="31">
        <v>1069</v>
      </c>
      <c r="F172" s="216"/>
      <c r="G172" s="31"/>
      <c r="H172" s="217"/>
    </row>
    <row r="173" spans="1:8" x14ac:dyDescent="0.2">
      <c r="A173" s="26"/>
      <c r="B173" s="252"/>
      <c r="C173" s="26" t="s">
        <v>5968</v>
      </c>
      <c r="D173" s="234" t="s">
        <v>1071</v>
      </c>
      <c r="E173" s="31">
        <v>1639</v>
      </c>
      <c r="F173" s="216"/>
      <c r="G173" s="31"/>
      <c r="H173" s="217"/>
    </row>
    <row r="174" spans="1:8" x14ac:dyDescent="0.2">
      <c r="A174" s="26"/>
      <c r="B174" s="252"/>
      <c r="C174" s="26" t="s">
        <v>2318</v>
      </c>
      <c r="D174" s="234"/>
      <c r="E174" s="218">
        <v>5101</v>
      </c>
      <c r="F174" s="219"/>
      <c r="G174" s="218">
        <v>7094</v>
      </c>
      <c r="H174" s="220">
        <v>71.900000000000006</v>
      </c>
    </row>
    <row r="175" spans="1:8" x14ac:dyDescent="0.2">
      <c r="A175" s="26"/>
      <c r="B175" s="252"/>
      <c r="C175" s="26"/>
      <c r="D175" s="234"/>
      <c r="E175" s="88"/>
      <c r="F175" s="84"/>
      <c r="G175" s="88"/>
      <c r="H175" s="235"/>
    </row>
    <row r="176" spans="1:8" x14ac:dyDescent="0.2">
      <c r="A176" s="26"/>
      <c r="B176" s="252">
        <v>2</v>
      </c>
      <c r="C176" s="26" t="s">
        <v>5966</v>
      </c>
      <c r="D176" s="234" t="s">
        <v>5573</v>
      </c>
      <c r="E176" s="88">
        <v>1878</v>
      </c>
      <c r="F176" s="84"/>
      <c r="G176" s="88"/>
      <c r="H176" s="235"/>
    </row>
    <row r="177" spans="1:8" x14ac:dyDescent="0.2">
      <c r="A177" s="26"/>
      <c r="B177" s="252"/>
      <c r="C177" s="214" t="s">
        <v>5968</v>
      </c>
      <c r="D177" s="234" t="s">
        <v>1071</v>
      </c>
      <c r="E177" s="88">
        <v>2034</v>
      </c>
      <c r="F177" s="84"/>
      <c r="G177" s="88"/>
      <c r="H177" s="235"/>
    </row>
    <row r="178" spans="1:8" x14ac:dyDescent="0.2">
      <c r="A178" s="26"/>
      <c r="B178" s="252"/>
      <c r="C178" s="26"/>
      <c r="D178" s="234"/>
      <c r="E178" s="88"/>
      <c r="F178" s="84"/>
      <c r="G178" s="88"/>
      <c r="H178" s="235"/>
    </row>
    <row r="179" spans="1:8" x14ac:dyDescent="0.2">
      <c r="A179" s="26" t="s">
        <v>1931</v>
      </c>
      <c r="B179" s="252">
        <v>1</v>
      </c>
      <c r="C179" s="26" t="s">
        <v>5969</v>
      </c>
      <c r="D179" s="234" t="s">
        <v>4860</v>
      </c>
      <c r="E179" s="31">
        <v>2051</v>
      </c>
      <c r="F179" s="216"/>
      <c r="G179" s="31"/>
      <c r="H179" s="217"/>
    </row>
    <row r="180" spans="1:8" x14ac:dyDescent="0.2">
      <c r="A180" s="26"/>
      <c r="B180" s="252"/>
      <c r="C180" s="26" t="s">
        <v>5493</v>
      </c>
      <c r="D180" s="234" t="s">
        <v>5636</v>
      </c>
      <c r="E180" s="31">
        <v>1331</v>
      </c>
      <c r="F180" s="216"/>
      <c r="G180" s="31"/>
      <c r="H180" s="217"/>
    </row>
    <row r="181" spans="1:8" x14ac:dyDescent="0.2">
      <c r="A181" s="26"/>
      <c r="B181" s="252"/>
      <c r="C181" s="26" t="s">
        <v>5970</v>
      </c>
      <c r="D181" s="234" t="s">
        <v>1071</v>
      </c>
      <c r="E181" s="31">
        <v>1207</v>
      </c>
      <c r="F181" s="216"/>
      <c r="G181" s="31"/>
      <c r="H181" s="217"/>
    </row>
    <row r="182" spans="1:8" x14ac:dyDescent="0.2">
      <c r="A182" s="26"/>
      <c r="B182" s="252"/>
      <c r="C182" s="26" t="s">
        <v>2318</v>
      </c>
      <c r="D182" s="234"/>
      <c r="E182" s="218">
        <v>4967</v>
      </c>
      <c r="F182" s="219"/>
      <c r="G182" s="218">
        <v>7803</v>
      </c>
      <c r="H182" s="220">
        <v>63.7</v>
      </c>
    </row>
    <row r="183" spans="1:8" x14ac:dyDescent="0.2">
      <c r="A183" s="26"/>
      <c r="B183" s="252"/>
      <c r="C183" s="26"/>
      <c r="D183" s="234"/>
      <c r="E183" s="88"/>
      <c r="F183" s="84"/>
      <c r="G183" s="88"/>
      <c r="H183" s="235"/>
    </row>
    <row r="184" spans="1:8" x14ac:dyDescent="0.2">
      <c r="A184" s="26"/>
      <c r="B184" s="252">
        <v>2</v>
      </c>
      <c r="C184" s="214" t="s">
        <v>5969</v>
      </c>
      <c r="D184" s="234" t="s">
        <v>4860</v>
      </c>
      <c r="E184" s="88">
        <v>2035</v>
      </c>
      <c r="F184" s="84"/>
      <c r="G184" s="88"/>
      <c r="H184" s="235"/>
    </row>
    <row r="185" spans="1:8" x14ac:dyDescent="0.2">
      <c r="A185" s="26"/>
      <c r="B185" s="252"/>
      <c r="C185" s="26" t="s">
        <v>5493</v>
      </c>
      <c r="D185" s="234" t="s">
        <v>5636</v>
      </c>
      <c r="E185" s="88">
        <v>1871</v>
      </c>
      <c r="F185" s="84"/>
      <c r="G185" s="88"/>
      <c r="H185" s="235"/>
    </row>
    <row r="186" spans="1:8" x14ac:dyDescent="0.2">
      <c r="A186" s="26"/>
      <c r="B186" s="252"/>
      <c r="C186" s="26" t="s">
        <v>2318</v>
      </c>
      <c r="D186" s="234"/>
      <c r="E186" s="31"/>
      <c r="F186" s="216"/>
      <c r="G186" s="31"/>
      <c r="H186" s="217"/>
    </row>
    <row r="187" spans="1:8" x14ac:dyDescent="0.2">
      <c r="A187" s="26" t="s">
        <v>3</v>
      </c>
      <c r="B187" s="252"/>
      <c r="C187" s="26" t="s">
        <v>5971</v>
      </c>
      <c r="D187" s="234" t="s">
        <v>1072</v>
      </c>
      <c r="E187" s="31">
        <v>1901</v>
      </c>
      <c r="F187" s="216"/>
      <c r="G187" s="31"/>
      <c r="H187" s="217"/>
    </row>
    <row r="188" spans="1:8" x14ac:dyDescent="0.2">
      <c r="A188" s="26"/>
      <c r="B188" s="252"/>
      <c r="C188" s="214" t="s">
        <v>5302</v>
      </c>
      <c r="D188" s="234" t="s">
        <v>1071</v>
      </c>
      <c r="E188" s="31">
        <v>4975</v>
      </c>
      <c r="F188" s="216"/>
      <c r="G188" s="31"/>
      <c r="H188" s="217"/>
    </row>
    <row r="189" spans="1:8" x14ac:dyDescent="0.2">
      <c r="A189" s="26"/>
      <c r="B189" s="252"/>
      <c r="C189" s="26" t="s">
        <v>2318</v>
      </c>
      <c r="D189" s="234"/>
      <c r="E189" s="218">
        <v>7534</v>
      </c>
      <c r="F189" s="219"/>
      <c r="G189" s="218">
        <v>14018</v>
      </c>
      <c r="H189" s="220">
        <v>53.7</v>
      </c>
    </row>
    <row r="190" spans="1:8" x14ac:dyDescent="0.2">
      <c r="A190" s="26"/>
      <c r="B190" s="252"/>
      <c r="C190" s="26" t="s">
        <v>2318</v>
      </c>
      <c r="D190" s="234"/>
      <c r="E190" s="31"/>
      <c r="F190" s="216"/>
      <c r="G190" s="31"/>
      <c r="H190" s="217"/>
    </row>
    <row r="191" spans="1:8" x14ac:dyDescent="0.2">
      <c r="A191" s="26" t="s">
        <v>3185</v>
      </c>
      <c r="B191" s="252"/>
      <c r="C191" s="214" t="s">
        <v>5974</v>
      </c>
      <c r="D191" s="234" t="s">
        <v>1071</v>
      </c>
      <c r="E191" s="31">
        <v>2668</v>
      </c>
      <c r="F191" s="216"/>
      <c r="G191" s="31"/>
      <c r="H191" s="217"/>
    </row>
    <row r="192" spans="1:8" x14ac:dyDescent="0.2">
      <c r="A192" s="26"/>
      <c r="B192" s="252"/>
      <c r="C192" s="26" t="s">
        <v>5972</v>
      </c>
      <c r="D192" s="234" t="s">
        <v>1072</v>
      </c>
      <c r="E192" s="31">
        <v>1001</v>
      </c>
      <c r="F192" s="216"/>
      <c r="G192" s="31"/>
      <c r="H192" s="217"/>
    </row>
    <row r="193" spans="1:8" x14ac:dyDescent="0.2">
      <c r="C193" s="26" t="s">
        <v>5973</v>
      </c>
      <c r="D193" s="234" t="s">
        <v>5636</v>
      </c>
      <c r="E193" s="31">
        <v>411</v>
      </c>
      <c r="F193" s="216"/>
    </row>
    <row r="194" spans="1:8" x14ac:dyDescent="0.2">
      <c r="A194" s="26"/>
      <c r="B194" s="252"/>
      <c r="C194" s="26" t="s">
        <v>2318</v>
      </c>
      <c r="D194" s="234"/>
      <c r="E194" s="218">
        <v>4345</v>
      </c>
      <c r="F194" s="219"/>
      <c r="G194" s="218">
        <v>6121</v>
      </c>
      <c r="H194" s="220">
        <v>71</v>
      </c>
    </row>
    <row r="195" spans="1:8" x14ac:dyDescent="0.2">
      <c r="A195" s="26"/>
      <c r="B195" s="252"/>
      <c r="C195" s="26" t="s">
        <v>2318</v>
      </c>
      <c r="D195" s="234"/>
      <c r="E195" s="31"/>
      <c r="F195" s="216"/>
      <c r="G195" s="31"/>
      <c r="H195" s="217"/>
    </row>
    <row r="196" spans="1:8" x14ac:dyDescent="0.2">
      <c r="A196" s="26" t="s">
        <v>1752</v>
      </c>
      <c r="B196" s="252"/>
      <c r="C196" s="214" t="s">
        <v>5500</v>
      </c>
      <c r="D196" s="234" t="s">
        <v>1071</v>
      </c>
      <c r="E196" s="31">
        <v>3232</v>
      </c>
      <c r="F196" s="216"/>
      <c r="G196" s="31"/>
      <c r="H196" s="217"/>
    </row>
    <row r="197" spans="1:8" x14ac:dyDescent="0.2">
      <c r="A197" s="26"/>
      <c r="B197" s="252"/>
      <c r="C197" s="26" t="s">
        <v>5975</v>
      </c>
      <c r="D197" s="234" t="s">
        <v>1072</v>
      </c>
      <c r="E197" s="31">
        <v>773</v>
      </c>
      <c r="F197" s="216"/>
      <c r="G197" s="31"/>
      <c r="H197" s="217"/>
    </row>
    <row r="198" spans="1:8" x14ac:dyDescent="0.2">
      <c r="A198" s="26"/>
      <c r="B198" s="252"/>
      <c r="C198" s="26" t="s">
        <v>5976</v>
      </c>
      <c r="D198" s="234" t="s">
        <v>5636</v>
      </c>
      <c r="E198" s="31">
        <v>496</v>
      </c>
      <c r="F198" s="216"/>
      <c r="G198" s="31"/>
      <c r="H198" s="217"/>
    </row>
    <row r="199" spans="1:8" x14ac:dyDescent="0.2">
      <c r="A199" s="26"/>
      <c r="B199" s="252"/>
      <c r="C199" s="26" t="s">
        <v>2318</v>
      </c>
      <c r="D199" s="234"/>
      <c r="E199" s="218">
        <v>4787</v>
      </c>
      <c r="F199" s="219"/>
      <c r="G199" s="218">
        <v>5703</v>
      </c>
      <c r="H199" s="220">
        <v>83.9</v>
      </c>
    </row>
    <row r="200" spans="1:8" x14ac:dyDescent="0.2">
      <c r="A200" s="26"/>
      <c r="B200" s="252"/>
      <c r="C200" s="26" t="s">
        <v>2318</v>
      </c>
      <c r="D200" s="234"/>
      <c r="E200" s="31"/>
      <c r="F200" s="216"/>
      <c r="G200" s="31"/>
      <c r="H200" s="217"/>
    </row>
    <row r="201" spans="1:8" x14ac:dyDescent="0.2">
      <c r="A201" s="26" t="s">
        <v>3195</v>
      </c>
      <c r="B201" s="252"/>
      <c r="C201" s="214" t="s">
        <v>5977</v>
      </c>
      <c r="D201" s="234" t="s">
        <v>1071</v>
      </c>
      <c r="E201" s="31">
        <v>4724</v>
      </c>
      <c r="F201" s="216"/>
      <c r="G201" s="31"/>
      <c r="H201" s="217"/>
    </row>
    <row r="202" spans="1:8" x14ac:dyDescent="0.2">
      <c r="A202" s="26"/>
      <c r="B202" s="252"/>
      <c r="C202" s="26" t="s">
        <v>5978</v>
      </c>
      <c r="D202" s="234" t="s">
        <v>1072</v>
      </c>
      <c r="E202" s="31">
        <v>1601</v>
      </c>
      <c r="F202" s="216"/>
      <c r="G202" s="31"/>
      <c r="H202" s="217"/>
    </row>
    <row r="203" spans="1:8" x14ac:dyDescent="0.2">
      <c r="A203" s="26"/>
      <c r="B203" s="252"/>
      <c r="C203" s="26" t="s">
        <v>2318</v>
      </c>
      <c r="D203" s="234"/>
      <c r="E203" s="218">
        <v>6671</v>
      </c>
      <c r="F203" s="219"/>
      <c r="G203" s="218">
        <v>11336</v>
      </c>
      <c r="H203" s="220">
        <v>58.8</v>
      </c>
    </row>
    <row r="204" spans="1:8" x14ac:dyDescent="0.2">
      <c r="A204" s="26"/>
      <c r="B204" s="252"/>
      <c r="C204" s="26"/>
      <c r="D204" s="234"/>
      <c r="E204" s="88"/>
      <c r="F204" s="84"/>
      <c r="G204" s="88"/>
      <c r="H204" s="235"/>
    </row>
    <row r="205" spans="1:8" x14ac:dyDescent="0.2">
      <c r="A205" s="26" t="s">
        <v>716</v>
      </c>
      <c r="B205" s="252"/>
      <c r="C205" s="214" t="s">
        <v>5833</v>
      </c>
      <c r="D205" s="234" t="s">
        <v>1071</v>
      </c>
      <c r="E205" s="31">
        <v>3077</v>
      </c>
      <c r="F205" s="216"/>
      <c r="G205" s="31"/>
      <c r="H205" s="217"/>
    </row>
    <row r="206" spans="1:8" x14ac:dyDescent="0.2">
      <c r="A206" s="26"/>
      <c r="B206" s="252"/>
      <c r="C206" s="26" t="s">
        <v>5979</v>
      </c>
      <c r="D206" s="234" t="s">
        <v>1072</v>
      </c>
      <c r="E206" s="31">
        <v>1291</v>
      </c>
      <c r="F206" s="216"/>
      <c r="G206" s="31"/>
      <c r="H206" s="217"/>
    </row>
    <row r="207" spans="1:8" x14ac:dyDescent="0.2">
      <c r="A207" s="26"/>
      <c r="B207" s="252"/>
      <c r="C207" s="26" t="s">
        <v>2318</v>
      </c>
      <c r="D207" s="234"/>
      <c r="E207" s="218">
        <v>4645</v>
      </c>
      <c r="F207" s="219"/>
      <c r="G207" s="218">
        <v>7171</v>
      </c>
      <c r="H207" s="220">
        <v>64.8</v>
      </c>
    </row>
    <row r="208" spans="1:8" x14ac:dyDescent="0.2">
      <c r="A208" s="26"/>
      <c r="B208" s="252"/>
      <c r="C208" s="26" t="s">
        <v>2318</v>
      </c>
      <c r="D208" s="234"/>
      <c r="E208" s="31"/>
      <c r="F208" s="216"/>
      <c r="G208" s="31"/>
      <c r="H208" s="217"/>
    </row>
    <row r="209" spans="1:8" x14ac:dyDescent="0.2">
      <c r="A209" s="26" t="s">
        <v>1241</v>
      </c>
      <c r="B209" s="252"/>
      <c r="C209" s="26" t="s">
        <v>5980</v>
      </c>
      <c r="D209" s="234" t="s">
        <v>1072</v>
      </c>
      <c r="E209" s="31">
        <v>1611</v>
      </c>
      <c r="F209" s="216"/>
      <c r="G209" s="31"/>
      <c r="H209" s="217"/>
    </row>
    <row r="210" spans="1:8" x14ac:dyDescent="0.2">
      <c r="A210" s="26"/>
      <c r="B210" s="252"/>
      <c r="C210" s="214" t="s">
        <v>5981</v>
      </c>
      <c r="D210" s="234" t="s">
        <v>1071</v>
      </c>
      <c r="E210" s="31">
        <v>3064</v>
      </c>
      <c r="F210" s="216"/>
      <c r="G210" s="31"/>
      <c r="H210" s="217"/>
    </row>
    <row r="211" spans="1:8" x14ac:dyDescent="0.2">
      <c r="A211" s="26"/>
      <c r="B211" s="252"/>
      <c r="C211" s="26" t="s">
        <v>2318</v>
      </c>
      <c r="D211" s="234"/>
      <c r="E211" s="218">
        <v>4870</v>
      </c>
      <c r="F211" s="219"/>
      <c r="G211" s="218">
        <v>7316</v>
      </c>
      <c r="H211" s="220">
        <v>66.599999999999994</v>
      </c>
    </row>
    <row r="212" spans="1:8" x14ac:dyDescent="0.2">
      <c r="A212" s="26"/>
      <c r="B212" s="252"/>
      <c r="C212" s="26" t="s">
        <v>2318</v>
      </c>
      <c r="D212" s="234"/>
      <c r="E212" s="31"/>
      <c r="F212" s="216"/>
      <c r="G212" s="31"/>
      <c r="H212" s="217"/>
    </row>
    <row r="213" spans="1:8" x14ac:dyDescent="0.2">
      <c r="A213" s="26" t="s">
        <v>415</v>
      </c>
      <c r="B213" s="252"/>
      <c r="C213" s="26" t="s">
        <v>5982</v>
      </c>
      <c r="D213" s="234" t="s">
        <v>1072</v>
      </c>
      <c r="E213" s="31">
        <v>1214</v>
      </c>
      <c r="F213" s="216"/>
      <c r="G213" s="31"/>
      <c r="H213" s="217"/>
    </row>
    <row r="214" spans="1:8" x14ac:dyDescent="0.2">
      <c r="A214" s="26"/>
      <c r="B214" s="252"/>
      <c r="C214" s="214" t="s">
        <v>5673</v>
      </c>
      <c r="D214" s="234" t="s">
        <v>1071</v>
      </c>
      <c r="E214" s="31">
        <v>3352</v>
      </c>
      <c r="F214" s="216"/>
      <c r="G214" s="31"/>
      <c r="H214" s="217"/>
    </row>
    <row r="215" spans="1:8" x14ac:dyDescent="0.2">
      <c r="A215" s="26"/>
      <c r="B215" s="252"/>
      <c r="C215" s="26" t="s">
        <v>5983</v>
      </c>
      <c r="D215" s="234" t="s">
        <v>5573</v>
      </c>
      <c r="E215" s="31">
        <v>1177</v>
      </c>
      <c r="F215" s="216"/>
      <c r="G215" s="31"/>
      <c r="H215" s="217"/>
    </row>
    <row r="216" spans="1:8" x14ac:dyDescent="0.2">
      <c r="A216" s="26"/>
      <c r="B216" s="252"/>
      <c r="C216" s="26" t="s">
        <v>2318</v>
      </c>
      <c r="D216" s="234"/>
      <c r="E216" s="218">
        <v>6213</v>
      </c>
      <c r="F216" s="219"/>
      <c r="G216" s="218">
        <v>10738</v>
      </c>
      <c r="H216" s="220">
        <v>57.8</v>
      </c>
    </row>
    <row r="217" spans="1:8" x14ac:dyDescent="0.2">
      <c r="A217" s="26"/>
      <c r="B217" s="252"/>
      <c r="C217" s="26" t="s">
        <v>2318</v>
      </c>
      <c r="D217" s="234"/>
      <c r="E217" s="31"/>
      <c r="F217" s="216"/>
      <c r="G217" s="31"/>
      <c r="H217" s="217"/>
    </row>
    <row r="218" spans="1:8" x14ac:dyDescent="0.2">
      <c r="A218" s="26" t="s">
        <v>718</v>
      </c>
      <c r="B218" s="252"/>
      <c r="C218" s="214" t="s">
        <v>5513</v>
      </c>
      <c r="D218" s="234" t="s">
        <v>1071</v>
      </c>
      <c r="E218" s="31">
        <v>2818</v>
      </c>
      <c r="F218" s="216"/>
      <c r="G218" s="31"/>
      <c r="H218" s="217"/>
    </row>
    <row r="219" spans="1:8" x14ac:dyDescent="0.2">
      <c r="A219" s="26"/>
      <c r="B219" s="252"/>
      <c r="C219" s="26" t="s">
        <v>5984</v>
      </c>
      <c r="D219" s="234" t="s">
        <v>5573</v>
      </c>
      <c r="E219" s="31">
        <v>941</v>
      </c>
      <c r="F219" s="216"/>
      <c r="G219" s="31"/>
      <c r="H219" s="217"/>
    </row>
    <row r="220" spans="1:8" x14ac:dyDescent="0.2">
      <c r="A220" s="26"/>
      <c r="B220" s="252"/>
      <c r="C220" s="26" t="s">
        <v>5985</v>
      </c>
      <c r="D220" s="234" t="s">
        <v>1072</v>
      </c>
      <c r="E220" s="31">
        <v>1127</v>
      </c>
      <c r="F220" s="216"/>
      <c r="G220" s="31"/>
      <c r="H220" s="217"/>
    </row>
    <row r="221" spans="1:8" x14ac:dyDescent="0.2">
      <c r="A221" s="26"/>
      <c r="B221" s="252"/>
      <c r="C221" s="26" t="s">
        <v>2318</v>
      </c>
      <c r="D221" s="234"/>
      <c r="E221" s="218">
        <v>5265</v>
      </c>
      <c r="F221" s="219"/>
      <c r="G221" s="218">
        <v>7577</v>
      </c>
      <c r="H221" s="220">
        <v>69.5</v>
      </c>
    </row>
    <row r="222" spans="1:8" x14ac:dyDescent="0.2">
      <c r="A222" s="26"/>
      <c r="B222" s="252"/>
      <c r="C222" s="26" t="s">
        <v>2318</v>
      </c>
      <c r="D222" s="234"/>
      <c r="E222" s="31"/>
      <c r="F222" s="216"/>
      <c r="G222" s="31"/>
      <c r="H222" s="217"/>
    </row>
    <row r="223" spans="1:8" x14ac:dyDescent="0.2">
      <c r="A223" s="26" t="s">
        <v>584</v>
      </c>
      <c r="B223" s="252"/>
      <c r="C223" s="26" t="s">
        <v>5986</v>
      </c>
      <c r="D223" s="234" t="s">
        <v>1072</v>
      </c>
      <c r="E223" s="31">
        <v>1008</v>
      </c>
      <c r="F223" s="216"/>
      <c r="G223" s="31"/>
      <c r="H223" s="217"/>
    </row>
    <row r="224" spans="1:8" x14ac:dyDescent="0.2">
      <c r="A224" s="26"/>
      <c r="B224" s="252"/>
      <c r="C224" s="214" t="s">
        <v>5518</v>
      </c>
      <c r="D224" s="234" t="s">
        <v>1071</v>
      </c>
      <c r="E224" s="31">
        <v>3207</v>
      </c>
      <c r="F224" s="216"/>
      <c r="G224" s="31"/>
      <c r="H224" s="217"/>
    </row>
    <row r="225" spans="1:8" x14ac:dyDescent="0.2">
      <c r="A225" s="26"/>
      <c r="B225" s="252"/>
      <c r="C225" s="26" t="s">
        <v>2318</v>
      </c>
      <c r="D225" s="234"/>
      <c r="E225" s="218">
        <v>4644</v>
      </c>
      <c r="F225" s="219"/>
      <c r="G225" s="218">
        <v>7446</v>
      </c>
      <c r="H225" s="220">
        <v>62.4</v>
      </c>
    </row>
    <row r="226" spans="1:8" x14ac:dyDescent="0.2">
      <c r="A226" s="26"/>
      <c r="B226" s="252"/>
      <c r="C226" s="26" t="s">
        <v>2318</v>
      </c>
      <c r="D226" s="234"/>
      <c r="E226" s="31"/>
      <c r="F226" s="216"/>
      <c r="G226" s="31"/>
      <c r="H226" s="217"/>
    </row>
    <row r="227" spans="1:8" x14ac:dyDescent="0.2">
      <c r="A227" s="26" t="s">
        <v>2340</v>
      </c>
      <c r="B227" s="252"/>
      <c r="C227" s="214" t="s">
        <v>5522</v>
      </c>
      <c r="D227" s="234" t="s">
        <v>1071</v>
      </c>
      <c r="E227" s="31">
        <v>2377</v>
      </c>
      <c r="F227" s="216"/>
      <c r="G227" s="31"/>
      <c r="H227" s="217"/>
    </row>
    <row r="228" spans="1:8" x14ac:dyDescent="0.2">
      <c r="A228" s="26"/>
      <c r="B228" s="252"/>
      <c r="C228" s="26" t="s">
        <v>5987</v>
      </c>
      <c r="D228" s="234" t="s">
        <v>1072</v>
      </c>
      <c r="E228" s="218">
        <v>1214</v>
      </c>
      <c r="F228" s="219"/>
      <c r="G228" s="218"/>
      <c r="H228" s="220"/>
    </row>
    <row r="229" spans="1:8" x14ac:dyDescent="0.2">
      <c r="A229" s="26"/>
      <c r="B229" s="252"/>
      <c r="C229" s="26" t="s">
        <v>5988</v>
      </c>
      <c r="D229" s="234" t="s">
        <v>5573</v>
      </c>
      <c r="E229" s="88">
        <v>800</v>
      </c>
      <c r="F229" s="84"/>
      <c r="G229" s="88"/>
      <c r="H229" s="235"/>
    </row>
    <row r="230" spans="1:8" x14ac:dyDescent="0.2">
      <c r="A230" s="26"/>
      <c r="B230" s="252"/>
      <c r="C230" s="26"/>
      <c r="D230" s="234"/>
      <c r="E230" s="88">
        <v>4689</v>
      </c>
      <c r="F230" s="84"/>
      <c r="G230" s="88">
        <v>6635</v>
      </c>
      <c r="H230" s="235">
        <v>70.7</v>
      </c>
    </row>
    <row r="231" spans="1:8" x14ac:dyDescent="0.2">
      <c r="A231" s="26"/>
      <c r="B231" s="252"/>
      <c r="C231" s="26" t="s">
        <v>2318</v>
      </c>
      <c r="D231" s="234"/>
      <c r="E231" s="31"/>
      <c r="F231" s="216"/>
      <c r="G231" s="31"/>
      <c r="H231" s="217"/>
    </row>
    <row r="232" spans="1:8" x14ac:dyDescent="0.2">
      <c r="A232" s="26" t="s">
        <v>2341</v>
      </c>
      <c r="B232" s="252"/>
      <c r="C232" s="26" t="s">
        <v>5989</v>
      </c>
      <c r="D232" s="234" t="s">
        <v>5573</v>
      </c>
      <c r="E232" s="31">
        <v>1496</v>
      </c>
      <c r="F232" s="216"/>
      <c r="G232" s="31"/>
      <c r="H232" s="217"/>
    </row>
    <row r="233" spans="1:8" x14ac:dyDescent="0.2">
      <c r="A233" s="26"/>
      <c r="B233" s="252"/>
      <c r="C233" s="26" t="s">
        <v>5990</v>
      </c>
      <c r="D233" s="234" t="s">
        <v>1071</v>
      </c>
      <c r="E233" s="31">
        <v>4907</v>
      </c>
      <c r="F233" s="216"/>
      <c r="G233" s="31"/>
      <c r="H233" s="217"/>
    </row>
    <row r="234" spans="1:8" x14ac:dyDescent="0.2">
      <c r="A234" s="26"/>
      <c r="B234" s="252"/>
      <c r="C234" s="26" t="s">
        <v>2318</v>
      </c>
      <c r="D234" s="234"/>
      <c r="E234" s="218">
        <v>6706</v>
      </c>
      <c r="F234" s="219"/>
      <c r="G234" s="218">
        <v>11407</v>
      </c>
      <c r="H234" s="220">
        <v>58.8</v>
      </c>
    </row>
    <row r="235" spans="1:8" x14ac:dyDescent="0.2">
      <c r="A235" s="26"/>
      <c r="B235" s="252"/>
      <c r="C235" s="26"/>
      <c r="D235" s="234"/>
      <c r="E235" s="88"/>
      <c r="F235" s="84"/>
      <c r="G235" s="88"/>
      <c r="H235" s="235"/>
    </row>
    <row r="236" spans="1:8" x14ac:dyDescent="0.2">
      <c r="A236" s="26" t="s">
        <v>436</v>
      </c>
      <c r="B236" s="252">
        <v>1</v>
      </c>
      <c r="C236" s="26" t="s">
        <v>5851</v>
      </c>
      <c r="D236" s="234" t="s">
        <v>1071</v>
      </c>
      <c r="E236" s="31">
        <v>1677</v>
      </c>
      <c r="F236" s="216"/>
      <c r="G236" s="31"/>
      <c r="H236" s="217"/>
    </row>
    <row r="237" spans="1:8" x14ac:dyDescent="0.2">
      <c r="A237" s="26"/>
      <c r="B237" s="252"/>
      <c r="C237" s="26" t="s">
        <v>5991</v>
      </c>
      <c r="D237" s="234" t="s">
        <v>5636</v>
      </c>
      <c r="E237" s="31">
        <v>1002</v>
      </c>
      <c r="F237" s="216"/>
      <c r="G237" s="31"/>
      <c r="H237" s="217"/>
    </row>
    <row r="238" spans="1:8" x14ac:dyDescent="0.2">
      <c r="A238" s="26"/>
      <c r="B238" s="252"/>
      <c r="C238" s="26" t="s">
        <v>5853</v>
      </c>
      <c r="D238" s="234" t="s">
        <v>5992</v>
      </c>
      <c r="E238" s="31">
        <v>296</v>
      </c>
      <c r="F238" s="216"/>
      <c r="G238" s="31"/>
      <c r="H238" s="217"/>
    </row>
    <row r="239" spans="1:8" x14ac:dyDescent="0.2">
      <c r="A239" s="26"/>
      <c r="B239" s="252"/>
      <c r="C239" s="26" t="s">
        <v>5287</v>
      </c>
      <c r="D239" s="234" t="s">
        <v>1072</v>
      </c>
      <c r="E239" s="31">
        <v>1268</v>
      </c>
      <c r="F239" s="216"/>
      <c r="G239" s="31"/>
      <c r="H239" s="217"/>
    </row>
    <row r="240" spans="1:8" x14ac:dyDescent="0.2">
      <c r="A240" s="26"/>
      <c r="B240" s="252"/>
      <c r="C240" s="26" t="s">
        <v>2318</v>
      </c>
      <c r="D240" s="234"/>
      <c r="E240" s="218">
        <v>4563</v>
      </c>
      <c r="F240" s="219"/>
      <c r="G240" s="218">
        <v>6636</v>
      </c>
      <c r="H240" s="220">
        <v>68.8</v>
      </c>
    </row>
    <row r="241" spans="1:8" x14ac:dyDescent="0.2">
      <c r="A241" s="26"/>
      <c r="B241" s="252"/>
      <c r="C241" s="26"/>
      <c r="D241" s="234"/>
      <c r="E241" s="88"/>
      <c r="F241" s="84"/>
      <c r="G241" s="88"/>
      <c r="H241" s="235"/>
    </row>
    <row r="242" spans="1:8" x14ac:dyDescent="0.2">
      <c r="A242" s="26"/>
      <c r="B242" s="252">
        <v>2</v>
      </c>
      <c r="C242" s="214" t="s">
        <v>5851</v>
      </c>
      <c r="D242" s="234" t="s">
        <v>1071</v>
      </c>
      <c r="E242" s="88">
        <v>1833</v>
      </c>
      <c r="F242" s="84"/>
      <c r="G242" s="88"/>
      <c r="H242" s="235"/>
    </row>
    <row r="243" spans="1:8" x14ac:dyDescent="0.2">
      <c r="A243" s="26"/>
      <c r="B243" s="252"/>
      <c r="C243" s="26" t="s">
        <v>5287</v>
      </c>
      <c r="D243" s="234" t="s">
        <v>1072</v>
      </c>
      <c r="E243" s="88">
        <v>1644</v>
      </c>
      <c r="F243" s="84"/>
      <c r="G243" s="88"/>
      <c r="H243" s="235"/>
    </row>
    <row r="244" spans="1:8" x14ac:dyDescent="0.2">
      <c r="A244" s="26"/>
      <c r="B244" s="252"/>
      <c r="C244" s="26" t="s">
        <v>2318</v>
      </c>
      <c r="D244" s="234"/>
      <c r="E244" s="31"/>
      <c r="F244" s="216"/>
      <c r="G244" s="31"/>
      <c r="H244" s="217"/>
    </row>
    <row r="245" spans="1:8" ht="12.75" customHeight="1" x14ac:dyDescent="0.2">
      <c r="A245" s="26" t="s">
        <v>441</v>
      </c>
      <c r="B245" s="252"/>
      <c r="C245" s="214" t="s">
        <v>5855</v>
      </c>
      <c r="D245" s="234" t="s">
        <v>1071</v>
      </c>
      <c r="E245" s="31">
        <v>2886</v>
      </c>
      <c r="F245" s="216"/>
      <c r="G245" s="31"/>
      <c r="H245" s="217"/>
    </row>
    <row r="246" spans="1:8" x14ac:dyDescent="0.2">
      <c r="A246" s="26"/>
      <c r="B246" s="252"/>
      <c r="C246" s="26" t="s">
        <v>5993</v>
      </c>
      <c r="D246" s="234" t="s">
        <v>5636</v>
      </c>
      <c r="E246" s="31">
        <v>1165</v>
      </c>
      <c r="F246" s="216"/>
      <c r="G246" s="31"/>
      <c r="H246" s="217"/>
    </row>
    <row r="247" spans="1:8" x14ac:dyDescent="0.2">
      <c r="A247" s="26"/>
      <c r="B247" s="252"/>
      <c r="C247" s="26" t="s">
        <v>2318</v>
      </c>
      <c r="D247" s="234"/>
      <c r="E247" s="218">
        <v>4262</v>
      </c>
      <c r="F247" s="219"/>
      <c r="G247" s="218">
        <v>7577</v>
      </c>
      <c r="H247" s="220">
        <v>56.2</v>
      </c>
    </row>
    <row r="248" spans="1:8" x14ac:dyDescent="0.2">
      <c r="A248" s="26"/>
      <c r="B248" s="252"/>
      <c r="C248" s="26" t="s">
        <v>2318</v>
      </c>
      <c r="D248" s="234"/>
      <c r="E248" s="31"/>
      <c r="F248" s="216"/>
      <c r="G248" s="31"/>
      <c r="H248" s="217"/>
    </row>
    <row r="249" spans="1:8" x14ac:dyDescent="0.2">
      <c r="A249" s="26" t="s">
        <v>1385</v>
      </c>
      <c r="B249" s="252"/>
      <c r="C249" s="26" t="s">
        <v>5994</v>
      </c>
      <c r="D249" s="234" t="s">
        <v>5636</v>
      </c>
      <c r="E249" s="31">
        <v>634</v>
      </c>
      <c r="F249" s="216"/>
      <c r="G249" s="31"/>
      <c r="H249" s="217"/>
    </row>
    <row r="250" spans="1:8" x14ac:dyDescent="0.2">
      <c r="A250" s="26"/>
      <c r="B250" s="252"/>
      <c r="C250" s="26" t="s">
        <v>5995</v>
      </c>
      <c r="D250" s="234" t="s">
        <v>1072</v>
      </c>
      <c r="E250" s="31">
        <v>813</v>
      </c>
      <c r="F250" s="216"/>
      <c r="G250" s="31"/>
      <c r="H250" s="217"/>
    </row>
    <row r="251" spans="1:8" x14ac:dyDescent="0.2">
      <c r="A251" s="26"/>
      <c r="B251" s="252"/>
      <c r="C251" s="214" t="s">
        <v>5353</v>
      </c>
      <c r="D251" s="234" t="s">
        <v>1071</v>
      </c>
      <c r="E251" s="31">
        <v>2714</v>
      </c>
      <c r="F251" s="216"/>
      <c r="G251" s="31"/>
      <c r="H251" s="217"/>
    </row>
    <row r="252" spans="1:8" x14ac:dyDescent="0.2">
      <c r="A252" s="26"/>
      <c r="B252" s="252"/>
      <c r="C252" s="26"/>
      <c r="D252" s="234"/>
      <c r="E252" s="218">
        <v>4432</v>
      </c>
      <c r="F252" s="219"/>
      <c r="G252" s="218">
        <v>6446</v>
      </c>
      <c r="H252" s="220">
        <v>73.099999999999994</v>
      </c>
    </row>
    <row r="253" spans="1:8" x14ac:dyDescent="0.2">
      <c r="A253" s="26"/>
      <c r="B253" s="252"/>
      <c r="C253" s="26" t="s">
        <v>2318</v>
      </c>
      <c r="D253" s="234"/>
      <c r="E253" s="31"/>
      <c r="F253" s="216"/>
      <c r="G253" s="31"/>
      <c r="H253" s="217"/>
    </row>
    <row r="254" spans="1:8" x14ac:dyDescent="0.2">
      <c r="A254" s="26" t="s">
        <v>5356</v>
      </c>
      <c r="B254" s="252">
        <v>1</v>
      </c>
      <c r="C254" s="26" t="s">
        <v>5996</v>
      </c>
      <c r="D254" s="234" t="s">
        <v>5900</v>
      </c>
      <c r="E254" s="31">
        <v>550</v>
      </c>
      <c r="F254" s="216"/>
      <c r="G254" s="31"/>
      <c r="H254" s="217"/>
    </row>
    <row r="255" spans="1:8" x14ac:dyDescent="0.2">
      <c r="A255" s="26"/>
      <c r="B255" s="252"/>
      <c r="C255" s="26" t="s">
        <v>5997</v>
      </c>
      <c r="D255" s="234" t="s">
        <v>1071</v>
      </c>
      <c r="E255" s="31">
        <v>1738</v>
      </c>
      <c r="F255" s="216"/>
      <c r="G255" s="31"/>
      <c r="H255" s="217"/>
    </row>
    <row r="256" spans="1:8" x14ac:dyDescent="0.2">
      <c r="A256" s="26"/>
      <c r="B256" s="252"/>
      <c r="C256" s="26" t="s">
        <v>5859</v>
      </c>
      <c r="D256" s="234" t="s">
        <v>1072</v>
      </c>
      <c r="E256" s="31">
        <v>861</v>
      </c>
      <c r="F256" s="216"/>
      <c r="G256" s="31"/>
      <c r="H256" s="217"/>
    </row>
    <row r="257" spans="1:8" x14ac:dyDescent="0.2">
      <c r="A257" s="26"/>
      <c r="B257" s="252"/>
      <c r="C257" s="26" t="s">
        <v>5998</v>
      </c>
      <c r="D257" s="234" t="s">
        <v>5573</v>
      </c>
      <c r="E257" s="31">
        <v>1222</v>
      </c>
      <c r="F257" s="216"/>
      <c r="G257" s="31"/>
      <c r="H257" s="217"/>
    </row>
    <row r="258" spans="1:8" x14ac:dyDescent="0.2">
      <c r="A258" s="26"/>
      <c r="B258" s="252"/>
      <c r="C258" s="26"/>
      <c r="D258" s="234"/>
      <c r="E258" s="218">
        <v>4748</v>
      </c>
      <c r="F258" s="219"/>
      <c r="G258" s="218">
        <v>7158</v>
      </c>
      <c r="H258" s="220">
        <v>66.3</v>
      </c>
    </row>
    <row r="259" spans="1:8" x14ac:dyDescent="0.2">
      <c r="A259" s="26"/>
      <c r="B259" s="252"/>
      <c r="C259" s="26"/>
      <c r="D259" s="234"/>
      <c r="E259" s="88"/>
      <c r="F259" s="84"/>
      <c r="G259" s="88"/>
      <c r="H259" s="235"/>
    </row>
    <row r="260" spans="1:8" x14ac:dyDescent="0.2">
      <c r="A260" s="26"/>
      <c r="B260" s="252">
        <v>2</v>
      </c>
      <c r="C260" s="214" t="s">
        <v>5997</v>
      </c>
      <c r="D260" s="234" t="s">
        <v>1071</v>
      </c>
      <c r="E260" s="88">
        <v>2041</v>
      </c>
      <c r="F260" s="84"/>
      <c r="G260" s="88"/>
      <c r="H260" s="235"/>
    </row>
    <row r="261" spans="1:8" x14ac:dyDescent="0.2">
      <c r="A261" s="26"/>
      <c r="B261" s="252"/>
      <c r="C261" s="26" t="s">
        <v>5998</v>
      </c>
      <c r="D261" s="234" t="s">
        <v>5573</v>
      </c>
      <c r="E261" s="88">
        <v>1418</v>
      </c>
      <c r="F261" s="84"/>
      <c r="G261" s="88"/>
      <c r="H261" s="235"/>
    </row>
    <row r="262" spans="1:8" x14ac:dyDescent="0.2">
      <c r="A262" s="26"/>
      <c r="B262" s="252"/>
      <c r="C262" s="26" t="s">
        <v>2318</v>
      </c>
      <c r="D262" s="234"/>
      <c r="E262" s="31"/>
      <c r="F262" s="216"/>
      <c r="G262" s="31"/>
      <c r="H262" s="217"/>
    </row>
    <row r="263" spans="1:8" x14ac:dyDescent="0.2">
      <c r="A263" s="26" t="s">
        <v>446</v>
      </c>
      <c r="B263" s="252">
        <v>1</v>
      </c>
      <c r="C263" s="26" t="s">
        <v>5999</v>
      </c>
      <c r="D263" s="234" t="s">
        <v>5573</v>
      </c>
      <c r="E263" s="31">
        <v>1292</v>
      </c>
      <c r="F263" s="216"/>
      <c r="G263" s="31"/>
      <c r="H263" s="217"/>
    </row>
    <row r="264" spans="1:8" x14ac:dyDescent="0.2">
      <c r="A264" s="26"/>
      <c r="B264" s="252"/>
      <c r="C264" s="26" t="s">
        <v>5862</v>
      </c>
      <c r="D264" s="234" t="s">
        <v>1071</v>
      </c>
      <c r="E264" s="31">
        <v>2218</v>
      </c>
      <c r="F264" s="216"/>
      <c r="G264" s="31"/>
      <c r="H264" s="217"/>
    </row>
    <row r="265" spans="1:8" x14ac:dyDescent="0.2">
      <c r="A265" s="26"/>
      <c r="B265" s="252"/>
      <c r="C265" s="26" t="s">
        <v>5864</v>
      </c>
      <c r="D265" s="234" t="s">
        <v>1072</v>
      </c>
      <c r="E265" s="31">
        <v>1496</v>
      </c>
      <c r="F265" s="216"/>
      <c r="G265" s="31"/>
      <c r="H265" s="217"/>
    </row>
    <row r="266" spans="1:8" x14ac:dyDescent="0.2">
      <c r="A266" s="26"/>
      <c r="B266" s="252"/>
      <c r="C266" s="26" t="s">
        <v>2318</v>
      </c>
      <c r="D266" s="234"/>
      <c r="E266" s="218">
        <v>5343</v>
      </c>
      <c r="F266" s="219"/>
      <c r="G266" s="218">
        <v>7565</v>
      </c>
      <c r="H266" s="220">
        <v>70.599999999999994</v>
      </c>
    </row>
    <row r="267" spans="1:8" x14ac:dyDescent="0.2">
      <c r="A267" s="26"/>
      <c r="B267" s="252"/>
      <c r="C267" s="26"/>
      <c r="D267" s="234"/>
      <c r="E267" s="88"/>
      <c r="F267" s="84"/>
      <c r="G267" s="88"/>
      <c r="H267" s="235"/>
    </row>
    <row r="268" spans="1:8" x14ac:dyDescent="0.2">
      <c r="A268" s="26"/>
      <c r="B268" s="252">
        <v>2</v>
      </c>
      <c r="C268" s="214" t="s">
        <v>5862</v>
      </c>
      <c r="D268" s="234" t="s">
        <v>1071</v>
      </c>
      <c r="E268" s="88">
        <v>2420</v>
      </c>
      <c r="F268" s="84"/>
      <c r="G268" s="88"/>
      <c r="H268" s="235"/>
    </row>
    <row r="269" spans="1:8" x14ac:dyDescent="0.2">
      <c r="A269" s="26"/>
      <c r="B269" s="252"/>
      <c r="C269" s="26" t="s">
        <v>5864</v>
      </c>
      <c r="D269" s="234" t="s">
        <v>1072</v>
      </c>
      <c r="E269" s="88">
        <v>2019</v>
      </c>
      <c r="F269" s="84"/>
      <c r="G269" s="88"/>
      <c r="H269" s="235"/>
    </row>
    <row r="270" spans="1:8" x14ac:dyDescent="0.2">
      <c r="A270" s="26"/>
      <c r="B270" s="252"/>
      <c r="C270" s="26"/>
      <c r="D270" s="234"/>
      <c r="E270" s="88"/>
      <c r="F270" s="84"/>
      <c r="G270" s="88"/>
      <c r="H270" s="235"/>
    </row>
    <row r="271" spans="1:8" x14ac:dyDescent="0.2">
      <c r="A271" s="26" t="s">
        <v>3262</v>
      </c>
      <c r="B271" s="252"/>
      <c r="C271" s="26" t="s">
        <v>6000</v>
      </c>
      <c r="D271" s="234" t="s">
        <v>1072</v>
      </c>
      <c r="E271" s="31">
        <v>2235</v>
      </c>
      <c r="F271" s="216"/>
      <c r="G271" s="31"/>
      <c r="H271" s="217"/>
    </row>
    <row r="272" spans="1:8" x14ac:dyDescent="0.2">
      <c r="A272" s="26"/>
      <c r="B272" s="252"/>
      <c r="C272" s="214" t="s">
        <v>5347</v>
      </c>
      <c r="D272" s="234" t="s">
        <v>1071</v>
      </c>
      <c r="E272" s="31">
        <v>2581</v>
      </c>
      <c r="F272" s="216"/>
      <c r="G272" s="31"/>
      <c r="H272" s="217"/>
    </row>
    <row r="273" spans="1:8" x14ac:dyDescent="0.2">
      <c r="A273" s="26"/>
      <c r="B273" s="252"/>
      <c r="C273" s="26" t="s">
        <v>2318</v>
      </c>
      <c r="D273" s="234"/>
      <c r="E273" s="218">
        <v>5030</v>
      </c>
      <c r="F273" s="219"/>
      <c r="G273" s="218">
        <v>7071</v>
      </c>
      <c r="H273" s="220">
        <v>71.099999999999994</v>
      </c>
    </row>
    <row r="274" spans="1:8" x14ac:dyDescent="0.2">
      <c r="A274" s="26"/>
      <c r="B274" s="252"/>
      <c r="C274" s="26" t="s">
        <v>2318</v>
      </c>
      <c r="D274" s="234"/>
      <c r="E274" s="31"/>
      <c r="F274" s="216"/>
      <c r="G274" s="31"/>
      <c r="H274" s="217"/>
    </row>
    <row r="275" spans="1:8" x14ac:dyDescent="0.2">
      <c r="A275" s="26" t="s">
        <v>715</v>
      </c>
      <c r="B275" s="252">
        <v>1</v>
      </c>
      <c r="C275" s="26" t="s">
        <v>5866</v>
      </c>
      <c r="D275" s="234" t="s">
        <v>1071</v>
      </c>
      <c r="E275" s="31">
        <v>2275</v>
      </c>
      <c r="F275" s="216"/>
      <c r="G275" s="31"/>
      <c r="H275" s="217"/>
    </row>
    <row r="276" spans="1:8" x14ac:dyDescent="0.2">
      <c r="A276" s="26"/>
      <c r="B276" s="252"/>
      <c r="C276" s="26" t="s">
        <v>6001</v>
      </c>
      <c r="D276" s="234" t="s">
        <v>1072</v>
      </c>
      <c r="E276" s="31">
        <v>1225</v>
      </c>
      <c r="F276" s="216"/>
      <c r="G276" s="31"/>
      <c r="H276" s="217"/>
    </row>
    <row r="277" spans="1:8" x14ac:dyDescent="0.2">
      <c r="A277" s="26"/>
      <c r="B277" s="252"/>
      <c r="C277" s="26" t="s">
        <v>5362</v>
      </c>
      <c r="D277" s="234" t="s">
        <v>5573</v>
      </c>
      <c r="E277" s="31">
        <v>752</v>
      </c>
      <c r="F277" s="216"/>
      <c r="G277" s="31"/>
      <c r="H277" s="217"/>
    </row>
    <row r="278" spans="1:8" x14ac:dyDescent="0.2">
      <c r="A278" s="26"/>
      <c r="B278" s="252"/>
      <c r="C278" s="26" t="s">
        <v>6002</v>
      </c>
      <c r="D278" s="234" t="s">
        <v>5900</v>
      </c>
      <c r="E278" s="31">
        <v>442</v>
      </c>
      <c r="F278" s="216"/>
      <c r="G278" s="31"/>
      <c r="H278" s="217"/>
    </row>
    <row r="279" spans="1:8" x14ac:dyDescent="0.2">
      <c r="A279" s="26"/>
      <c r="B279" s="252"/>
      <c r="C279" s="26" t="s">
        <v>2318</v>
      </c>
      <c r="D279" s="234"/>
      <c r="E279" s="218">
        <v>4945</v>
      </c>
      <c r="F279" s="219"/>
      <c r="G279" s="218">
        <v>7100</v>
      </c>
      <c r="H279" s="220">
        <v>69.599999999999994</v>
      </c>
    </row>
    <row r="280" spans="1:8" x14ac:dyDescent="0.2">
      <c r="A280" s="26"/>
      <c r="B280" s="252"/>
      <c r="C280" s="26"/>
      <c r="D280" s="234"/>
      <c r="E280" s="88"/>
      <c r="F280" s="84"/>
      <c r="G280" s="88"/>
      <c r="H280" s="235"/>
    </row>
    <row r="281" spans="1:8" x14ac:dyDescent="0.2">
      <c r="A281" s="26"/>
      <c r="B281" s="252">
        <v>2</v>
      </c>
      <c r="C281" s="214" t="s">
        <v>5866</v>
      </c>
      <c r="D281" s="234" t="s">
        <v>1071</v>
      </c>
      <c r="E281" s="88">
        <v>2397</v>
      </c>
      <c r="F281" s="84"/>
      <c r="G281" s="88"/>
      <c r="H281" s="235"/>
    </row>
    <row r="282" spans="1:8" x14ac:dyDescent="0.2">
      <c r="A282" s="26"/>
      <c r="B282" s="252"/>
      <c r="C282" s="26" t="s">
        <v>6001</v>
      </c>
      <c r="D282" s="234" t="s">
        <v>1072</v>
      </c>
      <c r="E282" s="88">
        <v>1339</v>
      </c>
      <c r="F282" s="84"/>
      <c r="G282" s="88"/>
      <c r="H282" s="235"/>
    </row>
    <row r="283" spans="1:8" x14ac:dyDescent="0.2">
      <c r="A283" s="26"/>
      <c r="B283" s="252"/>
      <c r="C283" s="26" t="s">
        <v>5362</v>
      </c>
      <c r="D283" s="234" t="s">
        <v>5573</v>
      </c>
      <c r="E283" s="88">
        <v>784</v>
      </c>
      <c r="F283" s="84"/>
      <c r="G283" s="88"/>
      <c r="H283" s="235"/>
    </row>
    <row r="284" spans="1:8" x14ac:dyDescent="0.2">
      <c r="A284" s="26"/>
      <c r="B284" s="252"/>
      <c r="C284" s="26" t="s">
        <v>2318</v>
      </c>
      <c r="D284" s="234"/>
      <c r="E284" s="31"/>
      <c r="F284" s="216"/>
      <c r="G284" s="31"/>
      <c r="H284" s="217"/>
    </row>
    <row r="285" spans="1:8" x14ac:dyDescent="0.2">
      <c r="A285" s="26" t="s">
        <v>2545</v>
      </c>
      <c r="B285" s="252">
        <v>1</v>
      </c>
      <c r="C285" s="26" t="s">
        <v>5869</v>
      </c>
      <c r="D285" s="234" t="s">
        <v>5573</v>
      </c>
      <c r="E285" s="31">
        <v>1218</v>
      </c>
      <c r="F285" s="216"/>
      <c r="G285" s="31"/>
      <c r="H285" s="217"/>
    </row>
    <row r="286" spans="1:8" x14ac:dyDescent="0.2">
      <c r="A286" s="26"/>
      <c r="B286" s="252"/>
      <c r="C286" s="26" t="s">
        <v>6003</v>
      </c>
      <c r="D286" s="234" t="s">
        <v>1071</v>
      </c>
      <c r="E286" s="31">
        <v>1991</v>
      </c>
      <c r="F286" s="216"/>
      <c r="G286" s="31"/>
      <c r="H286" s="217"/>
    </row>
    <row r="287" spans="1:8" x14ac:dyDescent="0.2">
      <c r="A287" s="26"/>
      <c r="B287" s="252"/>
      <c r="C287" s="26" t="s">
        <v>6004</v>
      </c>
      <c r="D287" s="234" t="s">
        <v>1072</v>
      </c>
      <c r="E287" s="31">
        <v>1062</v>
      </c>
      <c r="F287" s="216"/>
      <c r="G287" s="31"/>
      <c r="H287" s="217"/>
    </row>
    <row r="288" spans="1:8" x14ac:dyDescent="0.2">
      <c r="A288" s="26"/>
      <c r="B288" s="252"/>
      <c r="C288" s="26" t="s">
        <v>2318</v>
      </c>
      <c r="D288" s="234"/>
      <c r="E288" s="218">
        <v>4616</v>
      </c>
      <c r="F288" s="219"/>
      <c r="G288" s="218">
        <v>6716</v>
      </c>
      <c r="H288" s="220">
        <v>68.7</v>
      </c>
    </row>
    <row r="289" spans="1:8" x14ac:dyDescent="0.2">
      <c r="A289" s="26"/>
      <c r="B289" s="252"/>
      <c r="C289" s="26"/>
      <c r="D289" s="234"/>
      <c r="E289" s="88"/>
      <c r="F289" s="84"/>
      <c r="G289" s="88"/>
      <c r="H289" s="235"/>
    </row>
    <row r="290" spans="1:8" x14ac:dyDescent="0.2">
      <c r="A290" s="26"/>
      <c r="B290" s="252">
        <v>2</v>
      </c>
      <c r="C290" s="26" t="s">
        <v>5869</v>
      </c>
      <c r="D290" s="234" t="s">
        <v>5573</v>
      </c>
      <c r="E290" s="88">
        <v>1530</v>
      </c>
      <c r="F290" s="84"/>
      <c r="G290" s="88"/>
      <c r="H290" s="235"/>
    </row>
    <row r="291" spans="1:8" x14ac:dyDescent="0.2">
      <c r="A291" s="26"/>
      <c r="B291" s="252"/>
      <c r="C291" s="214" t="s">
        <v>6003</v>
      </c>
      <c r="D291" s="234" t="s">
        <v>1071</v>
      </c>
      <c r="E291" s="88">
        <v>2177</v>
      </c>
      <c r="F291" s="84"/>
      <c r="G291" s="88"/>
      <c r="H291" s="235"/>
    </row>
    <row r="292" spans="1:8" x14ac:dyDescent="0.2">
      <c r="A292" s="26"/>
      <c r="B292" s="252"/>
      <c r="C292" s="214"/>
      <c r="D292" s="234"/>
      <c r="E292" s="88"/>
      <c r="F292" s="84"/>
      <c r="G292" s="88"/>
      <c r="H292" s="235"/>
    </row>
    <row r="293" spans="1:8" x14ac:dyDescent="0.2">
      <c r="A293" s="26" t="s">
        <v>1198</v>
      </c>
      <c r="B293" s="252"/>
      <c r="C293" s="214" t="s">
        <v>5711</v>
      </c>
      <c r="D293" s="234" t="s">
        <v>1071</v>
      </c>
      <c r="E293" s="88">
        <v>2809</v>
      </c>
      <c r="F293" s="84"/>
      <c r="G293" s="88"/>
      <c r="H293" s="235"/>
    </row>
    <row r="294" spans="1:8" x14ac:dyDescent="0.2">
      <c r="A294" s="26"/>
      <c r="B294" s="252"/>
      <c r="C294" s="26" t="s">
        <v>6127</v>
      </c>
      <c r="D294" s="234" t="s">
        <v>1072</v>
      </c>
      <c r="E294" s="88">
        <v>717</v>
      </c>
      <c r="F294" s="84"/>
      <c r="G294" s="88"/>
      <c r="H294" s="235"/>
    </row>
    <row r="295" spans="1:8" x14ac:dyDescent="0.2">
      <c r="A295" s="26"/>
      <c r="B295" s="252"/>
      <c r="C295" s="214"/>
      <c r="D295" s="234"/>
      <c r="E295" s="88">
        <v>3805</v>
      </c>
      <c r="F295" s="84"/>
      <c r="G295" s="88">
        <v>6566</v>
      </c>
      <c r="H295" s="235">
        <v>58</v>
      </c>
    </row>
    <row r="296" spans="1:8" x14ac:dyDescent="0.2">
      <c r="A296" s="26"/>
      <c r="B296" s="252"/>
      <c r="C296" s="26" t="s">
        <v>2318</v>
      </c>
      <c r="D296" s="234"/>
      <c r="E296" s="31"/>
      <c r="F296" s="216"/>
      <c r="G296" s="31"/>
      <c r="H296" s="217"/>
    </row>
    <row r="297" spans="1:8" x14ac:dyDescent="0.2">
      <c r="A297" s="26" t="s">
        <v>1557</v>
      </c>
      <c r="B297" s="252">
        <v>1</v>
      </c>
      <c r="C297" s="26" t="s">
        <v>6005</v>
      </c>
      <c r="D297" s="234" t="s">
        <v>1072</v>
      </c>
      <c r="E297" s="31">
        <v>1182</v>
      </c>
      <c r="F297" s="216"/>
      <c r="G297" s="31"/>
      <c r="H297" s="217"/>
    </row>
    <row r="298" spans="1:8" x14ac:dyDescent="0.2">
      <c r="A298" s="26"/>
      <c r="B298" s="252"/>
      <c r="C298" s="26" t="s">
        <v>5874</v>
      </c>
      <c r="D298" s="234" t="s">
        <v>1071</v>
      </c>
      <c r="E298" s="31">
        <v>1981</v>
      </c>
      <c r="F298" s="216"/>
      <c r="G298" s="31"/>
      <c r="H298" s="217"/>
    </row>
    <row r="299" spans="1:8" x14ac:dyDescent="0.2">
      <c r="A299" s="26"/>
      <c r="B299" s="252"/>
      <c r="C299" s="26" t="s">
        <v>5713</v>
      </c>
      <c r="D299" s="234" t="s">
        <v>5573</v>
      </c>
      <c r="E299" s="31">
        <v>1434</v>
      </c>
      <c r="F299" s="216"/>
      <c r="G299" s="31"/>
      <c r="H299" s="217"/>
    </row>
    <row r="300" spans="1:8" x14ac:dyDescent="0.2">
      <c r="A300" s="26"/>
      <c r="B300" s="252"/>
      <c r="C300" s="26" t="s">
        <v>2318</v>
      </c>
      <c r="D300" s="234"/>
      <c r="E300" s="218">
        <v>4859</v>
      </c>
      <c r="F300" s="219"/>
      <c r="G300" s="218">
        <v>6441</v>
      </c>
      <c r="H300" s="220">
        <v>75.400000000000006</v>
      </c>
    </row>
    <row r="301" spans="1:8" x14ac:dyDescent="0.2">
      <c r="A301" s="26"/>
      <c r="B301" s="252"/>
      <c r="C301" s="26"/>
      <c r="D301" s="234"/>
      <c r="E301" s="88"/>
      <c r="F301" s="84"/>
      <c r="G301" s="88"/>
      <c r="H301" s="235"/>
    </row>
    <row r="302" spans="1:8" x14ac:dyDescent="0.2">
      <c r="A302" s="26"/>
      <c r="B302" s="252">
        <v>2</v>
      </c>
      <c r="C302" s="214" t="s">
        <v>5874</v>
      </c>
      <c r="D302" s="234" t="s">
        <v>1071</v>
      </c>
      <c r="E302" s="88">
        <v>2239</v>
      </c>
      <c r="F302" s="84"/>
      <c r="G302" s="88"/>
      <c r="H302" s="235"/>
    </row>
    <row r="303" spans="1:8" x14ac:dyDescent="0.2">
      <c r="A303" s="26"/>
      <c r="B303" s="252"/>
      <c r="C303" s="26" t="s">
        <v>5713</v>
      </c>
      <c r="D303" s="234" t="s">
        <v>5573</v>
      </c>
      <c r="E303" s="88">
        <v>1710</v>
      </c>
      <c r="F303" s="84"/>
      <c r="G303" s="88"/>
      <c r="H303" s="235"/>
    </row>
    <row r="304" spans="1:8" x14ac:dyDescent="0.2">
      <c r="A304" s="26"/>
      <c r="B304" s="252"/>
      <c r="C304" s="26" t="s">
        <v>2318</v>
      </c>
      <c r="D304" s="234"/>
      <c r="E304" s="31"/>
      <c r="F304" s="216"/>
      <c r="G304" s="31"/>
      <c r="H304" s="217"/>
    </row>
    <row r="305" spans="1:8" x14ac:dyDescent="0.2">
      <c r="A305" s="26" t="s">
        <v>1309</v>
      </c>
      <c r="B305" s="252">
        <v>1</v>
      </c>
      <c r="C305" s="26" t="s">
        <v>6006</v>
      </c>
      <c r="D305" s="234" t="s">
        <v>5573</v>
      </c>
      <c r="E305" s="31">
        <v>569</v>
      </c>
      <c r="F305" s="216"/>
      <c r="G305" s="31"/>
      <c r="H305" s="217"/>
    </row>
    <row r="306" spans="1:8" x14ac:dyDescent="0.2">
      <c r="A306" s="26"/>
      <c r="B306" s="252"/>
      <c r="C306" s="26" t="s">
        <v>6007</v>
      </c>
      <c r="D306" s="234" t="s">
        <v>1071</v>
      </c>
      <c r="E306" s="31">
        <v>1955</v>
      </c>
      <c r="F306" s="216"/>
      <c r="G306" s="31"/>
      <c r="H306" s="217"/>
    </row>
    <row r="307" spans="1:8" x14ac:dyDescent="0.2">
      <c r="A307" s="26"/>
      <c r="B307" s="252"/>
      <c r="C307" s="26" t="s">
        <v>6008</v>
      </c>
      <c r="D307" s="234" t="s">
        <v>6010</v>
      </c>
      <c r="E307" s="31">
        <v>655</v>
      </c>
      <c r="F307" s="216"/>
      <c r="G307" s="31"/>
      <c r="H307" s="217"/>
    </row>
    <row r="308" spans="1:8" x14ac:dyDescent="0.2">
      <c r="A308" s="26"/>
      <c r="B308" s="252"/>
      <c r="C308" s="26" t="s">
        <v>6009</v>
      </c>
      <c r="D308" s="234" t="s">
        <v>1072</v>
      </c>
      <c r="E308" s="31">
        <v>835</v>
      </c>
      <c r="F308" s="216"/>
      <c r="G308" s="31"/>
      <c r="H308" s="217"/>
    </row>
    <row r="309" spans="1:8" x14ac:dyDescent="0.2">
      <c r="A309" s="26"/>
      <c r="B309" s="252"/>
      <c r="C309" s="26" t="s">
        <v>2318</v>
      </c>
      <c r="D309" s="234"/>
      <c r="E309" s="218">
        <v>4263</v>
      </c>
      <c r="F309" s="219"/>
      <c r="G309" s="218">
        <v>6432</v>
      </c>
      <c r="H309" s="220">
        <v>66.3</v>
      </c>
    </row>
    <row r="310" spans="1:8" x14ac:dyDescent="0.2">
      <c r="A310" s="26"/>
      <c r="B310" s="252"/>
      <c r="C310" s="26"/>
      <c r="D310" s="234"/>
      <c r="E310" s="88"/>
      <c r="F310" s="84"/>
      <c r="G310" s="88"/>
      <c r="H310" s="235"/>
    </row>
    <row r="311" spans="1:8" x14ac:dyDescent="0.2">
      <c r="A311" s="26"/>
      <c r="B311" s="252">
        <v>2</v>
      </c>
      <c r="C311" s="214" t="s">
        <v>6007</v>
      </c>
      <c r="D311" s="234" t="s">
        <v>1071</v>
      </c>
      <c r="E311" s="88">
        <v>2058</v>
      </c>
      <c r="F311" s="84"/>
      <c r="G311" s="88"/>
      <c r="H311" s="235"/>
    </row>
    <row r="312" spans="1:8" x14ac:dyDescent="0.2">
      <c r="A312" s="26"/>
      <c r="B312" s="252"/>
      <c r="C312" s="26" t="s">
        <v>6008</v>
      </c>
      <c r="D312" s="234" t="s">
        <v>6010</v>
      </c>
      <c r="E312" s="88">
        <v>713</v>
      </c>
      <c r="F312" s="84"/>
      <c r="G312" s="88"/>
      <c r="H312" s="235"/>
    </row>
    <row r="313" spans="1:8" x14ac:dyDescent="0.2">
      <c r="A313" s="26"/>
      <c r="B313" s="252"/>
      <c r="C313" s="26" t="s">
        <v>6009</v>
      </c>
      <c r="D313" s="234" t="s">
        <v>1072</v>
      </c>
      <c r="E313" s="88">
        <v>983</v>
      </c>
      <c r="F313" s="84"/>
      <c r="G313" s="88"/>
      <c r="H313" s="235"/>
    </row>
    <row r="314" spans="1:8" x14ac:dyDescent="0.2">
      <c r="A314" s="26"/>
      <c r="B314" s="252"/>
      <c r="C314" s="26" t="s">
        <v>2318</v>
      </c>
      <c r="D314" s="234"/>
      <c r="E314" s="31"/>
      <c r="F314" s="216"/>
      <c r="G314" s="31"/>
      <c r="H314" s="217"/>
    </row>
    <row r="315" spans="1:8" x14ac:dyDescent="0.2">
      <c r="A315" s="26" t="s">
        <v>2564</v>
      </c>
      <c r="B315" s="252"/>
      <c r="C315" s="26" t="s">
        <v>6011</v>
      </c>
      <c r="D315" s="234" t="s">
        <v>1072</v>
      </c>
      <c r="E315" s="31">
        <v>1105</v>
      </c>
      <c r="F315" s="216"/>
      <c r="G315" s="31"/>
      <c r="H315" s="217"/>
    </row>
    <row r="316" spans="1:8" x14ac:dyDescent="0.2">
      <c r="A316" s="26"/>
      <c r="B316" s="252"/>
      <c r="C316" s="214" t="s">
        <v>6012</v>
      </c>
      <c r="D316" s="234" t="s">
        <v>1071</v>
      </c>
      <c r="E316" s="31">
        <v>2578</v>
      </c>
      <c r="F316" s="216"/>
      <c r="G316" s="31"/>
      <c r="H316" s="217"/>
    </row>
    <row r="317" spans="1:8" x14ac:dyDescent="0.2">
      <c r="A317" s="26"/>
      <c r="B317" s="252"/>
      <c r="C317" s="26" t="s">
        <v>6013</v>
      </c>
      <c r="D317" s="234" t="s">
        <v>4877</v>
      </c>
      <c r="E317" s="31">
        <v>705</v>
      </c>
      <c r="F317" s="216"/>
      <c r="G317" s="31"/>
      <c r="H317" s="217"/>
    </row>
    <row r="318" spans="1:8" x14ac:dyDescent="0.2">
      <c r="A318" s="26"/>
      <c r="B318" s="252"/>
      <c r="C318" s="26" t="s">
        <v>2318</v>
      </c>
      <c r="D318" s="234"/>
      <c r="E318" s="218">
        <v>4689</v>
      </c>
      <c r="F318" s="219"/>
      <c r="G318" s="218">
        <v>5443</v>
      </c>
      <c r="H318" s="220">
        <v>49.3</v>
      </c>
    </row>
    <row r="319" spans="1:8" x14ac:dyDescent="0.2">
      <c r="A319" s="26"/>
      <c r="B319" s="252"/>
      <c r="C319" s="26"/>
      <c r="D319" s="234"/>
      <c r="E319" s="88"/>
      <c r="F319" s="84"/>
      <c r="G319" s="88"/>
      <c r="H319" s="235"/>
    </row>
    <row r="320" spans="1:8" x14ac:dyDescent="0.2">
      <c r="A320" s="26" t="s">
        <v>1199</v>
      </c>
      <c r="B320" s="252"/>
      <c r="C320" s="214" t="s">
        <v>5722</v>
      </c>
      <c r="D320" s="234" t="s">
        <v>1071</v>
      </c>
      <c r="E320" s="31">
        <v>1904</v>
      </c>
      <c r="F320" s="216"/>
      <c r="G320" s="31"/>
      <c r="H320" s="217"/>
    </row>
    <row r="321" spans="1:8" x14ac:dyDescent="0.2">
      <c r="A321" s="26"/>
      <c r="B321" s="252"/>
      <c r="C321" s="26" t="s">
        <v>6014</v>
      </c>
      <c r="D321" s="234" t="s">
        <v>1072</v>
      </c>
      <c r="E321" s="31">
        <v>633</v>
      </c>
      <c r="F321" s="216"/>
      <c r="G321" s="31"/>
      <c r="H321" s="217"/>
    </row>
    <row r="322" spans="1:8" x14ac:dyDescent="0.2">
      <c r="A322" s="26"/>
      <c r="B322" s="252"/>
      <c r="C322" s="26" t="s">
        <v>2318</v>
      </c>
      <c r="D322" s="234"/>
      <c r="E322" s="218">
        <v>2683</v>
      </c>
      <c r="F322" s="219"/>
      <c r="G322" s="218">
        <v>5443</v>
      </c>
      <c r="H322" s="220">
        <v>49.3</v>
      </c>
    </row>
    <row r="323" spans="1:8" x14ac:dyDescent="0.2">
      <c r="A323" s="26"/>
      <c r="B323" s="252"/>
      <c r="C323" s="26"/>
      <c r="D323" s="234"/>
      <c r="E323" s="88"/>
      <c r="F323" s="84"/>
      <c r="G323" s="88"/>
      <c r="H323" s="235"/>
    </row>
    <row r="324" spans="1:8" x14ac:dyDescent="0.2">
      <c r="A324" s="26" t="s">
        <v>1311</v>
      </c>
      <c r="B324" s="252"/>
      <c r="C324" s="26" t="s">
        <v>6015</v>
      </c>
      <c r="D324" s="234" t="s">
        <v>1072</v>
      </c>
      <c r="E324" s="31">
        <v>1029</v>
      </c>
      <c r="F324" s="216"/>
      <c r="G324" s="31"/>
      <c r="H324" s="217"/>
    </row>
    <row r="325" spans="1:8" x14ac:dyDescent="0.2">
      <c r="A325" s="26"/>
      <c r="B325" s="252"/>
      <c r="C325" s="26" t="s">
        <v>6016</v>
      </c>
      <c r="D325" s="234" t="s">
        <v>5900</v>
      </c>
      <c r="E325" s="31">
        <v>200</v>
      </c>
      <c r="F325" s="216"/>
      <c r="G325" s="31"/>
      <c r="H325" s="217"/>
    </row>
    <row r="326" spans="1:8" x14ac:dyDescent="0.2">
      <c r="A326" s="26"/>
      <c r="B326" s="252"/>
      <c r="C326" s="26" t="s">
        <v>6017</v>
      </c>
      <c r="D326" s="234" t="s">
        <v>5573</v>
      </c>
      <c r="E326" s="31">
        <v>1029</v>
      </c>
      <c r="F326" s="216"/>
      <c r="G326" s="31"/>
      <c r="H326" s="217"/>
    </row>
    <row r="327" spans="1:8" x14ac:dyDescent="0.2">
      <c r="A327" s="26"/>
      <c r="B327" s="252"/>
      <c r="C327" s="214" t="s">
        <v>5724</v>
      </c>
      <c r="D327" s="234" t="s">
        <v>1071</v>
      </c>
      <c r="E327" s="31">
        <v>2664</v>
      </c>
      <c r="F327" s="216"/>
      <c r="G327" s="31"/>
      <c r="H327" s="217"/>
    </row>
    <row r="328" spans="1:8" x14ac:dyDescent="0.2">
      <c r="A328" s="26"/>
      <c r="B328" s="252"/>
      <c r="C328" s="26" t="s">
        <v>2318</v>
      </c>
      <c r="D328" s="234"/>
      <c r="E328" s="218">
        <v>5276</v>
      </c>
      <c r="F328" s="219"/>
      <c r="G328" s="218">
        <v>7914</v>
      </c>
      <c r="H328" s="220">
        <v>66.7</v>
      </c>
    </row>
    <row r="329" spans="1:8" x14ac:dyDescent="0.2">
      <c r="A329" s="26"/>
      <c r="B329" s="252"/>
      <c r="C329" s="26" t="s">
        <v>2318</v>
      </c>
      <c r="D329" s="234"/>
      <c r="E329" s="31"/>
      <c r="F329" s="216"/>
      <c r="G329" s="31"/>
      <c r="H329" s="217"/>
    </row>
    <row r="330" spans="1:8" x14ac:dyDescent="0.2">
      <c r="A330" s="26" t="s">
        <v>5728</v>
      </c>
      <c r="B330" s="252">
        <v>1</v>
      </c>
      <c r="C330" s="26" t="s">
        <v>5885</v>
      </c>
      <c r="D330" s="234" t="s">
        <v>5573</v>
      </c>
      <c r="E330" s="31">
        <v>1760</v>
      </c>
      <c r="F330" s="216"/>
      <c r="G330" s="31"/>
      <c r="H330" s="217"/>
    </row>
    <row r="331" spans="1:8" x14ac:dyDescent="0.2">
      <c r="A331" s="26"/>
      <c r="B331" s="252"/>
      <c r="C331" s="26" t="s">
        <v>6018</v>
      </c>
      <c r="D331" s="234" t="s">
        <v>1072</v>
      </c>
      <c r="E331" s="31">
        <v>660</v>
      </c>
      <c r="F331" s="216"/>
      <c r="G331" s="31"/>
      <c r="H331" s="217"/>
    </row>
    <row r="332" spans="1:8" x14ac:dyDescent="0.2">
      <c r="A332" s="26"/>
      <c r="B332" s="252"/>
      <c r="C332" s="26" t="s">
        <v>5276</v>
      </c>
      <c r="D332" s="234" t="s">
        <v>1071</v>
      </c>
      <c r="E332" s="31">
        <v>1716</v>
      </c>
      <c r="F332" s="216"/>
      <c r="G332" s="31"/>
      <c r="H332" s="217"/>
    </row>
    <row r="333" spans="1:8" x14ac:dyDescent="0.2">
      <c r="A333" s="26"/>
      <c r="B333" s="252"/>
      <c r="C333" s="26" t="s">
        <v>2318</v>
      </c>
      <c r="D333" s="234"/>
      <c r="E333" s="218">
        <v>4337</v>
      </c>
      <c r="F333" s="219"/>
      <c r="G333" s="218">
        <v>5776</v>
      </c>
      <c r="H333" s="220">
        <v>75.099999999999994</v>
      </c>
    </row>
    <row r="334" spans="1:8" x14ac:dyDescent="0.2">
      <c r="A334" s="26"/>
      <c r="B334" s="252"/>
      <c r="C334" s="26"/>
      <c r="D334" s="234"/>
      <c r="E334" s="88"/>
      <c r="F334" s="84"/>
      <c r="G334" s="88"/>
      <c r="H334" s="235"/>
    </row>
    <row r="335" spans="1:8" x14ac:dyDescent="0.2">
      <c r="A335" s="26"/>
      <c r="B335" s="252">
        <v>2</v>
      </c>
      <c r="C335" s="214" t="s">
        <v>5885</v>
      </c>
      <c r="D335" s="234" t="s">
        <v>5573</v>
      </c>
      <c r="E335" s="88">
        <v>2026</v>
      </c>
      <c r="F335" s="84"/>
      <c r="G335" s="88"/>
      <c r="H335" s="235"/>
    </row>
    <row r="336" spans="1:8" x14ac:dyDescent="0.2">
      <c r="A336" s="26"/>
      <c r="B336" s="252"/>
      <c r="C336" s="26" t="s">
        <v>5276</v>
      </c>
      <c r="D336" s="234" t="s">
        <v>1071</v>
      </c>
      <c r="E336" s="88">
        <v>1812</v>
      </c>
      <c r="F336" s="84"/>
      <c r="G336" s="88"/>
      <c r="H336" s="235"/>
    </row>
    <row r="337" spans="1:8" x14ac:dyDescent="0.2">
      <c r="A337" s="26"/>
      <c r="B337" s="252"/>
      <c r="C337" s="234"/>
      <c r="D337" s="234"/>
      <c r="E337" s="223"/>
      <c r="F337" s="217"/>
      <c r="G337" s="223"/>
      <c r="H337" s="217"/>
    </row>
    <row r="338" spans="1:8" x14ac:dyDescent="0.2">
      <c r="A338" s="145" t="s">
        <v>1131</v>
      </c>
      <c r="B338" s="257"/>
      <c r="C338" s="145"/>
      <c r="D338" s="146"/>
      <c r="E338" s="147">
        <v>318948</v>
      </c>
      <c r="F338" s="148"/>
      <c r="G338" s="147">
        <v>537170</v>
      </c>
      <c r="H338" s="148">
        <v>59.4</v>
      </c>
    </row>
    <row r="339" spans="1:8" x14ac:dyDescent="0.2">
      <c r="A339" s="77"/>
      <c r="B339" s="258"/>
      <c r="C339" s="77"/>
      <c r="D339" s="78"/>
      <c r="E339" s="88"/>
      <c r="F339" s="84"/>
      <c r="G339" s="88"/>
      <c r="H339" s="84"/>
    </row>
    <row r="340" spans="1:8" x14ac:dyDescent="0.2">
      <c r="A340" s="227" t="s">
        <v>1289</v>
      </c>
      <c r="B340" s="259"/>
      <c r="C340" s="228"/>
      <c r="D340" s="228"/>
      <c r="E340" s="229"/>
      <c r="F340" s="230"/>
      <c r="G340" s="231"/>
      <c r="H340" s="232"/>
    </row>
    <row r="341" spans="1:8" x14ac:dyDescent="0.2">
      <c r="A341" s="276" t="s">
        <v>2934</v>
      </c>
      <c r="B341" s="276"/>
      <c r="C341" s="276"/>
      <c r="D341" s="276"/>
      <c r="E341" s="276"/>
      <c r="F341" s="276"/>
      <c r="G341" s="276"/>
      <c r="H341" s="276"/>
    </row>
    <row r="342" spans="1:8" x14ac:dyDescent="0.2">
      <c r="A342" s="276" t="s">
        <v>4764</v>
      </c>
      <c r="B342" s="276"/>
      <c r="C342" s="276"/>
      <c r="D342" s="276"/>
      <c r="E342" s="276"/>
      <c r="F342" s="276"/>
      <c r="G342" s="276"/>
      <c r="H342" s="276"/>
    </row>
    <row r="343" spans="1:8" x14ac:dyDescent="0.2">
      <c r="A343" s="26" t="s">
        <v>4774</v>
      </c>
      <c r="B343" s="252"/>
      <c r="C343" s="26"/>
      <c r="D343" s="234"/>
      <c r="E343" s="31"/>
      <c r="F343" s="216"/>
      <c r="G343" s="31"/>
      <c r="H343" s="217"/>
    </row>
  </sheetData>
  <mergeCells count="4">
    <mergeCell ref="A1:H1"/>
    <mergeCell ref="F2:H2"/>
    <mergeCell ref="A341:H341"/>
    <mergeCell ref="A342:H34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"/>
  <sheetViews>
    <sheetView topLeftCell="A349" workbookViewId="0">
      <selection activeCell="H369" sqref="H369"/>
    </sheetView>
  </sheetViews>
  <sheetFormatPr defaultRowHeight="12.75" x14ac:dyDescent="0.2"/>
  <cols>
    <col min="1" max="1" width="17.28515625" style="209" customWidth="1"/>
    <col min="2" max="2" width="4.7109375" style="256" customWidth="1"/>
    <col min="3" max="3" width="23.140625" style="209" bestFit="1" customWidth="1"/>
    <col min="4" max="4" width="22.28515625" style="209" bestFit="1" customWidth="1"/>
    <col min="5" max="5" width="12.85546875" style="209" customWidth="1"/>
    <col min="6" max="6" width="9.140625" style="209"/>
    <col min="7" max="7" width="11.28515625" style="209" bestFit="1" customWidth="1"/>
    <col min="8" max="16384" width="9.140625" style="209"/>
  </cols>
  <sheetData>
    <row r="1" spans="1:10" ht="15.75" x14ac:dyDescent="0.2">
      <c r="A1" s="270" t="s">
        <v>2332</v>
      </c>
      <c r="B1" s="270"/>
      <c r="C1" s="270"/>
      <c r="D1" s="270"/>
      <c r="E1" s="270"/>
      <c r="F1" s="270"/>
      <c r="G1" s="270"/>
      <c r="H1" s="270"/>
    </row>
    <row r="2" spans="1:10" ht="13.5" thickBot="1" x14ac:dyDescent="0.25">
      <c r="A2" s="210" t="s">
        <v>4782</v>
      </c>
      <c r="B2" s="253"/>
      <c r="C2" s="210" t="s">
        <v>5889</v>
      </c>
      <c r="D2" s="211" t="s">
        <v>5892</v>
      </c>
      <c r="E2" s="212"/>
      <c r="F2" s="275" t="s">
        <v>2933</v>
      </c>
      <c r="G2" s="275"/>
      <c r="H2" s="275"/>
    </row>
    <row r="3" spans="1:10" ht="39" thickBot="1" x14ac:dyDescent="0.25">
      <c r="A3" s="58" t="s">
        <v>1284</v>
      </c>
      <c r="B3" s="254"/>
      <c r="C3" s="59" t="s">
        <v>1300</v>
      </c>
      <c r="D3" s="59" t="s">
        <v>2652</v>
      </c>
      <c r="E3" s="73" t="s">
        <v>4765</v>
      </c>
      <c r="F3" s="74" t="s">
        <v>1286</v>
      </c>
      <c r="G3" s="73" t="s">
        <v>1287</v>
      </c>
      <c r="H3" s="74" t="s">
        <v>4766</v>
      </c>
      <c r="J3" s="213"/>
    </row>
    <row r="4" spans="1:10" x14ac:dyDescent="0.2">
      <c r="A4" s="247"/>
      <c r="B4" s="255"/>
      <c r="C4" s="248"/>
      <c r="D4" s="248"/>
      <c r="E4" s="249"/>
      <c r="F4" s="250"/>
      <c r="G4" s="249"/>
      <c r="H4" s="250"/>
      <c r="J4" s="213"/>
    </row>
    <row r="5" spans="1:10" x14ac:dyDescent="0.2">
      <c r="A5" s="60"/>
      <c r="B5" s="60"/>
      <c r="C5" s="61"/>
      <c r="D5" s="66"/>
      <c r="E5" s="87"/>
      <c r="F5" s="80"/>
      <c r="G5" s="87"/>
      <c r="H5" s="80"/>
    </row>
    <row r="6" spans="1:10" x14ac:dyDescent="0.2">
      <c r="A6" s="152" t="s">
        <v>5571</v>
      </c>
      <c r="B6" s="243">
        <v>1</v>
      </c>
      <c r="C6" s="241" t="s">
        <v>5731</v>
      </c>
      <c r="D6" s="242" t="s">
        <v>1071</v>
      </c>
      <c r="E6" s="245">
        <v>2026</v>
      </c>
      <c r="F6" s="246"/>
      <c r="G6" s="245"/>
      <c r="H6" s="246"/>
    </row>
    <row r="7" spans="1:10" x14ac:dyDescent="0.2">
      <c r="A7" s="243"/>
      <c r="B7" s="243"/>
      <c r="C7" s="241" t="s">
        <v>5732</v>
      </c>
      <c r="D7" s="234" t="s">
        <v>5573</v>
      </c>
      <c r="E7" s="245">
        <v>607</v>
      </c>
      <c r="F7" s="246"/>
      <c r="G7" s="245"/>
      <c r="H7" s="246"/>
    </row>
    <row r="8" spans="1:10" x14ac:dyDescent="0.2">
      <c r="A8" s="243"/>
      <c r="B8" s="243"/>
      <c r="C8" s="241" t="s">
        <v>5531</v>
      </c>
      <c r="D8" s="234" t="s">
        <v>1072</v>
      </c>
      <c r="E8" s="245">
        <v>1932</v>
      </c>
      <c r="F8" s="246"/>
      <c r="G8" s="245"/>
      <c r="H8" s="246"/>
    </row>
    <row r="9" spans="1:10" x14ac:dyDescent="0.2">
      <c r="A9" s="243"/>
      <c r="B9" s="243"/>
      <c r="C9" s="241"/>
      <c r="D9" s="234"/>
      <c r="E9" s="245">
        <v>4863</v>
      </c>
      <c r="F9" s="246"/>
      <c r="G9" s="245">
        <v>5815</v>
      </c>
      <c r="H9" s="246">
        <v>83.6</v>
      </c>
    </row>
    <row r="10" spans="1:10" x14ac:dyDescent="0.2">
      <c r="A10" s="243"/>
      <c r="B10" s="243">
        <v>2</v>
      </c>
      <c r="C10" s="241" t="s">
        <v>5731</v>
      </c>
      <c r="D10" s="242" t="s">
        <v>1071</v>
      </c>
      <c r="E10" s="245">
        <v>2122</v>
      </c>
      <c r="F10" s="246"/>
      <c r="G10" s="245"/>
      <c r="H10" s="246"/>
    </row>
    <row r="11" spans="1:10" x14ac:dyDescent="0.2">
      <c r="A11" s="243"/>
      <c r="B11" s="243"/>
      <c r="C11" s="244" t="s">
        <v>5531</v>
      </c>
      <c r="D11" s="234" t="s">
        <v>1072</v>
      </c>
      <c r="E11" s="245">
        <v>2263</v>
      </c>
      <c r="F11" s="246"/>
      <c r="G11" s="245"/>
      <c r="H11" s="246"/>
    </row>
    <row r="12" spans="1:10" x14ac:dyDescent="0.2">
      <c r="A12" s="243"/>
      <c r="B12" s="243"/>
      <c r="C12" s="241" t="s">
        <v>2318</v>
      </c>
      <c r="D12" s="242"/>
    </row>
    <row r="13" spans="1:10" x14ac:dyDescent="0.2">
      <c r="A13" s="60"/>
      <c r="B13" s="60"/>
      <c r="C13" s="61"/>
      <c r="D13" s="66"/>
      <c r="E13" s="87"/>
      <c r="F13" s="80"/>
      <c r="G13" s="87"/>
      <c r="H13" s="80"/>
    </row>
    <row r="14" spans="1:10" x14ac:dyDescent="0.2">
      <c r="A14" s="242" t="s">
        <v>3267</v>
      </c>
      <c r="B14" s="243"/>
      <c r="C14" s="244" t="s">
        <v>5733</v>
      </c>
      <c r="D14" s="242" t="s">
        <v>1071</v>
      </c>
      <c r="E14" s="245">
        <v>2143</v>
      </c>
      <c r="F14" s="246"/>
      <c r="G14" s="245"/>
      <c r="H14" s="246"/>
    </row>
    <row r="15" spans="1:10" x14ac:dyDescent="0.2">
      <c r="A15" s="243"/>
      <c r="B15" s="243"/>
      <c r="C15" s="241" t="s">
        <v>5734</v>
      </c>
      <c r="D15" s="234" t="s">
        <v>5636</v>
      </c>
      <c r="E15" s="245">
        <v>590</v>
      </c>
      <c r="F15" s="246"/>
      <c r="G15" s="245"/>
      <c r="H15" s="246"/>
    </row>
    <row r="16" spans="1:10" x14ac:dyDescent="0.2">
      <c r="A16" s="243"/>
      <c r="B16" s="243"/>
      <c r="C16" s="241" t="s">
        <v>5735</v>
      </c>
      <c r="D16" s="234" t="s">
        <v>1072</v>
      </c>
      <c r="E16" s="245">
        <v>1420</v>
      </c>
      <c r="F16" s="246"/>
      <c r="G16" s="245"/>
      <c r="H16" s="246"/>
    </row>
    <row r="17" spans="1:8" x14ac:dyDescent="0.2">
      <c r="A17" s="243"/>
      <c r="B17" s="243"/>
      <c r="C17" s="241" t="s">
        <v>5736</v>
      </c>
      <c r="D17" s="234" t="s">
        <v>1239</v>
      </c>
      <c r="E17" s="245">
        <v>101</v>
      </c>
      <c r="F17" s="246"/>
      <c r="G17" s="245"/>
      <c r="H17" s="246"/>
    </row>
    <row r="18" spans="1:8" x14ac:dyDescent="0.2">
      <c r="A18" s="243"/>
      <c r="B18" s="243"/>
      <c r="C18" s="241" t="s">
        <v>2318</v>
      </c>
      <c r="D18" s="242"/>
      <c r="E18" s="245">
        <v>4513</v>
      </c>
      <c r="F18" s="246"/>
      <c r="G18" s="245">
        <v>6696</v>
      </c>
      <c r="H18" s="246">
        <v>67.400000000000006</v>
      </c>
    </row>
    <row r="19" spans="1:8" x14ac:dyDescent="0.2">
      <c r="A19" s="237"/>
      <c r="B19" s="237"/>
      <c r="C19" s="76"/>
      <c r="D19" s="238"/>
      <c r="E19" s="239"/>
      <c r="F19" s="240"/>
      <c r="G19" s="239"/>
      <c r="H19" s="240"/>
    </row>
    <row r="20" spans="1:8" x14ac:dyDescent="0.2">
      <c r="A20" s="26" t="s">
        <v>2266</v>
      </c>
      <c r="B20" s="251">
        <v>1</v>
      </c>
      <c r="C20" s="26" t="s">
        <v>5189</v>
      </c>
      <c r="D20" s="234" t="s">
        <v>1071</v>
      </c>
      <c r="E20" s="31">
        <v>2073</v>
      </c>
      <c r="F20" s="216"/>
      <c r="G20" s="31"/>
      <c r="H20" s="217"/>
    </row>
    <row r="21" spans="1:8" x14ac:dyDescent="0.2">
      <c r="A21" s="26"/>
      <c r="B21" s="252"/>
      <c r="C21" s="26" t="s">
        <v>5576</v>
      </c>
      <c r="D21" s="234" t="s">
        <v>1072</v>
      </c>
      <c r="E21" s="31">
        <v>2069</v>
      </c>
      <c r="F21" s="216"/>
      <c r="G21" s="31"/>
      <c r="H21" s="217"/>
    </row>
    <row r="22" spans="1:8" x14ac:dyDescent="0.2">
      <c r="A22" s="26"/>
      <c r="B22" s="252"/>
      <c r="C22" s="26" t="s">
        <v>5577</v>
      </c>
      <c r="D22" s="234" t="s">
        <v>5578</v>
      </c>
      <c r="E22" s="31">
        <v>293</v>
      </c>
      <c r="F22" s="216"/>
      <c r="G22" s="31"/>
      <c r="H22" s="217"/>
    </row>
    <row r="23" spans="1:8" x14ac:dyDescent="0.2">
      <c r="A23" s="26"/>
      <c r="B23" s="252"/>
      <c r="C23" s="26"/>
      <c r="D23" s="234"/>
      <c r="E23" s="218">
        <v>4725</v>
      </c>
      <c r="F23" s="219"/>
      <c r="G23" s="218">
        <v>6581</v>
      </c>
      <c r="H23" s="220">
        <v>71.8</v>
      </c>
    </row>
    <row r="24" spans="1:8" x14ac:dyDescent="0.2">
      <c r="A24" s="26"/>
      <c r="B24" s="252"/>
      <c r="C24" s="26"/>
      <c r="D24" s="234"/>
      <c r="E24" s="88"/>
      <c r="F24" s="84"/>
      <c r="G24" s="88"/>
      <c r="H24" s="235"/>
    </row>
    <row r="25" spans="1:8" x14ac:dyDescent="0.2">
      <c r="A25" s="26"/>
      <c r="B25" s="251">
        <v>2</v>
      </c>
      <c r="C25" s="26" t="s">
        <v>5189</v>
      </c>
      <c r="D25" s="234" t="s">
        <v>1071</v>
      </c>
      <c r="E25" s="31">
        <v>2097</v>
      </c>
      <c r="F25" s="216"/>
      <c r="G25" s="31"/>
      <c r="H25" s="217"/>
    </row>
    <row r="26" spans="1:8" x14ac:dyDescent="0.2">
      <c r="A26" s="26"/>
      <c r="B26" s="252"/>
      <c r="C26" s="214" t="s">
        <v>5576</v>
      </c>
      <c r="D26" s="234" t="s">
        <v>1072</v>
      </c>
      <c r="E26" s="31">
        <v>2145</v>
      </c>
      <c r="F26" s="216"/>
      <c r="G26" s="31"/>
      <c r="H26" s="217"/>
    </row>
    <row r="27" spans="1:8" x14ac:dyDescent="0.2">
      <c r="A27" s="26"/>
      <c r="B27" s="252"/>
      <c r="C27" s="26" t="s">
        <v>2318</v>
      </c>
      <c r="D27" s="234"/>
    </row>
    <row r="28" spans="1:8" x14ac:dyDescent="0.2">
      <c r="A28" s="26"/>
      <c r="B28" s="252"/>
      <c r="C28" s="26" t="s">
        <v>2318</v>
      </c>
      <c r="D28" s="234"/>
      <c r="E28" s="31"/>
      <c r="F28" s="216"/>
      <c r="G28" s="31"/>
      <c r="H28" s="217"/>
    </row>
    <row r="29" spans="1:8" x14ac:dyDescent="0.2">
      <c r="A29" s="26" t="s">
        <v>1008</v>
      </c>
      <c r="B29" s="252"/>
      <c r="C29" s="214" t="s">
        <v>5737</v>
      </c>
      <c r="D29" s="234" t="s">
        <v>5195</v>
      </c>
      <c r="E29" s="31">
        <v>2342</v>
      </c>
      <c r="F29" s="216"/>
      <c r="G29" s="31"/>
      <c r="H29" s="217"/>
    </row>
    <row r="30" spans="1:8" x14ac:dyDescent="0.2">
      <c r="A30" s="26"/>
      <c r="B30" s="252"/>
      <c r="C30" s="26" t="s">
        <v>5738</v>
      </c>
      <c r="D30" s="234" t="s">
        <v>1071</v>
      </c>
      <c r="E30" s="31">
        <v>1926</v>
      </c>
      <c r="F30" s="216"/>
      <c r="G30" s="31"/>
      <c r="H30" s="217"/>
    </row>
    <row r="31" spans="1:8" x14ac:dyDescent="0.2">
      <c r="A31" s="26"/>
      <c r="B31" s="252"/>
      <c r="C31" s="26" t="s">
        <v>2318</v>
      </c>
      <c r="D31" s="234"/>
      <c r="E31" s="218">
        <v>4561</v>
      </c>
      <c r="F31" s="219"/>
      <c r="G31" s="218">
        <v>6452</v>
      </c>
      <c r="H31" s="220">
        <v>70.7</v>
      </c>
    </row>
    <row r="32" spans="1:8" x14ac:dyDescent="0.2">
      <c r="A32" s="26"/>
      <c r="B32" s="252"/>
      <c r="C32" s="26" t="s">
        <v>2318</v>
      </c>
      <c r="D32" s="234"/>
      <c r="E32" s="31"/>
      <c r="F32" s="216"/>
      <c r="G32" s="31"/>
      <c r="H32" s="217"/>
    </row>
    <row r="33" spans="1:8" x14ac:dyDescent="0.2">
      <c r="A33" s="26" t="s">
        <v>1974</v>
      </c>
      <c r="B33" s="252"/>
      <c r="C33" s="214" t="s">
        <v>5582</v>
      </c>
      <c r="D33" s="234" t="s">
        <v>1072</v>
      </c>
      <c r="E33" s="31">
        <v>2250</v>
      </c>
      <c r="F33" s="216"/>
      <c r="G33" s="31"/>
      <c r="H33" s="217"/>
    </row>
    <row r="34" spans="1:8" x14ac:dyDescent="0.2">
      <c r="A34" s="26"/>
      <c r="B34" s="252"/>
      <c r="C34" s="26" t="s">
        <v>5739</v>
      </c>
      <c r="D34" s="234" t="s">
        <v>5488</v>
      </c>
      <c r="E34" s="31">
        <v>788</v>
      </c>
      <c r="F34" s="216"/>
      <c r="G34" s="31"/>
      <c r="H34" s="217"/>
    </row>
    <row r="35" spans="1:8" x14ac:dyDescent="0.2">
      <c r="A35" s="26"/>
      <c r="B35" s="252"/>
      <c r="C35" s="26" t="s">
        <v>5740</v>
      </c>
      <c r="D35" s="234" t="s">
        <v>1071</v>
      </c>
      <c r="E35" s="31">
        <v>1331</v>
      </c>
      <c r="F35" s="216"/>
      <c r="G35" s="31"/>
      <c r="H35" s="217"/>
    </row>
    <row r="36" spans="1:8" x14ac:dyDescent="0.2">
      <c r="A36" s="26"/>
      <c r="B36" s="252"/>
      <c r="C36" s="26" t="s">
        <v>2318</v>
      </c>
      <c r="D36" s="234"/>
      <c r="E36" s="218">
        <v>4753</v>
      </c>
      <c r="F36" s="219"/>
      <c r="G36" s="218">
        <v>6393</v>
      </c>
      <c r="H36" s="220">
        <v>74.3</v>
      </c>
    </row>
    <row r="37" spans="1:8" x14ac:dyDescent="0.2">
      <c r="A37" s="26"/>
      <c r="B37" s="252"/>
      <c r="C37" s="26" t="s">
        <v>2318</v>
      </c>
      <c r="D37" s="234"/>
      <c r="E37" s="31"/>
      <c r="F37" s="216"/>
      <c r="G37" s="31"/>
      <c r="H37" s="217"/>
    </row>
    <row r="38" spans="1:8" x14ac:dyDescent="0.2">
      <c r="A38" s="26" t="s">
        <v>5197</v>
      </c>
      <c r="B38" s="252"/>
      <c r="C38" s="26" t="s">
        <v>5416</v>
      </c>
      <c r="D38" s="234" t="s">
        <v>1071</v>
      </c>
      <c r="E38" s="31">
        <v>2330</v>
      </c>
      <c r="F38" s="216"/>
      <c r="G38" s="31"/>
      <c r="H38" s="217"/>
    </row>
    <row r="39" spans="1:8" x14ac:dyDescent="0.2">
      <c r="A39" s="26"/>
      <c r="B39" s="252"/>
      <c r="C39" s="214" t="s">
        <v>5583</v>
      </c>
      <c r="D39" s="234" t="s">
        <v>4877</v>
      </c>
      <c r="E39" s="31">
        <v>2569</v>
      </c>
      <c r="F39" s="216"/>
      <c r="G39" s="31"/>
      <c r="H39" s="217"/>
    </row>
    <row r="40" spans="1:8" x14ac:dyDescent="0.2">
      <c r="A40" s="26"/>
      <c r="B40" s="252"/>
      <c r="C40" s="26" t="s">
        <v>2318</v>
      </c>
      <c r="D40" s="234"/>
      <c r="E40" s="218">
        <v>5133</v>
      </c>
      <c r="F40" s="219"/>
      <c r="G40" s="218">
        <v>6887</v>
      </c>
      <c r="H40" s="220">
        <v>74.5</v>
      </c>
    </row>
    <row r="41" spans="1:8" x14ac:dyDescent="0.2">
      <c r="A41" s="26"/>
      <c r="B41" s="252"/>
      <c r="C41" s="26" t="s">
        <v>2318</v>
      </c>
      <c r="D41" s="234"/>
      <c r="E41" s="31"/>
      <c r="F41" s="216"/>
      <c r="G41" s="31"/>
      <c r="H41" s="217"/>
    </row>
    <row r="42" spans="1:8" x14ac:dyDescent="0.2">
      <c r="A42" s="26" t="s">
        <v>5584</v>
      </c>
      <c r="B42" s="252">
        <v>1</v>
      </c>
      <c r="C42" s="26" t="s">
        <v>5742</v>
      </c>
      <c r="D42" s="234" t="s">
        <v>1239</v>
      </c>
      <c r="E42" s="31">
        <v>70</v>
      </c>
      <c r="F42" s="216"/>
      <c r="G42" s="31"/>
      <c r="H42" s="217"/>
    </row>
    <row r="43" spans="1:8" x14ac:dyDescent="0.2">
      <c r="B43" s="252"/>
      <c r="C43" s="214" t="s">
        <v>5585</v>
      </c>
      <c r="D43" s="234" t="s">
        <v>1071</v>
      </c>
      <c r="E43" s="31">
        <v>1978</v>
      </c>
      <c r="F43" s="216"/>
      <c r="G43" s="31"/>
      <c r="H43" s="217"/>
    </row>
    <row r="44" spans="1:8" x14ac:dyDescent="0.2">
      <c r="B44" s="252"/>
      <c r="C44" s="26" t="s">
        <v>5741</v>
      </c>
      <c r="D44" s="234" t="s">
        <v>1072</v>
      </c>
      <c r="E44" s="31">
        <v>1525</v>
      </c>
      <c r="F44" s="216"/>
      <c r="G44" s="31"/>
      <c r="H44" s="217"/>
    </row>
    <row r="45" spans="1:8" x14ac:dyDescent="0.2">
      <c r="B45" s="252"/>
      <c r="C45" s="26" t="s">
        <v>5743</v>
      </c>
      <c r="D45" s="234" t="s">
        <v>5573</v>
      </c>
      <c r="E45" s="31">
        <v>998</v>
      </c>
      <c r="F45" s="216"/>
      <c r="G45" s="31"/>
      <c r="H45" s="217"/>
    </row>
    <row r="46" spans="1:8" x14ac:dyDescent="0.2">
      <c r="B46" s="252"/>
      <c r="C46" s="26"/>
      <c r="D46" s="234"/>
      <c r="E46" s="218">
        <v>4832</v>
      </c>
      <c r="F46" s="219"/>
      <c r="G46" s="218">
        <v>6887</v>
      </c>
      <c r="H46" s="220">
        <v>74.2</v>
      </c>
    </row>
    <row r="47" spans="1:8" x14ac:dyDescent="0.2">
      <c r="B47" s="252"/>
      <c r="C47" s="26"/>
      <c r="D47" s="234"/>
      <c r="E47" s="88"/>
      <c r="F47" s="84"/>
      <c r="G47" s="88"/>
      <c r="H47" s="235"/>
    </row>
    <row r="48" spans="1:8" x14ac:dyDescent="0.2">
      <c r="B48" s="252">
        <v>2</v>
      </c>
      <c r="C48" s="214" t="s">
        <v>5585</v>
      </c>
      <c r="D48" s="234" t="s">
        <v>1071</v>
      </c>
      <c r="E48" s="31">
        <v>833</v>
      </c>
      <c r="F48" s="216"/>
      <c r="G48" s="31"/>
      <c r="H48" s="217"/>
    </row>
    <row r="49" spans="1:9" x14ac:dyDescent="0.2">
      <c r="A49" s="26"/>
      <c r="B49" s="252"/>
      <c r="C49" s="26" t="s">
        <v>5741</v>
      </c>
      <c r="D49" s="234" t="s">
        <v>1072</v>
      </c>
      <c r="E49" s="31">
        <v>518</v>
      </c>
      <c r="F49" s="216"/>
      <c r="G49" s="31"/>
      <c r="H49" s="217"/>
    </row>
    <row r="50" spans="1:9" x14ac:dyDescent="0.2">
      <c r="A50" s="26"/>
      <c r="B50" s="252"/>
      <c r="C50" s="26" t="s">
        <v>2318</v>
      </c>
      <c r="D50" s="234"/>
    </row>
    <row r="51" spans="1:9" x14ac:dyDescent="0.2">
      <c r="A51" s="26" t="s">
        <v>1086</v>
      </c>
      <c r="B51" s="252">
        <v>1</v>
      </c>
      <c r="C51" s="26" t="s">
        <v>5744</v>
      </c>
      <c r="D51" s="234" t="s">
        <v>1239</v>
      </c>
      <c r="E51" s="31">
        <v>5034</v>
      </c>
      <c r="F51" s="216"/>
      <c r="G51" s="31"/>
      <c r="H51" s="217"/>
      <c r="I51" s="26"/>
    </row>
    <row r="52" spans="1:9" x14ac:dyDescent="0.2">
      <c r="A52" s="26"/>
      <c r="B52" s="252"/>
      <c r="C52" s="26" t="s">
        <v>5022</v>
      </c>
      <c r="D52" s="234" t="s">
        <v>1071</v>
      </c>
      <c r="E52" s="31">
        <v>5470</v>
      </c>
      <c r="F52" s="216"/>
      <c r="G52" s="31"/>
      <c r="H52" s="217"/>
      <c r="I52" s="26"/>
    </row>
    <row r="53" spans="1:9" x14ac:dyDescent="0.2">
      <c r="A53" s="26"/>
      <c r="B53" s="252"/>
      <c r="C53" s="26" t="s">
        <v>5745</v>
      </c>
      <c r="D53" s="234" t="s">
        <v>1072</v>
      </c>
      <c r="E53" s="31">
        <v>2536</v>
      </c>
      <c r="F53" s="216"/>
      <c r="G53" s="31"/>
      <c r="H53" s="217"/>
      <c r="I53" s="26"/>
    </row>
    <row r="54" spans="1:9" x14ac:dyDescent="0.2">
      <c r="A54" s="26"/>
      <c r="B54" s="252"/>
      <c r="C54" s="26" t="s">
        <v>5746</v>
      </c>
      <c r="D54" s="234" t="s">
        <v>1072</v>
      </c>
      <c r="E54" s="31">
        <v>1065</v>
      </c>
      <c r="F54" s="1"/>
      <c r="G54" s="1"/>
      <c r="H54" s="1"/>
      <c r="I54" s="26"/>
    </row>
    <row r="55" spans="1:9" x14ac:dyDescent="0.2">
      <c r="A55" s="26"/>
      <c r="B55" s="252"/>
      <c r="C55" s="26" t="s">
        <v>5747</v>
      </c>
      <c r="D55" s="234" t="s">
        <v>1239</v>
      </c>
      <c r="E55" s="31">
        <v>927</v>
      </c>
      <c r="F55" s="1"/>
      <c r="G55" s="1"/>
      <c r="H55" s="1"/>
      <c r="I55" s="26"/>
    </row>
    <row r="56" spans="1:9" x14ac:dyDescent="0.2">
      <c r="A56" s="26"/>
      <c r="B56" s="252"/>
      <c r="C56" s="26" t="s">
        <v>5226</v>
      </c>
      <c r="D56" s="234" t="s">
        <v>1071</v>
      </c>
      <c r="E56" s="31">
        <v>4566</v>
      </c>
      <c r="F56" s="1"/>
      <c r="G56" s="1"/>
      <c r="H56" s="1"/>
      <c r="I56" s="26"/>
    </row>
    <row r="57" spans="1:9" x14ac:dyDescent="0.2">
      <c r="A57" s="26"/>
      <c r="B57" s="252"/>
      <c r="C57" s="26" t="s">
        <v>5748</v>
      </c>
      <c r="D57" s="234" t="s">
        <v>1072</v>
      </c>
      <c r="E57" s="31">
        <v>1201</v>
      </c>
      <c r="F57" s="1"/>
      <c r="G57" s="1"/>
      <c r="H57" s="1"/>
      <c r="I57" s="26"/>
    </row>
    <row r="58" spans="1:9" x14ac:dyDescent="0.2">
      <c r="A58" s="26"/>
      <c r="B58" s="252"/>
      <c r="C58" s="26" t="s">
        <v>5749</v>
      </c>
      <c r="D58" s="234" t="s">
        <v>5573</v>
      </c>
      <c r="E58" s="31">
        <v>1277</v>
      </c>
      <c r="F58" s="1"/>
      <c r="G58" s="1"/>
      <c r="H58" s="1"/>
      <c r="I58" s="26"/>
    </row>
    <row r="59" spans="1:9" x14ac:dyDescent="0.2">
      <c r="A59" s="26"/>
      <c r="B59" s="252"/>
      <c r="C59" s="26" t="s">
        <v>5750</v>
      </c>
      <c r="D59" s="234" t="s">
        <v>1239</v>
      </c>
      <c r="E59" s="31">
        <v>577</v>
      </c>
      <c r="F59" s="1"/>
      <c r="G59" s="1"/>
      <c r="H59" s="1"/>
      <c r="I59" s="26"/>
    </row>
    <row r="60" spans="1:9" x14ac:dyDescent="0.2">
      <c r="A60" s="26"/>
      <c r="B60" s="252"/>
      <c r="C60" s="26" t="s">
        <v>5751</v>
      </c>
      <c r="D60" s="234" t="s">
        <v>5573</v>
      </c>
      <c r="E60" s="31">
        <v>462</v>
      </c>
      <c r="F60" s="1"/>
      <c r="G60" s="1"/>
      <c r="H60" s="1"/>
      <c r="I60" s="26"/>
    </row>
    <row r="61" spans="1:9" x14ac:dyDescent="0.2">
      <c r="A61" s="26"/>
      <c r="B61" s="252"/>
      <c r="C61" s="26" t="s">
        <v>5752</v>
      </c>
      <c r="D61" s="234" t="s">
        <v>5573</v>
      </c>
      <c r="E61" s="31">
        <v>245</v>
      </c>
      <c r="F61" s="1"/>
      <c r="G61" s="1"/>
      <c r="H61" s="1"/>
      <c r="I61" s="26"/>
    </row>
    <row r="62" spans="1:9" x14ac:dyDescent="0.2">
      <c r="A62" s="26"/>
      <c r="B62" s="252"/>
      <c r="C62" s="26" t="s">
        <v>5753</v>
      </c>
      <c r="D62" s="234" t="s">
        <v>1072</v>
      </c>
      <c r="E62" s="31">
        <v>1025</v>
      </c>
      <c r="F62" s="1"/>
      <c r="G62" s="1"/>
      <c r="H62" s="1"/>
      <c r="I62" s="26"/>
    </row>
    <row r="63" spans="1:9" x14ac:dyDescent="0.2">
      <c r="A63" s="26"/>
      <c r="B63" s="252"/>
      <c r="C63" s="26" t="s">
        <v>5754</v>
      </c>
      <c r="D63" s="234" t="s">
        <v>1071</v>
      </c>
      <c r="E63" s="31">
        <v>4423</v>
      </c>
      <c r="F63" s="1"/>
      <c r="G63" s="1"/>
      <c r="H63" s="1"/>
      <c r="I63" s="26"/>
    </row>
    <row r="64" spans="1:9" x14ac:dyDescent="0.2">
      <c r="A64" s="26"/>
      <c r="B64" s="252"/>
      <c r="C64" s="26" t="s">
        <v>5756</v>
      </c>
      <c r="D64" s="234" t="s">
        <v>1072</v>
      </c>
      <c r="E64" s="31">
        <v>7501</v>
      </c>
      <c r="F64" s="1"/>
      <c r="G64" s="1"/>
      <c r="H64" s="1"/>
      <c r="I64" s="26"/>
    </row>
    <row r="65" spans="1:9" x14ac:dyDescent="0.2">
      <c r="A65" s="26"/>
      <c r="B65" s="252"/>
      <c r="C65" s="26" t="s">
        <v>5599</v>
      </c>
      <c r="D65" s="234" t="s">
        <v>1072</v>
      </c>
      <c r="E65" s="31">
        <v>4019</v>
      </c>
      <c r="F65" s="1"/>
      <c r="G65" s="1"/>
      <c r="H65" s="1"/>
      <c r="I65" s="26"/>
    </row>
    <row r="66" spans="1:9" x14ac:dyDescent="0.2">
      <c r="A66" s="26"/>
      <c r="B66" s="252"/>
      <c r="C66" s="26" t="s">
        <v>5757</v>
      </c>
      <c r="D66" s="234" t="s">
        <v>5578</v>
      </c>
      <c r="E66" s="31">
        <v>579</v>
      </c>
      <c r="F66" s="1"/>
      <c r="G66" s="1"/>
      <c r="H66" s="1"/>
      <c r="I66" s="26"/>
    </row>
    <row r="67" spans="1:9" x14ac:dyDescent="0.2">
      <c r="A67" s="26"/>
      <c r="B67" s="252"/>
      <c r="C67" s="26" t="s">
        <v>5758</v>
      </c>
      <c r="D67" s="234" t="s">
        <v>5573</v>
      </c>
      <c r="E67" s="31">
        <v>648</v>
      </c>
      <c r="F67" s="1"/>
      <c r="G67" s="1"/>
      <c r="H67" s="1"/>
      <c r="I67" s="26"/>
    </row>
    <row r="68" spans="1:9" x14ac:dyDescent="0.2">
      <c r="A68" s="26"/>
      <c r="B68" s="252"/>
      <c r="C68" s="26" t="s">
        <v>5759</v>
      </c>
      <c r="D68" s="234" t="s">
        <v>1239</v>
      </c>
      <c r="E68" s="31">
        <v>9745</v>
      </c>
      <c r="F68" s="1"/>
      <c r="G68" s="1"/>
      <c r="H68" s="1"/>
      <c r="I68" s="26"/>
    </row>
    <row r="69" spans="1:9" x14ac:dyDescent="0.2">
      <c r="A69" s="26"/>
      <c r="B69" s="252"/>
      <c r="C69" s="26" t="s">
        <v>5760</v>
      </c>
      <c r="D69" s="234" t="s">
        <v>1071</v>
      </c>
      <c r="E69" s="31">
        <v>2290</v>
      </c>
      <c r="F69" s="1"/>
      <c r="G69" s="1"/>
      <c r="H69" s="1"/>
      <c r="I69" s="26"/>
    </row>
    <row r="70" spans="1:9" x14ac:dyDescent="0.2">
      <c r="A70" s="26"/>
      <c r="B70" s="252"/>
      <c r="C70" s="26" t="s">
        <v>5761</v>
      </c>
      <c r="D70" s="234" t="s">
        <v>1071</v>
      </c>
      <c r="E70" s="31">
        <v>1715</v>
      </c>
      <c r="F70" s="1"/>
      <c r="G70" s="1"/>
      <c r="H70" s="1"/>
      <c r="I70" s="26"/>
    </row>
    <row r="71" spans="1:9" x14ac:dyDescent="0.2">
      <c r="A71" s="26"/>
      <c r="B71" s="252"/>
      <c r="C71" s="26" t="s">
        <v>5762</v>
      </c>
      <c r="D71" s="234" t="s">
        <v>1071</v>
      </c>
      <c r="E71" s="31">
        <v>4973</v>
      </c>
      <c r="F71" s="1"/>
      <c r="G71" s="1"/>
      <c r="H71" s="1"/>
      <c r="I71" s="26"/>
    </row>
    <row r="72" spans="1:9" x14ac:dyDescent="0.2">
      <c r="A72" s="26"/>
      <c r="B72" s="252"/>
      <c r="C72" s="26" t="s">
        <v>5763</v>
      </c>
      <c r="D72" s="234" t="s">
        <v>1071</v>
      </c>
      <c r="E72" s="31">
        <v>1745</v>
      </c>
      <c r="F72" s="1"/>
      <c r="G72" s="1"/>
      <c r="H72" s="1"/>
      <c r="I72" s="26"/>
    </row>
    <row r="73" spans="1:9" x14ac:dyDescent="0.2">
      <c r="A73" s="26"/>
      <c r="B73" s="252"/>
      <c r="C73" s="26" t="s">
        <v>5764</v>
      </c>
      <c r="D73" s="234" t="s">
        <v>4877</v>
      </c>
      <c r="E73" s="31">
        <v>471</v>
      </c>
      <c r="F73" s="1"/>
      <c r="G73" s="1"/>
      <c r="H73" s="1"/>
      <c r="I73" s="26"/>
    </row>
    <row r="74" spans="1:9" x14ac:dyDescent="0.2">
      <c r="A74" s="26"/>
      <c r="B74" s="252"/>
      <c r="C74" s="26"/>
      <c r="D74" s="234"/>
      <c r="E74" s="31">
        <v>64660</v>
      </c>
      <c r="F74" s="1"/>
      <c r="G74" s="1">
        <v>106609</v>
      </c>
      <c r="H74" s="1">
        <v>60.6</v>
      </c>
      <c r="I74" s="26"/>
    </row>
    <row r="75" spans="1:9" x14ac:dyDescent="0.2">
      <c r="A75" s="26"/>
      <c r="B75" s="252"/>
      <c r="C75" s="26"/>
      <c r="D75" s="234"/>
      <c r="E75" s="1"/>
      <c r="F75" s="1"/>
      <c r="G75" s="1"/>
      <c r="H75" s="1"/>
      <c r="I75" s="26"/>
    </row>
    <row r="76" spans="1:9" x14ac:dyDescent="0.2">
      <c r="A76" s="26"/>
      <c r="B76" s="252">
        <v>2</v>
      </c>
      <c r="C76" s="214" t="s">
        <v>5759</v>
      </c>
      <c r="D76" s="234" t="s">
        <v>1239</v>
      </c>
      <c r="E76" s="31">
        <v>8940</v>
      </c>
      <c r="F76" s="1"/>
      <c r="G76" s="1"/>
      <c r="H76" s="1"/>
      <c r="I76" s="26"/>
    </row>
    <row r="77" spans="1:9" x14ac:dyDescent="0.2">
      <c r="A77" s="26"/>
      <c r="B77" s="252"/>
      <c r="C77" s="214" t="s">
        <v>5765</v>
      </c>
      <c r="D77" s="234" t="s">
        <v>1072</v>
      </c>
      <c r="E77" s="31">
        <v>8932</v>
      </c>
      <c r="F77" s="1"/>
      <c r="G77" s="1"/>
      <c r="H77" s="1"/>
      <c r="I77" s="26"/>
    </row>
    <row r="78" spans="1:9" x14ac:dyDescent="0.2">
      <c r="A78" s="26"/>
      <c r="B78" s="252"/>
      <c r="C78" s="214" t="s">
        <v>5022</v>
      </c>
      <c r="D78" s="234" t="s">
        <v>1071</v>
      </c>
      <c r="E78" s="31">
        <v>8931</v>
      </c>
      <c r="F78" s="1"/>
      <c r="G78" s="1"/>
      <c r="H78" s="1"/>
      <c r="I78" s="26"/>
    </row>
    <row r="79" spans="1:9" x14ac:dyDescent="0.2">
      <c r="A79" s="26"/>
      <c r="B79" s="252"/>
      <c r="C79" s="214" t="s">
        <v>5762</v>
      </c>
      <c r="D79" s="234" t="s">
        <v>1071</v>
      </c>
      <c r="E79" s="31">
        <v>8930</v>
      </c>
      <c r="F79" s="1"/>
      <c r="G79" s="1"/>
      <c r="H79" s="1"/>
      <c r="I79" s="26"/>
    </row>
    <row r="80" spans="1:9" x14ac:dyDescent="0.2">
      <c r="A80" s="26"/>
      <c r="B80" s="252"/>
      <c r="C80" s="214" t="s">
        <v>5599</v>
      </c>
      <c r="D80" s="234" t="s">
        <v>1072</v>
      </c>
      <c r="E80" s="31">
        <v>8338</v>
      </c>
      <c r="F80" s="1"/>
      <c r="G80" s="1"/>
      <c r="H80" s="1"/>
      <c r="I80" s="26"/>
    </row>
    <row r="81" spans="1:10" x14ac:dyDescent="0.2">
      <c r="A81" s="26"/>
      <c r="B81" s="252"/>
      <c r="C81" s="214" t="s">
        <v>5226</v>
      </c>
      <c r="D81" s="234" t="s">
        <v>1071</v>
      </c>
      <c r="E81" s="31">
        <v>7698</v>
      </c>
      <c r="F81" s="1"/>
      <c r="G81" s="1"/>
      <c r="H81" s="1"/>
      <c r="I81" s="26"/>
    </row>
    <row r="82" spans="1:10" x14ac:dyDescent="0.2">
      <c r="A82" s="26"/>
      <c r="B82" s="252"/>
      <c r="C82" s="26" t="s">
        <v>2318</v>
      </c>
      <c r="D82" s="234"/>
      <c r="E82" s="31"/>
      <c r="F82" s="216"/>
      <c r="G82" s="31"/>
      <c r="H82" s="217"/>
    </row>
    <row r="83" spans="1:10" x14ac:dyDescent="0.2">
      <c r="A83" s="26" t="s">
        <v>1125</v>
      </c>
      <c r="B83" s="252">
        <v>1</v>
      </c>
      <c r="C83" s="26" t="s">
        <v>5766</v>
      </c>
      <c r="D83" s="234" t="s">
        <v>1239</v>
      </c>
      <c r="E83" s="31">
        <v>217</v>
      </c>
      <c r="F83" s="216"/>
      <c r="G83" s="31"/>
      <c r="H83" s="217"/>
    </row>
    <row r="84" spans="1:10" x14ac:dyDescent="0.2">
      <c r="A84" s="26"/>
      <c r="B84" s="252"/>
      <c r="C84" s="26" t="s">
        <v>5611</v>
      </c>
      <c r="D84" s="234" t="s">
        <v>5573</v>
      </c>
      <c r="E84" s="31">
        <v>734</v>
      </c>
      <c r="F84" s="216"/>
      <c r="G84" s="31"/>
      <c r="H84" s="217"/>
    </row>
    <row r="85" spans="1:10" x14ac:dyDescent="0.2">
      <c r="A85" s="26"/>
      <c r="B85" s="252"/>
      <c r="C85" s="26" t="s">
        <v>5235</v>
      </c>
      <c r="D85" s="234" t="s">
        <v>1071</v>
      </c>
      <c r="E85" s="31">
        <v>2899</v>
      </c>
      <c r="F85" s="216"/>
      <c r="G85" s="31"/>
      <c r="H85" s="217"/>
    </row>
    <row r="86" spans="1:10" x14ac:dyDescent="0.2">
      <c r="A86" s="26"/>
      <c r="B86" s="252"/>
      <c r="C86" s="26" t="s">
        <v>5767</v>
      </c>
      <c r="D86" s="234" t="s">
        <v>1072</v>
      </c>
      <c r="E86" s="31">
        <v>2214</v>
      </c>
      <c r="F86" s="216"/>
      <c r="G86" s="31"/>
      <c r="H86" s="217"/>
      <c r="J86" s="221"/>
    </row>
    <row r="87" spans="1:10" x14ac:dyDescent="0.2">
      <c r="A87" s="26"/>
      <c r="B87" s="252"/>
      <c r="C87" s="26" t="s">
        <v>2318</v>
      </c>
      <c r="D87" s="234"/>
      <c r="E87" s="218">
        <v>6349</v>
      </c>
      <c r="F87" s="219"/>
      <c r="G87" s="218">
        <v>8786</v>
      </c>
      <c r="H87" s="220">
        <v>72.2</v>
      </c>
    </row>
    <row r="88" spans="1:10" x14ac:dyDescent="0.2">
      <c r="A88" s="26"/>
      <c r="B88" s="252"/>
      <c r="C88" s="26"/>
      <c r="D88" s="234"/>
      <c r="E88" s="88"/>
      <c r="F88" s="84"/>
      <c r="G88" s="88"/>
      <c r="H88" s="235"/>
    </row>
    <row r="89" spans="1:10" x14ac:dyDescent="0.2">
      <c r="A89" s="26"/>
      <c r="B89" s="252">
        <v>2</v>
      </c>
      <c r="C89" s="26" t="s">
        <v>5235</v>
      </c>
      <c r="D89" s="234" t="s">
        <v>1071</v>
      </c>
      <c r="E89" s="88">
        <v>3081</v>
      </c>
      <c r="F89" s="84"/>
      <c r="G89" s="88"/>
      <c r="H89" s="235"/>
    </row>
    <row r="90" spans="1:10" x14ac:dyDescent="0.2">
      <c r="A90" s="26"/>
      <c r="B90" s="252"/>
      <c r="C90" s="26" t="s">
        <v>5767</v>
      </c>
      <c r="D90" s="234" t="s">
        <v>1072</v>
      </c>
      <c r="E90" s="88">
        <v>2758</v>
      </c>
      <c r="F90" s="84"/>
      <c r="G90" s="88"/>
      <c r="H90" s="235"/>
    </row>
    <row r="91" spans="1:10" x14ac:dyDescent="0.2">
      <c r="A91" s="26"/>
      <c r="B91" s="252"/>
      <c r="C91" s="26"/>
      <c r="D91" s="234"/>
      <c r="E91" s="88"/>
      <c r="F91" s="84"/>
      <c r="G91" s="88"/>
      <c r="H91" s="235"/>
    </row>
    <row r="92" spans="1:10" x14ac:dyDescent="0.2">
      <c r="A92" s="26" t="s">
        <v>1427</v>
      </c>
      <c r="B92" s="252"/>
      <c r="C92" s="214" t="s">
        <v>5768</v>
      </c>
      <c r="D92" s="234" t="s">
        <v>1071</v>
      </c>
      <c r="E92" s="31">
        <v>1813</v>
      </c>
      <c r="F92" s="216"/>
      <c r="G92" s="31"/>
      <c r="H92" s="217"/>
    </row>
    <row r="93" spans="1:10" x14ac:dyDescent="0.2">
      <c r="A93" s="26"/>
      <c r="B93" s="252"/>
      <c r="C93" s="26" t="s">
        <v>5448</v>
      </c>
      <c r="D93" s="234" t="s">
        <v>1072</v>
      </c>
      <c r="E93" s="31">
        <v>985</v>
      </c>
      <c r="F93" s="216"/>
      <c r="G93" s="31"/>
      <c r="H93" s="217"/>
    </row>
    <row r="94" spans="1:10" x14ac:dyDescent="0.2">
      <c r="A94" s="26"/>
      <c r="B94" s="252"/>
      <c r="C94" s="26" t="s">
        <v>2318</v>
      </c>
      <c r="D94" s="234"/>
      <c r="E94" s="218">
        <v>2879</v>
      </c>
      <c r="F94" s="219"/>
      <c r="G94" s="218">
        <v>4661</v>
      </c>
      <c r="H94" s="220">
        <v>61.8</v>
      </c>
    </row>
    <row r="95" spans="1:10" x14ac:dyDescent="0.2">
      <c r="A95" s="26"/>
      <c r="B95" s="252"/>
      <c r="C95" s="26" t="s">
        <v>2318</v>
      </c>
      <c r="D95" s="234"/>
      <c r="E95" s="31"/>
      <c r="F95" s="216"/>
      <c r="G95" s="31"/>
      <c r="H95" s="217"/>
    </row>
    <row r="96" spans="1:10" x14ac:dyDescent="0.2">
      <c r="A96" s="26" t="s">
        <v>1430</v>
      </c>
      <c r="B96" s="252">
        <v>1</v>
      </c>
      <c r="C96" s="26" t="s">
        <v>5613</v>
      </c>
      <c r="D96" s="234" t="s">
        <v>1239</v>
      </c>
      <c r="E96" s="31">
        <v>3393</v>
      </c>
      <c r="F96" s="216"/>
      <c r="G96" s="31"/>
      <c r="H96" s="217"/>
    </row>
    <row r="97" spans="1:8" x14ac:dyDescent="0.2">
      <c r="A97" s="26"/>
      <c r="B97" s="252"/>
      <c r="C97" s="26" t="s">
        <v>5450</v>
      </c>
      <c r="D97" s="234" t="s">
        <v>1071</v>
      </c>
      <c r="E97" s="31">
        <v>1225</v>
      </c>
      <c r="F97" s="216"/>
      <c r="G97" s="31"/>
      <c r="H97" s="217"/>
    </row>
    <row r="98" spans="1:8" x14ac:dyDescent="0.2">
      <c r="A98" s="26"/>
      <c r="B98" s="252"/>
      <c r="C98" s="26" t="s">
        <v>5769</v>
      </c>
      <c r="D98" s="234" t="s">
        <v>1072</v>
      </c>
      <c r="E98" s="31">
        <v>935</v>
      </c>
      <c r="F98" s="216"/>
      <c r="G98" s="31"/>
      <c r="H98" s="217"/>
    </row>
    <row r="99" spans="1:8" x14ac:dyDescent="0.2">
      <c r="A99" s="26"/>
      <c r="B99" s="252"/>
      <c r="C99" s="26" t="s">
        <v>5770</v>
      </c>
      <c r="D99" s="234" t="s">
        <v>5573</v>
      </c>
      <c r="E99" s="31">
        <v>310</v>
      </c>
      <c r="F99" s="216"/>
      <c r="G99" s="31"/>
      <c r="H99" s="217"/>
    </row>
    <row r="100" spans="1:8" x14ac:dyDescent="0.2">
      <c r="A100" s="26"/>
      <c r="B100" s="252"/>
      <c r="C100" s="26" t="s">
        <v>2318</v>
      </c>
      <c r="D100" s="234"/>
      <c r="E100" s="218">
        <f>SUM(E96:E99)</f>
        <v>5863</v>
      </c>
      <c r="F100" s="219"/>
      <c r="G100" s="218">
        <v>8610</v>
      </c>
      <c r="H100" s="220">
        <v>68.2</v>
      </c>
    </row>
    <row r="101" spans="1:8" x14ac:dyDescent="0.2">
      <c r="A101" s="26"/>
      <c r="B101" s="252"/>
      <c r="C101" s="26"/>
      <c r="D101" s="234"/>
      <c r="E101" s="88"/>
      <c r="F101" s="84"/>
      <c r="G101" s="88"/>
      <c r="H101" s="235"/>
    </row>
    <row r="102" spans="1:8" x14ac:dyDescent="0.2">
      <c r="A102" s="26"/>
      <c r="B102" s="252">
        <v>2</v>
      </c>
      <c r="C102" s="214" t="s">
        <v>5450</v>
      </c>
      <c r="D102" s="234" t="s">
        <v>1071</v>
      </c>
      <c r="E102" s="88">
        <v>2505</v>
      </c>
      <c r="F102" s="84"/>
      <c r="G102" s="88"/>
      <c r="H102" s="235"/>
    </row>
    <row r="103" spans="1:8" x14ac:dyDescent="0.2">
      <c r="A103" s="26"/>
      <c r="B103" s="252"/>
      <c r="C103" s="26" t="s">
        <v>5769</v>
      </c>
      <c r="D103" s="234" t="s">
        <v>1072</v>
      </c>
      <c r="E103" s="88">
        <v>2158</v>
      </c>
      <c r="F103" s="84"/>
      <c r="G103" s="88"/>
      <c r="H103" s="235"/>
    </row>
    <row r="104" spans="1:8" x14ac:dyDescent="0.2">
      <c r="A104" s="26"/>
      <c r="B104" s="252"/>
      <c r="C104" s="26" t="s">
        <v>2318</v>
      </c>
      <c r="D104" s="234"/>
      <c r="E104" s="31"/>
      <c r="F104" s="216"/>
      <c r="G104" s="31"/>
      <c r="H104" s="217"/>
    </row>
    <row r="105" spans="1:8" x14ac:dyDescent="0.2">
      <c r="A105" s="26" t="s">
        <v>2268</v>
      </c>
      <c r="B105" s="252"/>
      <c r="C105" s="26" t="s">
        <v>5771</v>
      </c>
      <c r="D105" s="234" t="s">
        <v>1072</v>
      </c>
      <c r="E105" s="31">
        <v>1205</v>
      </c>
      <c r="F105" s="216"/>
      <c r="G105" s="31"/>
      <c r="H105" s="217"/>
    </row>
    <row r="106" spans="1:8" x14ac:dyDescent="0.2">
      <c r="A106" s="26"/>
      <c r="B106" s="252"/>
      <c r="C106" s="214" t="s">
        <v>5054</v>
      </c>
      <c r="D106" s="234" t="s">
        <v>1071</v>
      </c>
      <c r="E106" s="31">
        <v>2668</v>
      </c>
      <c r="F106" s="216"/>
      <c r="G106" s="31"/>
      <c r="H106" s="217"/>
    </row>
    <row r="107" spans="1:8" x14ac:dyDescent="0.2">
      <c r="A107" s="26"/>
      <c r="B107" s="252"/>
      <c r="C107" s="26" t="s">
        <v>2318</v>
      </c>
      <c r="D107" s="234"/>
      <c r="E107" s="218">
        <v>4040</v>
      </c>
      <c r="F107" s="219"/>
      <c r="G107" s="218">
        <v>5632</v>
      </c>
      <c r="H107" s="220">
        <v>71.7</v>
      </c>
    </row>
    <row r="108" spans="1:8" x14ac:dyDescent="0.2">
      <c r="A108" s="26"/>
      <c r="B108" s="252"/>
      <c r="C108" s="26" t="s">
        <v>2318</v>
      </c>
      <c r="D108" s="234"/>
      <c r="E108" s="31"/>
      <c r="F108" s="216"/>
      <c r="G108" s="31"/>
      <c r="H108" s="217"/>
    </row>
    <row r="109" spans="1:8" x14ac:dyDescent="0.2">
      <c r="A109" s="26" t="s">
        <v>369</v>
      </c>
      <c r="B109" s="252"/>
      <c r="C109" s="26" t="s">
        <v>5775</v>
      </c>
      <c r="D109" s="234" t="s">
        <v>5195</v>
      </c>
      <c r="E109" s="31">
        <v>2239</v>
      </c>
      <c r="F109" s="216"/>
      <c r="G109" s="31"/>
      <c r="H109" s="217"/>
    </row>
    <row r="110" spans="1:8" x14ac:dyDescent="0.2">
      <c r="A110" s="26"/>
      <c r="B110" s="252"/>
      <c r="C110" s="214" t="s">
        <v>5776</v>
      </c>
      <c r="D110" s="234" t="s">
        <v>1071</v>
      </c>
      <c r="E110" s="31">
        <v>260</v>
      </c>
      <c r="F110" s="216"/>
      <c r="G110" s="31"/>
      <c r="H110" s="217"/>
    </row>
    <row r="111" spans="1:8" x14ac:dyDescent="0.2">
      <c r="A111" s="26"/>
      <c r="B111" s="252"/>
      <c r="C111" s="26" t="s">
        <v>2318</v>
      </c>
      <c r="D111" s="234"/>
      <c r="E111" s="218">
        <v>5079</v>
      </c>
      <c r="F111" s="219"/>
      <c r="G111" s="218">
        <v>7024</v>
      </c>
      <c r="H111" s="220">
        <v>72.3</v>
      </c>
    </row>
    <row r="112" spans="1:8" x14ac:dyDescent="0.2">
      <c r="A112" s="26"/>
      <c r="B112" s="252"/>
      <c r="C112" s="26" t="s">
        <v>2318</v>
      </c>
      <c r="D112" s="234"/>
      <c r="E112" s="31"/>
      <c r="F112" s="216"/>
      <c r="G112" s="31"/>
      <c r="H112" s="217"/>
    </row>
    <row r="113" spans="1:8" x14ac:dyDescent="0.2">
      <c r="A113" s="26" t="s">
        <v>1977</v>
      </c>
      <c r="B113" s="252"/>
      <c r="C113" s="26" t="s">
        <v>5772</v>
      </c>
      <c r="D113" s="234" t="s">
        <v>1072</v>
      </c>
      <c r="E113" s="31">
        <v>3042</v>
      </c>
      <c r="F113" s="216"/>
      <c r="G113" s="31"/>
      <c r="H113" s="217"/>
    </row>
    <row r="114" spans="1:8" x14ac:dyDescent="0.2">
      <c r="A114" s="26"/>
      <c r="B114" s="252"/>
      <c r="C114" s="26" t="s">
        <v>5773</v>
      </c>
      <c r="D114" s="234" t="s">
        <v>5578</v>
      </c>
      <c r="E114" s="31">
        <v>849</v>
      </c>
      <c r="F114" s="216"/>
      <c r="G114" s="31"/>
      <c r="H114" s="217"/>
    </row>
    <row r="115" spans="1:8" x14ac:dyDescent="0.2">
      <c r="A115" s="26"/>
      <c r="B115" s="252"/>
      <c r="C115" s="214" t="s">
        <v>5774</v>
      </c>
      <c r="D115" s="234" t="s">
        <v>1071</v>
      </c>
      <c r="E115" s="31">
        <v>325</v>
      </c>
      <c r="F115" s="216"/>
      <c r="G115" s="31"/>
      <c r="H115" s="217"/>
    </row>
    <row r="116" spans="1:8" x14ac:dyDescent="0.2">
      <c r="A116" s="26"/>
      <c r="B116" s="252"/>
      <c r="C116" s="26" t="s">
        <v>2318</v>
      </c>
      <c r="D116" s="234"/>
      <c r="E116" s="218">
        <v>4437</v>
      </c>
      <c r="F116" s="219"/>
      <c r="G116" s="218">
        <v>6583</v>
      </c>
      <c r="H116" s="220">
        <v>67.400000000000006</v>
      </c>
    </row>
    <row r="117" spans="1:8" x14ac:dyDescent="0.2">
      <c r="A117" s="26"/>
      <c r="B117" s="252"/>
      <c r="C117" s="26" t="s">
        <v>2318</v>
      </c>
      <c r="D117" s="234"/>
      <c r="E117" s="31"/>
      <c r="F117" s="216"/>
      <c r="G117" s="31"/>
      <c r="H117" s="217"/>
    </row>
    <row r="118" spans="1:8" x14ac:dyDescent="0.2">
      <c r="A118" s="26" t="s">
        <v>1919</v>
      </c>
      <c r="B118" s="252">
        <v>1</v>
      </c>
      <c r="C118" s="26" t="s">
        <v>1762</v>
      </c>
      <c r="D118" s="234" t="s">
        <v>1239</v>
      </c>
      <c r="E118" s="31">
        <v>692</v>
      </c>
      <c r="F118" s="216"/>
      <c r="G118" s="31"/>
      <c r="H118" s="217"/>
    </row>
    <row r="119" spans="1:8" x14ac:dyDescent="0.2">
      <c r="A119" s="26"/>
      <c r="B119" s="252"/>
      <c r="C119" s="26" t="s">
        <v>5626</v>
      </c>
      <c r="D119" s="234" t="s">
        <v>5573</v>
      </c>
      <c r="E119" s="31">
        <v>940</v>
      </c>
      <c r="F119" s="216"/>
      <c r="G119" s="31"/>
      <c r="H119" s="217"/>
    </row>
    <row r="120" spans="1:8" x14ac:dyDescent="0.2">
      <c r="A120" s="26"/>
      <c r="B120" s="252"/>
      <c r="C120" s="26" t="s">
        <v>5777</v>
      </c>
      <c r="D120" s="234" t="s">
        <v>1072</v>
      </c>
      <c r="E120" s="31">
        <v>2971</v>
      </c>
      <c r="F120" s="216"/>
      <c r="G120" s="31"/>
      <c r="H120" s="217"/>
    </row>
    <row r="121" spans="1:8" x14ac:dyDescent="0.2">
      <c r="A121" s="26"/>
      <c r="B121" s="252"/>
      <c r="C121" s="26" t="s">
        <v>5778</v>
      </c>
      <c r="D121" s="234" t="s">
        <v>1239</v>
      </c>
      <c r="E121" s="31">
        <v>221</v>
      </c>
      <c r="F121" s="216"/>
      <c r="G121" s="31"/>
      <c r="H121" s="217"/>
    </row>
    <row r="122" spans="1:8" x14ac:dyDescent="0.2">
      <c r="A122" s="26"/>
      <c r="B122" s="252"/>
      <c r="C122" s="26" t="s">
        <v>5779</v>
      </c>
      <c r="D122" s="234" t="s">
        <v>5573</v>
      </c>
      <c r="E122" s="218">
        <v>383</v>
      </c>
      <c r="F122" s="219"/>
      <c r="G122" s="218"/>
      <c r="H122" s="220"/>
    </row>
    <row r="123" spans="1:8" x14ac:dyDescent="0.2">
      <c r="A123" s="26"/>
      <c r="B123" s="252"/>
      <c r="C123" s="26" t="s">
        <v>5780</v>
      </c>
      <c r="D123" s="234" t="s">
        <v>1072</v>
      </c>
      <c r="E123" s="31">
        <v>2877</v>
      </c>
      <c r="F123" s="216"/>
      <c r="G123" s="31"/>
      <c r="H123" s="217"/>
    </row>
    <row r="124" spans="1:8" x14ac:dyDescent="0.2">
      <c r="A124" s="26"/>
      <c r="B124" s="252"/>
      <c r="C124" s="26" t="s">
        <v>5267</v>
      </c>
      <c r="D124" s="234" t="s">
        <v>5573</v>
      </c>
      <c r="E124" s="31">
        <v>328</v>
      </c>
      <c r="F124" s="216"/>
      <c r="G124" s="31"/>
      <c r="H124" s="217"/>
    </row>
    <row r="125" spans="1:8" x14ac:dyDescent="0.2">
      <c r="A125" s="26"/>
      <c r="B125" s="252"/>
      <c r="C125" s="26" t="s">
        <v>5271</v>
      </c>
      <c r="D125" s="234" t="s">
        <v>1071</v>
      </c>
      <c r="E125" s="31">
        <v>1320</v>
      </c>
      <c r="F125" s="216"/>
      <c r="G125" s="31"/>
      <c r="H125" s="217"/>
    </row>
    <row r="126" spans="1:8" x14ac:dyDescent="0.2">
      <c r="A126" s="26"/>
      <c r="B126" s="252"/>
      <c r="C126" s="26" t="s">
        <v>5781</v>
      </c>
      <c r="D126" s="234" t="s">
        <v>1072</v>
      </c>
      <c r="E126" s="31">
        <v>552</v>
      </c>
      <c r="F126" s="216"/>
      <c r="G126" s="31"/>
      <c r="H126" s="217"/>
    </row>
    <row r="127" spans="1:8" x14ac:dyDescent="0.2">
      <c r="A127" s="26"/>
      <c r="B127" s="252"/>
      <c r="C127" s="26" t="s">
        <v>5782</v>
      </c>
      <c r="D127" s="234" t="s">
        <v>5578</v>
      </c>
      <c r="E127" s="218">
        <v>947</v>
      </c>
      <c r="F127" s="219"/>
      <c r="G127" s="218"/>
      <c r="H127" s="220"/>
    </row>
    <row r="128" spans="1:8" x14ac:dyDescent="0.2">
      <c r="A128" s="26"/>
      <c r="B128" s="252"/>
      <c r="C128" s="26" t="s">
        <v>5783</v>
      </c>
      <c r="D128" s="234" t="s">
        <v>1071</v>
      </c>
      <c r="E128" s="31">
        <v>555</v>
      </c>
      <c r="F128" s="216"/>
      <c r="G128" s="31"/>
      <c r="H128" s="217"/>
    </row>
    <row r="129" spans="1:8" x14ac:dyDescent="0.2">
      <c r="A129" s="26"/>
      <c r="B129" s="252"/>
      <c r="C129" s="26" t="s">
        <v>5784</v>
      </c>
      <c r="D129" s="234" t="s">
        <v>1071</v>
      </c>
      <c r="E129" s="31">
        <v>602</v>
      </c>
      <c r="F129" s="216"/>
      <c r="G129" s="31"/>
      <c r="H129" s="217"/>
    </row>
    <row r="130" spans="1:8" x14ac:dyDescent="0.2">
      <c r="A130" s="26"/>
      <c r="B130" s="252"/>
      <c r="C130" s="26" t="s">
        <v>5785</v>
      </c>
      <c r="D130" s="234" t="s">
        <v>1071</v>
      </c>
      <c r="E130" s="31">
        <v>785</v>
      </c>
      <c r="F130" s="216"/>
      <c r="G130" s="31"/>
      <c r="H130" s="217"/>
    </row>
    <row r="131" spans="1:8" x14ac:dyDescent="0.2">
      <c r="A131" s="26"/>
      <c r="B131" s="252"/>
      <c r="C131" s="26" t="s">
        <v>5786</v>
      </c>
      <c r="D131" s="234" t="s">
        <v>1071</v>
      </c>
      <c r="E131" s="31">
        <v>1896</v>
      </c>
      <c r="F131" s="216"/>
      <c r="G131" s="31"/>
      <c r="H131" s="217"/>
    </row>
    <row r="132" spans="1:8" x14ac:dyDescent="0.2">
      <c r="A132" s="26"/>
      <c r="B132" s="252"/>
      <c r="C132" s="26" t="s">
        <v>1758</v>
      </c>
      <c r="D132" s="234" t="s">
        <v>5573</v>
      </c>
      <c r="E132" s="31">
        <v>458</v>
      </c>
      <c r="F132" s="216"/>
      <c r="G132" s="31"/>
      <c r="H132" s="217"/>
    </row>
    <row r="133" spans="1:8" x14ac:dyDescent="0.2">
      <c r="A133" s="26"/>
      <c r="B133" s="252"/>
      <c r="C133" s="26" t="s">
        <v>5787</v>
      </c>
      <c r="D133" s="234" t="s">
        <v>1239</v>
      </c>
      <c r="E133" s="31">
        <v>548</v>
      </c>
      <c r="F133" s="216"/>
      <c r="G133" s="31"/>
      <c r="H133" s="217"/>
    </row>
    <row r="134" spans="1:8" x14ac:dyDescent="0.2">
      <c r="A134" s="26"/>
      <c r="B134" s="252"/>
      <c r="C134" s="26" t="s">
        <v>5788</v>
      </c>
      <c r="D134" s="234" t="s">
        <v>1239</v>
      </c>
      <c r="E134" s="218">
        <v>1064</v>
      </c>
      <c r="F134" s="219"/>
      <c r="G134" s="218"/>
      <c r="H134" s="220"/>
    </row>
    <row r="135" spans="1:8" x14ac:dyDescent="0.2">
      <c r="A135" s="26"/>
      <c r="B135" s="252"/>
      <c r="C135" s="26" t="s">
        <v>5789</v>
      </c>
      <c r="D135" s="234" t="s">
        <v>1071</v>
      </c>
      <c r="E135" s="31">
        <v>23216</v>
      </c>
      <c r="F135" s="216"/>
      <c r="G135" s="31"/>
      <c r="H135" s="217"/>
    </row>
    <row r="136" spans="1:8" x14ac:dyDescent="0.2">
      <c r="A136" s="26"/>
      <c r="B136" s="252"/>
      <c r="C136" s="26" t="s">
        <v>5790</v>
      </c>
      <c r="D136" s="234" t="s">
        <v>1072</v>
      </c>
      <c r="E136" s="31">
        <v>2787</v>
      </c>
      <c r="F136" s="216"/>
      <c r="G136" s="31"/>
      <c r="H136" s="217"/>
    </row>
    <row r="137" spans="1:8" x14ac:dyDescent="0.2">
      <c r="A137" s="26"/>
      <c r="B137" s="252"/>
      <c r="C137" s="26" t="s">
        <v>5791</v>
      </c>
      <c r="D137" s="234" t="s">
        <v>1239</v>
      </c>
      <c r="E137" s="31">
        <v>405</v>
      </c>
      <c r="F137" s="216"/>
      <c r="G137" s="31"/>
      <c r="H137" s="217"/>
    </row>
    <row r="138" spans="1:8" x14ac:dyDescent="0.2">
      <c r="A138" s="26"/>
      <c r="B138" s="252"/>
      <c r="C138" s="26" t="s">
        <v>5657</v>
      </c>
      <c r="D138" s="234" t="s">
        <v>1239</v>
      </c>
      <c r="E138" s="31">
        <v>4086</v>
      </c>
      <c r="F138" s="216"/>
      <c r="G138" s="31"/>
      <c r="H138" s="217"/>
    </row>
    <row r="139" spans="1:8" x14ac:dyDescent="0.2">
      <c r="A139" s="26"/>
      <c r="B139" s="252"/>
      <c r="C139" s="26" t="s">
        <v>5792</v>
      </c>
      <c r="D139" s="234" t="s">
        <v>1072</v>
      </c>
      <c r="E139" s="31">
        <v>1640</v>
      </c>
      <c r="F139" s="216"/>
      <c r="G139" s="31"/>
      <c r="H139" s="217"/>
    </row>
    <row r="140" spans="1:8" x14ac:dyDescent="0.2">
      <c r="A140" s="26"/>
      <c r="B140" s="252"/>
      <c r="C140" s="26" t="s">
        <v>5793</v>
      </c>
      <c r="D140" s="234" t="s">
        <v>653</v>
      </c>
      <c r="E140" s="31">
        <v>127</v>
      </c>
      <c r="F140" s="216"/>
      <c r="G140" s="31"/>
      <c r="H140" s="217"/>
    </row>
    <row r="141" spans="1:8" x14ac:dyDescent="0.2">
      <c r="A141" s="26"/>
      <c r="B141" s="252"/>
      <c r="C141" s="26" t="s">
        <v>5794</v>
      </c>
      <c r="D141" s="234" t="s">
        <v>1072</v>
      </c>
      <c r="E141" s="218">
        <v>18755</v>
      </c>
      <c r="F141" s="219"/>
      <c r="G141" s="218"/>
      <c r="H141" s="220"/>
    </row>
    <row r="142" spans="1:8" x14ac:dyDescent="0.2">
      <c r="A142" s="26"/>
      <c r="B142" s="252"/>
      <c r="C142" s="26" t="s">
        <v>5795</v>
      </c>
      <c r="D142" s="234" t="s">
        <v>5573</v>
      </c>
      <c r="E142" s="88">
        <v>4444</v>
      </c>
      <c r="F142" s="84"/>
      <c r="G142" s="88"/>
      <c r="H142" s="235"/>
    </row>
    <row r="143" spans="1:8" x14ac:dyDescent="0.2">
      <c r="A143" s="26"/>
      <c r="B143" s="252"/>
      <c r="C143" s="26" t="s">
        <v>5796</v>
      </c>
      <c r="D143" s="234" t="s">
        <v>1071</v>
      </c>
      <c r="E143" s="31">
        <v>1575</v>
      </c>
      <c r="F143" s="216"/>
      <c r="G143" s="31"/>
      <c r="H143" s="217"/>
    </row>
    <row r="144" spans="1:8" x14ac:dyDescent="0.2">
      <c r="A144" s="26"/>
      <c r="B144" s="252"/>
      <c r="C144" s="26" t="s">
        <v>5797</v>
      </c>
      <c r="D144" s="234" t="s">
        <v>5573</v>
      </c>
      <c r="E144" s="31">
        <v>177</v>
      </c>
      <c r="F144" s="216"/>
      <c r="G144" s="31"/>
      <c r="H144" s="217"/>
    </row>
    <row r="145" spans="1:8" x14ac:dyDescent="0.2">
      <c r="A145" s="26"/>
      <c r="B145" s="252"/>
      <c r="C145" s="26" t="s">
        <v>5798</v>
      </c>
      <c r="D145" s="234" t="s">
        <v>1239</v>
      </c>
      <c r="E145" s="31">
        <v>299</v>
      </c>
      <c r="F145" s="216"/>
      <c r="G145" s="31"/>
      <c r="H145" s="217"/>
    </row>
    <row r="146" spans="1:8" x14ac:dyDescent="0.2">
      <c r="A146" s="26"/>
      <c r="B146" s="252"/>
      <c r="C146" s="26" t="s">
        <v>5799</v>
      </c>
      <c r="D146" s="234" t="s">
        <v>1072</v>
      </c>
      <c r="E146" s="31">
        <v>1604</v>
      </c>
      <c r="F146" s="216"/>
      <c r="G146" s="31"/>
      <c r="H146" s="217"/>
    </row>
    <row r="147" spans="1:8" x14ac:dyDescent="0.2">
      <c r="A147" s="26"/>
      <c r="B147" s="252"/>
      <c r="C147" s="26" t="s">
        <v>5800</v>
      </c>
      <c r="D147" s="234" t="s">
        <v>5573</v>
      </c>
      <c r="E147" s="31">
        <v>290</v>
      </c>
      <c r="F147" s="216"/>
      <c r="G147" s="31"/>
      <c r="H147" s="217"/>
    </row>
    <row r="148" spans="1:8" x14ac:dyDescent="0.2">
      <c r="A148" s="26"/>
      <c r="B148" s="252"/>
      <c r="C148" s="26"/>
      <c r="D148" s="234"/>
      <c r="E148" s="31">
        <v>82792</v>
      </c>
      <c r="F148" s="216"/>
      <c r="G148" s="31">
        <v>127069</v>
      </c>
      <c r="H148" s="217">
        <v>65.2</v>
      </c>
    </row>
    <row r="149" spans="1:8" x14ac:dyDescent="0.2">
      <c r="A149" s="26"/>
      <c r="B149" s="252"/>
      <c r="C149" s="26"/>
      <c r="D149" s="234"/>
      <c r="E149" s="31"/>
      <c r="F149" s="216"/>
      <c r="G149" s="31"/>
      <c r="H149" s="217"/>
    </row>
    <row r="150" spans="1:8" x14ac:dyDescent="0.2">
      <c r="A150" s="26"/>
      <c r="B150" s="252">
        <v>2</v>
      </c>
      <c r="C150" s="214" t="s">
        <v>5789</v>
      </c>
      <c r="D150" s="234" t="s">
        <v>1071</v>
      </c>
      <c r="E150" s="31">
        <v>9569</v>
      </c>
      <c r="F150" s="216"/>
      <c r="G150" s="31"/>
      <c r="H150" s="217"/>
    </row>
    <row r="151" spans="1:8" x14ac:dyDescent="0.2">
      <c r="A151" s="26"/>
      <c r="B151" s="252"/>
      <c r="C151" s="214" t="s">
        <v>5794</v>
      </c>
      <c r="D151" s="234" t="s">
        <v>1072</v>
      </c>
      <c r="E151" s="31">
        <v>9569</v>
      </c>
      <c r="F151" s="216"/>
      <c r="G151" s="31"/>
      <c r="H151" s="217"/>
    </row>
    <row r="152" spans="1:8" x14ac:dyDescent="0.2">
      <c r="A152" s="26"/>
      <c r="B152" s="252"/>
      <c r="C152" s="214" t="s">
        <v>5790</v>
      </c>
      <c r="D152" s="234" t="s">
        <v>1072</v>
      </c>
      <c r="E152" s="31">
        <v>9569</v>
      </c>
      <c r="F152" s="216"/>
      <c r="G152" s="31"/>
      <c r="H152" s="217"/>
    </row>
    <row r="153" spans="1:8" x14ac:dyDescent="0.2">
      <c r="A153" s="26"/>
      <c r="B153" s="252"/>
      <c r="C153" s="214" t="s">
        <v>5799</v>
      </c>
      <c r="D153" s="234" t="s">
        <v>1072</v>
      </c>
      <c r="E153" s="31">
        <v>9569</v>
      </c>
      <c r="F153" s="216"/>
      <c r="G153" s="31"/>
      <c r="H153" s="217"/>
    </row>
    <row r="154" spans="1:8" x14ac:dyDescent="0.2">
      <c r="A154" s="26"/>
      <c r="B154" s="252"/>
      <c r="C154" s="214" t="s">
        <v>5796</v>
      </c>
      <c r="D154" s="234" t="s">
        <v>1071</v>
      </c>
      <c r="E154" s="31">
        <v>9483</v>
      </c>
      <c r="F154" s="216"/>
      <c r="G154" s="31"/>
      <c r="H154" s="217"/>
    </row>
    <row r="155" spans="1:8" ht="12.75" customHeight="1" x14ac:dyDescent="0.2">
      <c r="A155" s="26"/>
      <c r="B155" s="252"/>
      <c r="C155" s="214" t="s">
        <v>5657</v>
      </c>
      <c r="D155" s="234" t="s">
        <v>1239</v>
      </c>
      <c r="E155" s="31">
        <v>9224</v>
      </c>
      <c r="F155" s="216"/>
      <c r="G155" s="31"/>
      <c r="H155" s="217"/>
    </row>
    <row r="156" spans="1:8" x14ac:dyDescent="0.2">
      <c r="A156" s="26"/>
      <c r="B156" s="252"/>
      <c r="C156" s="214" t="s">
        <v>5271</v>
      </c>
      <c r="D156" s="234" t="s">
        <v>1071</v>
      </c>
      <c r="E156" s="218">
        <v>9121</v>
      </c>
      <c r="F156" s="219"/>
      <c r="G156" s="218"/>
      <c r="H156" s="220"/>
    </row>
    <row r="157" spans="1:8" x14ac:dyDescent="0.2">
      <c r="A157" s="26"/>
      <c r="B157" s="252"/>
      <c r="C157" s="26" t="s">
        <v>2318</v>
      </c>
      <c r="D157" s="234"/>
      <c r="E157" s="31"/>
      <c r="F157" s="216"/>
      <c r="G157" s="31"/>
      <c r="H157" s="217"/>
    </row>
    <row r="158" spans="1:8" x14ac:dyDescent="0.2">
      <c r="A158" s="26" t="s">
        <v>2269</v>
      </c>
      <c r="B158" s="252"/>
      <c r="C158" s="26" t="s">
        <v>5801</v>
      </c>
      <c r="D158" s="234" t="s">
        <v>1239</v>
      </c>
      <c r="E158" s="31">
        <v>192</v>
      </c>
      <c r="F158" s="216"/>
      <c r="G158" s="31"/>
      <c r="H158" s="217"/>
    </row>
    <row r="159" spans="1:8" x14ac:dyDescent="0.2">
      <c r="A159" s="26"/>
      <c r="B159" s="252"/>
      <c r="C159" s="26" t="s">
        <v>5802</v>
      </c>
      <c r="D159" s="234" t="s">
        <v>1072</v>
      </c>
      <c r="E159" s="31">
        <v>2146</v>
      </c>
      <c r="F159" s="216"/>
      <c r="G159" s="31"/>
      <c r="H159" s="217"/>
    </row>
    <row r="160" spans="1:8" x14ac:dyDescent="0.2">
      <c r="A160" s="26"/>
      <c r="B160" s="252"/>
      <c r="C160" s="214" t="s">
        <v>5803</v>
      </c>
      <c r="D160" s="234" t="s">
        <v>1071</v>
      </c>
      <c r="E160" s="31">
        <v>2529</v>
      </c>
      <c r="F160" s="216"/>
      <c r="G160" s="31"/>
      <c r="H160" s="217"/>
    </row>
    <row r="161" spans="1:8" x14ac:dyDescent="0.2">
      <c r="A161" s="26"/>
      <c r="B161" s="252"/>
      <c r="C161" s="26" t="s">
        <v>2318</v>
      </c>
      <c r="D161" s="234"/>
      <c r="E161" s="218">
        <v>5312</v>
      </c>
      <c r="F161" s="219"/>
      <c r="G161" s="218">
        <v>7515</v>
      </c>
      <c r="H161" s="220">
        <v>70.7</v>
      </c>
    </row>
    <row r="162" spans="1:8" x14ac:dyDescent="0.2">
      <c r="A162" s="26"/>
      <c r="B162" s="252"/>
      <c r="C162" s="26" t="s">
        <v>2318</v>
      </c>
      <c r="D162" s="234"/>
      <c r="E162" s="31"/>
      <c r="F162" s="216"/>
      <c r="G162" s="31"/>
      <c r="H162" s="217"/>
    </row>
    <row r="163" spans="1:8" x14ac:dyDescent="0.2">
      <c r="A163" s="26" t="s">
        <v>3265</v>
      </c>
      <c r="B163" s="252"/>
      <c r="C163" s="214" t="s">
        <v>5643</v>
      </c>
      <c r="D163" s="234" t="s">
        <v>1071</v>
      </c>
      <c r="E163" s="31">
        <v>1912</v>
      </c>
      <c r="F163" s="216"/>
      <c r="G163" s="31"/>
      <c r="H163" s="217"/>
    </row>
    <row r="164" spans="1:8" x14ac:dyDescent="0.2">
      <c r="A164" s="26"/>
      <c r="B164" s="252"/>
      <c r="C164" s="26" t="s">
        <v>5804</v>
      </c>
      <c r="D164" s="234" t="s">
        <v>1072</v>
      </c>
      <c r="E164" s="31">
        <v>1784</v>
      </c>
      <c r="F164" s="216"/>
      <c r="G164" s="31"/>
      <c r="H164" s="217"/>
    </row>
    <row r="165" spans="1:8" x14ac:dyDescent="0.2">
      <c r="A165" s="26"/>
      <c r="B165" s="252"/>
      <c r="C165" s="26" t="s">
        <v>2318</v>
      </c>
      <c r="D165" s="234"/>
      <c r="E165" s="218">
        <v>3898</v>
      </c>
      <c r="F165" s="219"/>
      <c r="G165" s="218">
        <v>5228</v>
      </c>
      <c r="H165" s="220">
        <v>74.599999999999994</v>
      </c>
    </row>
    <row r="166" spans="1:8" x14ac:dyDescent="0.2">
      <c r="A166" s="26"/>
      <c r="B166" s="252"/>
      <c r="C166" s="26" t="s">
        <v>2318</v>
      </c>
      <c r="D166" s="234"/>
      <c r="E166" s="31"/>
      <c r="F166" s="216"/>
      <c r="G166" s="31"/>
      <c r="H166" s="217"/>
    </row>
    <row r="167" spans="1:8" x14ac:dyDescent="0.2">
      <c r="A167" s="26" t="s">
        <v>1920</v>
      </c>
      <c r="B167" s="252"/>
      <c r="C167" s="26" t="s">
        <v>5805</v>
      </c>
      <c r="D167" s="234" t="s">
        <v>1239</v>
      </c>
      <c r="E167" s="31">
        <v>377</v>
      </c>
      <c r="F167" s="216"/>
      <c r="G167" s="31"/>
      <c r="H167" s="217"/>
    </row>
    <row r="168" spans="1:8" x14ac:dyDescent="0.2">
      <c r="A168" s="26"/>
      <c r="B168" s="252"/>
      <c r="C168" s="26" t="s">
        <v>5806</v>
      </c>
      <c r="D168" s="234" t="s">
        <v>1072</v>
      </c>
      <c r="E168" s="31">
        <v>1481</v>
      </c>
      <c r="F168" s="216"/>
      <c r="G168" s="31"/>
      <c r="H168" s="217"/>
    </row>
    <row r="169" spans="1:8" x14ac:dyDescent="0.2">
      <c r="A169" s="26"/>
      <c r="B169" s="252"/>
      <c r="C169" s="26" t="s">
        <v>5807</v>
      </c>
      <c r="D169" s="234" t="s">
        <v>5573</v>
      </c>
      <c r="E169" s="31">
        <v>538</v>
      </c>
      <c r="F169" s="216"/>
      <c r="G169" s="31"/>
      <c r="H169" s="217"/>
    </row>
    <row r="170" spans="1:8" x14ac:dyDescent="0.2">
      <c r="A170" s="26"/>
      <c r="B170" s="252"/>
      <c r="C170" s="214" t="s">
        <v>5285</v>
      </c>
      <c r="D170" s="234" t="s">
        <v>1071</v>
      </c>
      <c r="E170" s="31">
        <v>3240</v>
      </c>
      <c r="F170" s="216"/>
      <c r="G170" s="31"/>
      <c r="H170" s="217"/>
    </row>
    <row r="171" spans="1:8" x14ac:dyDescent="0.2">
      <c r="A171" s="26"/>
      <c r="B171" s="252"/>
      <c r="C171" s="26" t="s">
        <v>2318</v>
      </c>
      <c r="D171" s="234"/>
      <c r="E171" s="218">
        <v>6118</v>
      </c>
      <c r="F171" s="219"/>
      <c r="G171" s="218">
        <v>8645</v>
      </c>
      <c r="H171" s="220">
        <v>70.8</v>
      </c>
    </row>
    <row r="172" spans="1:8" ht="12.75" customHeight="1" x14ac:dyDescent="0.2">
      <c r="A172" s="26"/>
      <c r="B172" s="252"/>
      <c r="C172" s="26"/>
      <c r="D172" s="234"/>
      <c r="E172" s="88"/>
      <c r="F172" s="84"/>
      <c r="G172" s="88"/>
      <c r="H172" s="235"/>
    </row>
    <row r="173" spans="1:8" x14ac:dyDescent="0.2">
      <c r="A173" s="26" t="s">
        <v>0</v>
      </c>
      <c r="B173" s="252">
        <v>1</v>
      </c>
      <c r="C173" s="26" t="s">
        <v>5808</v>
      </c>
      <c r="D173" s="234" t="s">
        <v>1071</v>
      </c>
      <c r="E173" s="31">
        <v>2319</v>
      </c>
      <c r="F173" s="216"/>
      <c r="G173" s="31"/>
      <c r="H173" s="217"/>
    </row>
    <row r="174" spans="1:8" x14ac:dyDescent="0.2">
      <c r="A174" s="26"/>
      <c r="B174" s="252"/>
      <c r="C174" s="26" t="s">
        <v>5809</v>
      </c>
      <c r="D174" s="234" t="s">
        <v>5573</v>
      </c>
      <c r="E174" s="31">
        <v>571</v>
      </c>
      <c r="F174" s="216"/>
      <c r="G174" s="31"/>
      <c r="H174" s="217"/>
    </row>
    <row r="175" spans="1:8" x14ac:dyDescent="0.2">
      <c r="A175" s="26"/>
      <c r="B175" s="252"/>
      <c r="C175" s="26" t="s">
        <v>5810</v>
      </c>
      <c r="D175" s="234" t="s">
        <v>1072</v>
      </c>
      <c r="E175" s="31">
        <v>2855</v>
      </c>
      <c r="F175" s="216"/>
      <c r="G175" s="31"/>
      <c r="H175" s="217"/>
    </row>
    <row r="176" spans="1:8" x14ac:dyDescent="0.2">
      <c r="A176" s="26"/>
      <c r="B176" s="252"/>
      <c r="C176" s="26" t="s">
        <v>2318</v>
      </c>
      <c r="D176" s="234"/>
      <c r="E176" s="218">
        <v>6255</v>
      </c>
      <c r="F176" s="219"/>
      <c r="G176" s="218">
        <v>9271</v>
      </c>
      <c r="H176" s="220">
        <v>67.5</v>
      </c>
    </row>
    <row r="177" spans="1:8" x14ac:dyDescent="0.2">
      <c r="A177" s="26"/>
      <c r="B177" s="252"/>
      <c r="C177" s="26"/>
      <c r="D177" s="234"/>
      <c r="E177" s="88"/>
      <c r="F177" s="84"/>
      <c r="G177" s="88"/>
      <c r="H177" s="235"/>
    </row>
    <row r="178" spans="1:8" x14ac:dyDescent="0.2">
      <c r="A178" s="26"/>
      <c r="B178" s="252">
        <v>2</v>
      </c>
      <c r="C178" s="26" t="s">
        <v>5808</v>
      </c>
      <c r="D178" s="234" t="s">
        <v>1071</v>
      </c>
      <c r="E178" s="88">
        <v>2435</v>
      </c>
      <c r="F178" s="84"/>
      <c r="G178" s="88"/>
      <c r="H178" s="235"/>
    </row>
    <row r="179" spans="1:8" x14ac:dyDescent="0.2">
      <c r="A179" s="26"/>
      <c r="B179" s="252"/>
      <c r="C179" s="214" t="s">
        <v>5810</v>
      </c>
      <c r="D179" s="234" t="s">
        <v>1072</v>
      </c>
      <c r="E179" s="88">
        <v>3026</v>
      </c>
      <c r="F179" s="84"/>
      <c r="G179" s="88"/>
      <c r="H179" s="235"/>
    </row>
    <row r="180" spans="1:8" x14ac:dyDescent="0.2">
      <c r="A180" s="26"/>
      <c r="B180" s="252"/>
      <c r="C180" s="26" t="s">
        <v>2318</v>
      </c>
      <c r="D180" s="234"/>
      <c r="E180" s="31"/>
      <c r="F180" s="216"/>
      <c r="G180" s="31"/>
      <c r="H180" s="217"/>
    </row>
    <row r="181" spans="1:8" x14ac:dyDescent="0.2">
      <c r="A181" s="26" t="s">
        <v>370</v>
      </c>
      <c r="B181" s="252"/>
      <c r="C181" s="26" t="s">
        <v>5811</v>
      </c>
      <c r="D181" s="234" t="s">
        <v>1071</v>
      </c>
      <c r="E181" s="31">
        <v>282</v>
      </c>
      <c r="F181" s="216"/>
      <c r="G181" s="31"/>
      <c r="H181" s="217"/>
    </row>
    <row r="182" spans="1:8" x14ac:dyDescent="0.2">
      <c r="A182" s="26"/>
      <c r="B182" s="252"/>
      <c r="C182" s="214" t="s">
        <v>5812</v>
      </c>
      <c r="D182" s="234" t="s">
        <v>1736</v>
      </c>
      <c r="E182" s="31">
        <v>2685</v>
      </c>
      <c r="F182" s="216"/>
      <c r="G182" s="31"/>
      <c r="H182" s="217"/>
    </row>
    <row r="183" spans="1:8" x14ac:dyDescent="0.2">
      <c r="A183" s="26"/>
      <c r="B183" s="252"/>
      <c r="C183" s="26" t="s">
        <v>5813</v>
      </c>
      <c r="D183" s="234" t="s">
        <v>1072</v>
      </c>
      <c r="E183" s="31">
        <v>1666</v>
      </c>
      <c r="F183" s="216"/>
      <c r="G183" s="31"/>
      <c r="H183" s="217"/>
    </row>
    <row r="184" spans="1:8" x14ac:dyDescent="0.2">
      <c r="A184" s="26"/>
      <c r="B184" s="252"/>
      <c r="C184" s="26" t="s">
        <v>2318</v>
      </c>
      <c r="D184" s="234"/>
      <c r="E184" s="218">
        <v>4893</v>
      </c>
      <c r="F184" s="219"/>
      <c r="G184" s="218">
        <v>5934</v>
      </c>
      <c r="H184" s="220">
        <v>81.7</v>
      </c>
    </row>
    <row r="185" spans="1:8" x14ac:dyDescent="0.2">
      <c r="A185" s="26"/>
      <c r="B185" s="252"/>
      <c r="C185" s="26" t="s">
        <v>2318</v>
      </c>
      <c r="D185" s="234"/>
      <c r="E185" s="31"/>
      <c r="F185" s="216"/>
      <c r="G185" s="31"/>
      <c r="H185" s="217"/>
    </row>
    <row r="186" spans="1:8" x14ac:dyDescent="0.2">
      <c r="A186" s="26" t="s">
        <v>5293</v>
      </c>
      <c r="B186" s="252"/>
      <c r="C186" s="26" t="s">
        <v>5295</v>
      </c>
      <c r="D186" s="234" t="s">
        <v>1071</v>
      </c>
      <c r="E186" s="31">
        <v>1868</v>
      </c>
      <c r="F186" s="216"/>
      <c r="G186" s="31"/>
      <c r="H186" s="217"/>
    </row>
    <row r="187" spans="1:8" x14ac:dyDescent="0.2">
      <c r="A187" s="26"/>
      <c r="B187" s="252"/>
      <c r="C187" s="214" t="s">
        <v>5294</v>
      </c>
      <c r="D187" s="234" t="s">
        <v>1072</v>
      </c>
      <c r="E187" s="31">
        <v>1931</v>
      </c>
      <c r="F187" s="216"/>
      <c r="G187" s="31"/>
      <c r="H187" s="217"/>
    </row>
    <row r="188" spans="1:8" x14ac:dyDescent="0.2">
      <c r="A188" s="26"/>
      <c r="B188" s="252"/>
      <c r="C188" s="26" t="s">
        <v>2318</v>
      </c>
      <c r="D188" s="234"/>
      <c r="E188" s="218">
        <v>3897</v>
      </c>
      <c r="F188" s="219"/>
      <c r="G188" s="218">
        <v>5263</v>
      </c>
      <c r="H188" s="220">
        <v>74</v>
      </c>
    </row>
    <row r="189" spans="1:8" x14ac:dyDescent="0.2">
      <c r="A189" s="26"/>
      <c r="B189" s="252"/>
      <c r="C189" s="26" t="s">
        <v>2318</v>
      </c>
      <c r="D189" s="234"/>
      <c r="E189" s="31"/>
      <c r="F189" s="216"/>
      <c r="G189" s="31"/>
      <c r="H189" s="217"/>
    </row>
    <row r="190" spans="1:8" x14ac:dyDescent="0.2">
      <c r="A190" s="26" t="s">
        <v>1744</v>
      </c>
      <c r="B190" s="252"/>
      <c r="C190" s="26" t="s">
        <v>5814</v>
      </c>
      <c r="D190" s="234" t="s">
        <v>1239</v>
      </c>
      <c r="E190" s="31">
        <v>1579</v>
      </c>
      <c r="F190" s="216"/>
      <c r="G190" s="31"/>
      <c r="H190" s="217"/>
    </row>
    <row r="191" spans="1:8" x14ac:dyDescent="0.2">
      <c r="A191" s="26"/>
      <c r="B191" s="252"/>
      <c r="C191" s="26" t="s">
        <v>5815</v>
      </c>
      <c r="D191" s="234" t="s">
        <v>5636</v>
      </c>
      <c r="E191" s="31">
        <v>602</v>
      </c>
      <c r="F191" s="216"/>
      <c r="G191" s="31"/>
      <c r="H191" s="217"/>
    </row>
    <row r="192" spans="1:8" x14ac:dyDescent="0.2">
      <c r="A192" s="26"/>
      <c r="B192" s="252"/>
      <c r="C192" s="214" t="s">
        <v>5816</v>
      </c>
      <c r="D192" s="234" t="s">
        <v>1071</v>
      </c>
      <c r="E192" s="31">
        <v>2255</v>
      </c>
      <c r="F192" s="216"/>
      <c r="G192" s="31"/>
      <c r="H192" s="217"/>
    </row>
    <row r="193" spans="1:8" x14ac:dyDescent="0.2">
      <c r="A193" s="26"/>
      <c r="B193" s="252"/>
      <c r="C193" s="26" t="s">
        <v>2318</v>
      </c>
      <c r="D193" s="234"/>
      <c r="E193" s="218">
        <v>4774</v>
      </c>
      <c r="F193" s="219"/>
      <c r="G193" s="218">
        <v>6586</v>
      </c>
      <c r="H193" s="220">
        <v>72.5</v>
      </c>
    </row>
    <row r="194" spans="1:8" x14ac:dyDescent="0.2">
      <c r="A194" s="26"/>
      <c r="B194" s="252"/>
      <c r="C194" s="26"/>
      <c r="D194" s="234"/>
      <c r="E194" s="88"/>
      <c r="F194" s="84"/>
      <c r="G194" s="88"/>
      <c r="H194" s="235"/>
    </row>
    <row r="195" spans="1:8" x14ac:dyDescent="0.2">
      <c r="A195" s="26" t="s">
        <v>1</v>
      </c>
      <c r="B195" s="252">
        <v>1</v>
      </c>
      <c r="C195" s="26" t="s">
        <v>5817</v>
      </c>
      <c r="D195" s="234" t="s">
        <v>5636</v>
      </c>
      <c r="E195" s="31">
        <v>1374</v>
      </c>
      <c r="F195" s="216"/>
      <c r="G195" s="31"/>
      <c r="H195" s="217"/>
    </row>
    <row r="196" spans="1:8" x14ac:dyDescent="0.2">
      <c r="A196" s="26"/>
      <c r="B196" s="252"/>
      <c r="C196" s="26" t="s">
        <v>5818</v>
      </c>
      <c r="D196" s="234" t="s">
        <v>1072</v>
      </c>
      <c r="E196" s="31">
        <v>1684</v>
      </c>
      <c r="F196" s="216"/>
      <c r="G196" s="31"/>
      <c r="H196" s="217"/>
    </row>
    <row r="197" spans="1:8" x14ac:dyDescent="0.2">
      <c r="A197" s="26"/>
      <c r="B197" s="252"/>
      <c r="C197" s="26" t="s">
        <v>5819</v>
      </c>
      <c r="D197" s="234" t="s">
        <v>1071</v>
      </c>
      <c r="E197" s="31">
        <v>1965</v>
      </c>
      <c r="F197" s="216"/>
      <c r="G197" s="31"/>
      <c r="H197" s="217"/>
    </row>
    <row r="198" spans="1:8" x14ac:dyDescent="0.2">
      <c r="A198" s="26"/>
      <c r="B198" s="252"/>
      <c r="C198" s="26" t="s">
        <v>2318</v>
      </c>
      <c r="D198" s="234"/>
      <c r="E198" s="218">
        <v>7052</v>
      </c>
      <c r="F198" s="219"/>
      <c r="G198" s="218">
        <v>5400</v>
      </c>
      <c r="H198" s="220">
        <v>76.599999999999994</v>
      </c>
    </row>
    <row r="199" spans="1:8" x14ac:dyDescent="0.2">
      <c r="A199" s="26"/>
      <c r="B199" s="252"/>
      <c r="C199" s="26"/>
      <c r="D199" s="234"/>
      <c r="E199" s="88"/>
      <c r="F199" s="84"/>
      <c r="G199" s="88"/>
      <c r="H199" s="235"/>
    </row>
    <row r="200" spans="1:8" x14ac:dyDescent="0.2">
      <c r="A200" s="26"/>
      <c r="B200" s="252">
        <v>2</v>
      </c>
      <c r="C200" s="214" t="s">
        <v>5818</v>
      </c>
      <c r="D200" s="234" t="s">
        <v>1072</v>
      </c>
      <c r="E200" s="88">
        <v>2592</v>
      </c>
      <c r="F200" s="84"/>
      <c r="G200" s="88"/>
      <c r="H200" s="235"/>
    </row>
    <row r="201" spans="1:8" x14ac:dyDescent="0.2">
      <c r="A201" s="26"/>
      <c r="B201" s="252"/>
      <c r="C201" s="26" t="s">
        <v>5819</v>
      </c>
      <c r="D201" s="234" t="s">
        <v>1071</v>
      </c>
      <c r="E201" s="88">
        <v>2120</v>
      </c>
      <c r="F201" s="84"/>
      <c r="G201" s="88"/>
      <c r="H201" s="235"/>
    </row>
    <row r="202" spans="1:8" x14ac:dyDescent="0.2">
      <c r="A202" s="26"/>
      <c r="B202" s="252"/>
      <c r="C202" s="26"/>
      <c r="D202" s="234"/>
      <c r="E202" s="88"/>
      <c r="F202" s="84"/>
      <c r="G202" s="88"/>
      <c r="H202" s="235"/>
    </row>
    <row r="203" spans="1:8" x14ac:dyDescent="0.2">
      <c r="A203" s="26" t="s">
        <v>1931</v>
      </c>
      <c r="B203" s="252">
        <v>1</v>
      </c>
      <c r="C203" s="26" t="s">
        <v>5494</v>
      </c>
      <c r="D203" s="234" t="s">
        <v>4860</v>
      </c>
      <c r="E203" s="31">
        <v>1338</v>
      </c>
      <c r="F203" s="216"/>
      <c r="G203" s="31"/>
      <c r="H203" s="217"/>
    </row>
    <row r="204" spans="1:8" x14ac:dyDescent="0.2">
      <c r="A204" s="26"/>
      <c r="B204" s="252"/>
      <c r="C204" s="26" t="s">
        <v>5820</v>
      </c>
      <c r="D204" s="234" t="s">
        <v>5636</v>
      </c>
      <c r="E204" s="31">
        <v>1147</v>
      </c>
      <c r="F204" s="216"/>
      <c r="G204" s="31"/>
      <c r="H204" s="217"/>
    </row>
    <row r="205" spans="1:8" x14ac:dyDescent="0.2">
      <c r="A205" s="26"/>
      <c r="B205" s="252"/>
      <c r="C205" s="26" t="s">
        <v>5821</v>
      </c>
      <c r="D205" s="234" t="s">
        <v>1072</v>
      </c>
      <c r="E205" s="31">
        <v>963</v>
      </c>
      <c r="F205" s="216"/>
      <c r="G205" s="31"/>
      <c r="H205" s="217"/>
    </row>
    <row r="206" spans="1:8" x14ac:dyDescent="0.2">
      <c r="A206" s="26"/>
      <c r="B206" s="252"/>
      <c r="C206" s="26" t="s">
        <v>5822</v>
      </c>
      <c r="D206" s="234" t="s">
        <v>1239</v>
      </c>
      <c r="E206" s="31">
        <v>394</v>
      </c>
      <c r="F206" s="216"/>
      <c r="G206" s="31"/>
      <c r="H206" s="217"/>
    </row>
    <row r="207" spans="1:8" x14ac:dyDescent="0.2">
      <c r="A207" s="26"/>
      <c r="B207" s="252"/>
      <c r="C207" s="26" t="s">
        <v>5823</v>
      </c>
      <c r="D207" s="234" t="s">
        <v>1071</v>
      </c>
      <c r="E207" s="31">
        <v>950</v>
      </c>
      <c r="F207" s="216"/>
      <c r="G207" s="31"/>
      <c r="H207" s="217"/>
    </row>
    <row r="208" spans="1:8" x14ac:dyDescent="0.2">
      <c r="A208" s="26"/>
      <c r="B208" s="252"/>
      <c r="C208" s="26" t="s">
        <v>2318</v>
      </c>
      <c r="D208" s="234"/>
      <c r="E208" s="218">
        <v>7532</v>
      </c>
      <c r="F208" s="219"/>
      <c r="G208" s="218">
        <v>5137</v>
      </c>
      <c r="H208" s="220">
        <v>68.2</v>
      </c>
    </row>
    <row r="209" spans="1:8" x14ac:dyDescent="0.2">
      <c r="A209" s="26"/>
      <c r="B209" s="252"/>
      <c r="C209" s="26"/>
      <c r="D209" s="234"/>
      <c r="E209" s="88"/>
      <c r="F209" s="84"/>
      <c r="G209" s="88"/>
      <c r="H209" s="235"/>
    </row>
    <row r="210" spans="1:8" x14ac:dyDescent="0.2">
      <c r="A210" s="26"/>
      <c r="B210" s="252">
        <v>2</v>
      </c>
      <c r="C210" s="26" t="s">
        <v>5494</v>
      </c>
      <c r="D210" s="234" t="s">
        <v>4860</v>
      </c>
      <c r="E210" s="88">
        <v>2035</v>
      </c>
      <c r="F210" s="84"/>
      <c r="G210" s="88"/>
      <c r="H210" s="235"/>
    </row>
    <row r="211" spans="1:8" x14ac:dyDescent="0.2">
      <c r="A211" s="26"/>
      <c r="B211" s="252"/>
      <c r="C211" s="26" t="s">
        <v>5821</v>
      </c>
      <c r="D211" s="234" t="s">
        <v>1072</v>
      </c>
      <c r="E211" s="88">
        <v>1871</v>
      </c>
      <c r="F211" s="84"/>
      <c r="G211" s="88"/>
      <c r="H211" s="235"/>
    </row>
    <row r="212" spans="1:8" x14ac:dyDescent="0.2">
      <c r="A212" s="26"/>
      <c r="B212" s="252"/>
      <c r="C212" s="26" t="s">
        <v>2318</v>
      </c>
      <c r="D212" s="234"/>
      <c r="E212" s="31"/>
      <c r="F212" s="216"/>
      <c r="G212" s="31"/>
      <c r="H212" s="217"/>
    </row>
    <row r="213" spans="1:8" x14ac:dyDescent="0.2">
      <c r="A213" s="26" t="s">
        <v>3</v>
      </c>
      <c r="B213" s="252"/>
      <c r="C213" s="26" t="s">
        <v>5824</v>
      </c>
      <c r="D213" s="234" t="s">
        <v>1239</v>
      </c>
      <c r="E213" s="31">
        <v>883</v>
      </c>
      <c r="F213" s="216"/>
      <c r="G213" s="31"/>
      <c r="H213" s="217"/>
    </row>
    <row r="214" spans="1:8" x14ac:dyDescent="0.2">
      <c r="A214" s="26"/>
      <c r="B214" s="252"/>
      <c r="C214" s="26" t="s">
        <v>5825</v>
      </c>
      <c r="D214" s="234" t="s">
        <v>1072</v>
      </c>
      <c r="E214" s="31">
        <v>3361</v>
      </c>
      <c r="F214" s="216"/>
      <c r="G214" s="31"/>
      <c r="H214" s="217"/>
    </row>
    <row r="215" spans="1:8" x14ac:dyDescent="0.2">
      <c r="A215" s="26"/>
      <c r="B215" s="252"/>
      <c r="C215" s="26" t="s">
        <v>5826</v>
      </c>
      <c r="D215" s="234" t="s">
        <v>5636</v>
      </c>
      <c r="E215" s="31">
        <v>490</v>
      </c>
      <c r="F215" s="216"/>
      <c r="G215" s="31"/>
      <c r="H215" s="217"/>
    </row>
    <row r="216" spans="1:8" x14ac:dyDescent="0.2">
      <c r="A216" s="26"/>
      <c r="B216" s="252"/>
      <c r="C216" s="214" t="s">
        <v>5302</v>
      </c>
      <c r="D216" s="234" t="s">
        <v>1071</v>
      </c>
      <c r="E216" s="31">
        <v>4788</v>
      </c>
      <c r="F216" s="216"/>
      <c r="G216" s="31"/>
      <c r="H216" s="217"/>
    </row>
    <row r="217" spans="1:8" x14ac:dyDescent="0.2">
      <c r="A217" s="26"/>
      <c r="B217" s="252"/>
      <c r="C217" s="26" t="s">
        <v>2318</v>
      </c>
      <c r="D217" s="234"/>
      <c r="E217" s="218">
        <v>9940</v>
      </c>
      <c r="F217" s="219"/>
      <c r="G217" s="218">
        <v>15635</v>
      </c>
      <c r="H217" s="220">
        <v>63.6</v>
      </c>
    </row>
    <row r="218" spans="1:8" x14ac:dyDescent="0.2">
      <c r="A218" s="26"/>
      <c r="B218" s="252"/>
      <c r="C218" s="26" t="s">
        <v>2318</v>
      </c>
      <c r="D218" s="234"/>
      <c r="E218" s="31"/>
      <c r="F218" s="216"/>
      <c r="G218" s="31"/>
      <c r="H218" s="217"/>
    </row>
    <row r="219" spans="1:8" x14ac:dyDescent="0.2">
      <c r="A219" s="26" t="s">
        <v>3185</v>
      </c>
      <c r="B219" s="252"/>
      <c r="C219" s="214" t="s">
        <v>1240</v>
      </c>
      <c r="D219" s="234" t="s">
        <v>1071</v>
      </c>
      <c r="E219" s="31">
        <v>2481</v>
      </c>
      <c r="F219" s="216"/>
      <c r="G219" s="31"/>
      <c r="H219" s="217"/>
    </row>
    <row r="220" spans="1:8" x14ac:dyDescent="0.2">
      <c r="A220" s="26"/>
      <c r="B220" s="252"/>
      <c r="C220" s="26" t="s">
        <v>5827</v>
      </c>
      <c r="D220" s="234" t="s">
        <v>1239</v>
      </c>
      <c r="E220" s="31">
        <v>510</v>
      </c>
      <c r="F220" s="216"/>
      <c r="G220" s="31"/>
      <c r="H220" s="217"/>
    </row>
    <row r="221" spans="1:8" x14ac:dyDescent="0.2">
      <c r="C221" s="26" t="s">
        <v>5828</v>
      </c>
      <c r="D221" s="234" t="s">
        <v>1072</v>
      </c>
      <c r="E221" s="31">
        <v>1359</v>
      </c>
      <c r="F221" s="216"/>
    </row>
    <row r="222" spans="1:8" x14ac:dyDescent="0.2">
      <c r="A222" s="26"/>
      <c r="B222" s="252"/>
      <c r="C222" s="26" t="s">
        <v>2318</v>
      </c>
      <c r="D222" s="234"/>
      <c r="E222" s="218">
        <v>4607</v>
      </c>
      <c r="F222" s="219"/>
      <c r="G222" s="218">
        <v>6123</v>
      </c>
      <c r="H222" s="220">
        <v>75.2</v>
      </c>
    </row>
    <row r="223" spans="1:8" x14ac:dyDescent="0.2">
      <c r="A223" s="26"/>
      <c r="B223" s="252"/>
      <c r="C223" s="26" t="s">
        <v>2318</v>
      </c>
      <c r="D223" s="234"/>
      <c r="E223" s="31"/>
      <c r="F223" s="216"/>
      <c r="G223" s="31"/>
      <c r="H223" s="217"/>
    </row>
    <row r="224" spans="1:8" x14ac:dyDescent="0.2">
      <c r="A224" s="26" t="s">
        <v>1752</v>
      </c>
      <c r="B224" s="252"/>
      <c r="C224" s="26" t="s">
        <v>5829</v>
      </c>
      <c r="D224" s="234" t="s">
        <v>1072</v>
      </c>
      <c r="E224" s="31">
        <v>1946</v>
      </c>
      <c r="F224" s="216"/>
      <c r="G224" s="31"/>
      <c r="H224" s="217"/>
    </row>
    <row r="225" spans="1:8" x14ac:dyDescent="0.2">
      <c r="A225" s="26"/>
      <c r="B225" s="252"/>
      <c r="C225" s="214" t="s">
        <v>5500</v>
      </c>
      <c r="D225" s="234" t="s">
        <v>1071</v>
      </c>
      <c r="E225" s="31">
        <v>3037</v>
      </c>
      <c r="F225" s="216"/>
      <c r="G225" s="31"/>
      <c r="H225" s="217"/>
    </row>
    <row r="226" spans="1:8" x14ac:dyDescent="0.2">
      <c r="A226" s="26"/>
      <c r="B226" s="252"/>
      <c r="C226" s="26" t="s">
        <v>2318</v>
      </c>
      <c r="D226" s="234"/>
      <c r="E226" s="218">
        <v>5263</v>
      </c>
      <c r="F226" s="219"/>
      <c r="G226" s="218">
        <v>7937</v>
      </c>
      <c r="H226" s="220">
        <v>66.3</v>
      </c>
    </row>
    <row r="227" spans="1:8" x14ac:dyDescent="0.2">
      <c r="A227" s="26"/>
      <c r="B227" s="252"/>
      <c r="C227" s="26" t="s">
        <v>2318</v>
      </c>
      <c r="D227" s="234"/>
      <c r="E227" s="31"/>
      <c r="F227" s="216"/>
      <c r="G227" s="31"/>
      <c r="H227" s="217"/>
    </row>
    <row r="228" spans="1:8" x14ac:dyDescent="0.2">
      <c r="A228" s="26" t="s">
        <v>3195</v>
      </c>
      <c r="B228" s="252"/>
      <c r="C228" s="26" t="s">
        <v>5831</v>
      </c>
      <c r="D228" s="234" t="s">
        <v>5636</v>
      </c>
      <c r="E228" s="31">
        <v>605</v>
      </c>
      <c r="F228" s="216"/>
      <c r="G228" s="31"/>
      <c r="H228" s="217"/>
    </row>
    <row r="229" spans="1:8" x14ac:dyDescent="0.2">
      <c r="A229" s="26"/>
      <c r="B229" s="252"/>
      <c r="C229" s="26" t="s">
        <v>5832</v>
      </c>
      <c r="D229" s="234" t="s">
        <v>1736</v>
      </c>
      <c r="E229" s="31">
        <v>1862</v>
      </c>
      <c r="F229" s="216"/>
      <c r="G229" s="31"/>
      <c r="H229" s="217"/>
    </row>
    <row r="230" spans="1:8" x14ac:dyDescent="0.2">
      <c r="A230" s="26"/>
      <c r="B230" s="252"/>
      <c r="C230" s="214" t="s">
        <v>5830</v>
      </c>
      <c r="D230" s="234" t="s">
        <v>1072</v>
      </c>
      <c r="E230" s="31">
        <v>5066</v>
      </c>
      <c r="F230" s="216"/>
      <c r="G230" s="31"/>
      <c r="H230" s="217"/>
    </row>
    <row r="231" spans="1:8" x14ac:dyDescent="0.2">
      <c r="A231" s="26"/>
      <c r="B231" s="252"/>
      <c r="C231" s="26" t="s">
        <v>2318</v>
      </c>
      <c r="D231" s="234"/>
      <c r="E231" s="218">
        <v>7969</v>
      </c>
      <c r="F231" s="219"/>
      <c r="G231" s="218">
        <v>12915</v>
      </c>
      <c r="H231" s="220">
        <v>61.7</v>
      </c>
    </row>
    <row r="232" spans="1:8" x14ac:dyDescent="0.2">
      <c r="A232" s="26"/>
      <c r="B232" s="252"/>
      <c r="C232" s="26"/>
      <c r="D232" s="234"/>
      <c r="E232" s="88"/>
      <c r="F232" s="84"/>
      <c r="G232" s="88"/>
      <c r="H232" s="235"/>
    </row>
    <row r="233" spans="1:8" x14ac:dyDescent="0.2">
      <c r="A233" s="26" t="s">
        <v>716</v>
      </c>
      <c r="B233" s="252"/>
      <c r="C233" s="26" t="s">
        <v>5833</v>
      </c>
      <c r="D233" s="234" t="s">
        <v>1071</v>
      </c>
      <c r="E233" s="31">
        <v>2482</v>
      </c>
      <c r="F233" s="216"/>
      <c r="G233" s="31"/>
      <c r="H233" s="217"/>
    </row>
    <row r="234" spans="1:8" x14ac:dyDescent="0.2">
      <c r="A234" s="26"/>
      <c r="B234" s="252"/>
      <c r="C234" s="214" t="s">
        <v>5670</v>
      </c>
      <c r="D234" s="234" t="s">
        <v>5834</v>
      </c>
      <c r="E234" s="31">
        <v>2607</v>
      </c>
      <c r="F234" s="216"/>
      <c r="G234" s="31"/>
      <c r="H234" s="217"/>
    </row>
    <row r="235" spans="1:8" x14ac:dyDescent="0.2">
      <c r="A235" s="26"/>
      <c r="B235" s="252"/>
      <c r="C235" s="26" t="s">
        <v>2318</v>
      </c>
      <c r="D235" s="234"/>
      <c r="E235" s="218">
        <v>5267</v>
      </c>
      <c r="F235" s="219"/>
      <c r="G235" s="218">
        <v>6815</v>
      </c>
      <c r="H235" s="220">
        <v>77.3</v>
      </c>
    </row>
    <row r="236" spans="1:8" x14ac:dyDescent="0.2">
      <c r="A236" s="26"/>
      <c r="B236" s="252"/>
      <c r="C236" s="26" t="s">
        <v>2318</v>
      </c>
      <c r="D236" s="234"/>
      <c r="E236" s="31"/>
      <c r="F236" s="216"/>
      <c r="G236" s="31"/>
      <c r="H236" s="217"/>
    </row>
    <row r="237" spans="1:8" x14ac:dyDescent="0.2">
      <c r="A237" s="26" t="s">
        <v>1241</v>
      </c>
      <c r="B237" s="252"/>
      <c r="C237" s="26" t="s">
        <v>5835</v>
      </c>
      <c r="D237" s="234" t="s">
        <v>1072</v>
      </c>
      <c r="E237" s="31">
        <v>2238</v>
      </c>
      <c r="F237" s="216"/>
      <c r="G237" s="31"/>
      <c r="H237" s="217"/>
    </row>
    <row r="238" spans="1:8" x14ac:dyDescent="0.2">
      <c r="A238" s="26"/>
      <c r="B238" s="252"/>
      <c r="C238" s="214" t="s">
        <v>5836</v>
      </c>
      <c r="D238" s="234" t="s">
        <v>1071</v>
      </c>
      <c r="E238" s="31">
        <v>3161</v>
      </c>
      <c r="F238" s="216"/>
      <c r="G238" s="31"/>
      <c r="H238" s="217"/>
    </row>
    <row r="239" spans="1:8" x14ac:dyDescent="0.2">
      <c r="A239" s="26"/>
      <c r="B239" s="252"/>
      <c r="C239" s="26" t="s">
        <v>2318</v>
      </c>
      <c r="D239" s="234"/>
      <c r="E239" s="218">
        <v>5610</v>
      </c>
      <c r="F239" s="219"/>
      <c r="G239" s="218">
        <v>7515</v>
      </c>
      <c r="H239" s="220">
        <v>74.7</v>
      </c>
    </row>
    <row r="240" spans="1:8" x14ac:dyDescent="0.2">
      <c r="A240" s="26"/>
      <c r="B240" s="252"/>
      <c r="C240" s="26" t="s">
        <v>2318</v>
      </c>
      <c r="D240" s="234"/>
      <c r="E240" s="31"/>
      <c r="F240" s="216"/>
      <c r="G240" s="31"/>
      <c r="H240" s="217"/>
    </row>
    <row r="241" spans="1:8" x14ac:dyDescent="0.2">
      <c r="A241" s="26" t="s">
        <v>415</v>
      </c>
      <c r="B241" s="252"/>
      <c r="C241" s="26" t="s">
        <v>5837</v>
      </c>
      <c r="D241" s="234" t="s">
        <v>1072</v>
      </c>
      <c r="E241" s="31">
        <v>2184</v>
      </c>
      <c r="F241" s="216"/>
      <c r="G241" s="31"/>
      <c r="H241" s="217"/>
    </row>
    <row r="242" spans="1:8" x14ac:dyDescent="0.2">
      <c r="A242" s="26"/>
      <c r="B242" s="252"/>
      <c r="C242" s="214" t="s">
        <v>5673</v>
      </c>
      <c r="D242" s="234" t="s">
        <v>1071</v>
      </c>
      <c r="E242" s="31">
        <v>3456</v>
      </c>
      <c r="F242" s="216"/>
      <c r="G242" s="31"/>
      <c r="H242" s="217"/>
    </row>
    <row r="243" spans="1:8" x14ac:dyDescent="0.2">
      <c r="A243" s="26"/>
      <c r="B243" s="252"/>
      <c r="C243" s="26" t="s">
        <v>5838</v>
      </c>
      <c r="D243" s="234" t="s">
        <v>5573</v>
      </c>
      <c r="E243" s="31">
        <v>650</v>
      </c>
      <c r="F243" s="216"/>
      <c r="G243" s="31"/>
      <c r="H243" s="217"/>
    </row>
    <row r="244" spans="1:8" x14ac:dyDescent="0.2">
      <c r="A244" s="26"/>
      <c r="B244" s="252"/>
      <c r="C244" s="26" t="s">
        <v>2318</v>
      </c>
      <c r="D244" s="234"/>
      <c r="E244" s="218">
        <f>SUM(E241:E243)</f>
        <v>6290</v>
      </c>
      <c r="F244" s="219"/>
      <c r="G244" s="218">
        <v>7398</v>
      </c>
      <c r="H244" s="220">
        <v>63.2</v>
      </c>
    </row>
    <row r="245" spans="1:8" x14ac:dyDescent="0.2">
      <c r="A245" s="26"/>
      <c r="B245" s="252"/>
      <c r="C245" s="26" t="s">
        <v>2318</v>
      </c>
      <c r="D245" s="234"/>
      <c r="E245" s="31"/>
      <c r="F245" s="216"/>
      <c r="G245" s="31"/>
      <c r="H245" s="217"/>
    </row>
    <row r="246" spans="1:8" x14ac:dyDescent="0.2">
      <c r="A246" s="26" t="s">
        <v>718</v>
      </c>
      <c r="B246" s="252"/>
      <c r="C246" s="26" t="s">
        <v>5839</v>
      </c>
      <c r="D246" s="234" t="s">
        <v>5573</v>
      </c>
      <c r="E246" s="31">
        <v>840</v>
      </c>
      <c r="F246" s="216"/>
      <c r="G246" s="31"/>
      <c r="H246" s="217"/>
    </row>
    <row r="247" spans="1:8" x14ac:dyDescent="0.2">
      <c r="A247" s="26"/>
      <c r="B247" s="252"/>
      <c r="C247" s="214" t="s">
        <v>5513</v>
      </c>
      <c r="D247" s="234" t="s">
        <v>1071</v>
      </c>
      <c r="E247" s="31">
        <v>2609</v>
      </c>
      <c r="F247" s="216"/>
      <c r="G247" s="31"/>
      <c r="H247" s="217"/>
    </row>
    <row r="248" spans="1:8" x14ac:dyDescent="0.2">
      <c r="A248" s="26"/>
      <c r="B248" s="252"/>
      <c r="C248" s="26" t="s">
        <v>5840</v>
      </c>
      <c r="D248" s="234" t="s">
        <v>1072</v>
      </c>
      <c r="E248" s="31">
        <v>1708</v>
      </c>
      <c r="F248" s="216"/>
      <c r="G248" s="31"/>
      <c r="H248" s="217"/>
    </row>
    <row r="249" spans="1:8" x14ac:dyDescent="0.2">
      <c r="A249" s="26"/>
      <c r="B249" s="252"/>
      <c r="C249" s="26" t="s">
        <v>2318</v>
      </c>
      <c r="D249" s="234"/>
      <c r="E249" s="218">
        <v>5622</v>
      </c>
      <c r="F249" s="219"/>
      <c r="G249" s="218">
        <v>7715</v>
      </c>
      <c r="H249" s="220">
        <v>72.900000000000006</v>
      </c>
    </row>
    <row r="250" spans="1:8" x14ac:dyDescent="0.2">
      <c r="A250" s="26"/>
      <c r="B250" s="252"/>
      <c r="C250" s="26" t="s">
        <v>2318</v>
      </c>
      <c r="D250" s="234"/>
      <c r="E250" s="31"/>
      <c r="F250" s="216"/>
      <c r="G250" s="31"/>
      <c r="H250" s="217"/>
    </row>
    <row r="251" spans="1:8" x14ac:dyDescent="0.2">
      <c r="A251" s="26" t="s">
        <v>584</v>
      </c>
      <c r="B251" s="252"/>
      <c r="C251" s="26" t="s">
        <v>5841</v>
      </c>
      <c r="D251" s="234" t="s">
        <v>5834</v>
      </c>
      <c r="E251" s="31">
        <v>1394</v>
      </c>
      <c r="F251" s="216"/>
      <c r="G251" s="31"/>
      <c r="H251" s="217"/>
    </row>
    <row r="252" spans="1:8" x14ac:dyDescent="0.2">
      <c r="A252" s="26"/>
      <c r="B252" s="252"/>
      <c r="C252" s="214" t="s">
        <v>5842</v>
      </c>
      <c r="D252" s="234" t="s">
        <v>1071</v>
      </c>
      <c r="E252" s="31">
        <v>2799</v>
      </c>
      <c r="F252" s="216"/>
      <c r="G252" s="31"/>
      <c r="H252" s="217"/>
    </row>
    <row r="253" spans="1:8" x14ac:dyDescent="0.2">
      <c r="A253" s="26"/>
      <c r="B253" s="252"/>
      <c r="C253" s="26" t="s">
        <v>5843</v>
      </c>
      <c r="D253" s="234" t="s">
        <v>5578</v>
      </c>
      <c r="E253" s="31">
        <v>363</v>
      </c>
      <c r="F253" s="216"/>
      <c r="G253" s="31"/>
      <c r="H253" s="217"/>
    </row>
    <row r="254" spans="1:8" x14ac:dyDescent="0.2">
      <c r="A254" s="26"/>
      <c r="B254" s="252"/>
      <c r="C254" s="26" t="s">
        <v>2318</v>
      </c>
      <c r="D254" s="234"/>
      <c r="E254" s="218">
        <v>4844</v>
      </c>
      <c r="F254" s="219"/>
      <c r="G254" s="218">
        <v>6614</v>
      </c>
      <c r="H254" s="220">
        <v>73.2</v>
      </c>
    </row>
    <row r="255" spans="1:8" x14ac:dyDescent="0.2">
      <c r="A255" s="26"/>
      <c r="B255" s="252"/>
      <c r="C255" s="26" t="s">
        <v>2318</v>
      </c>
      <c r="D255" s="234"/>
      <c r="E255" s="31"/>
      <c r="F255" s="216"/>
      <c r="G255" s="31"/>
      <c r="H255" s="217"/>
    </row>
    <row r="256" spans="1:8" x14ac:dyDescent="0.2">
      <c r="A256" s="26" t="s">
        <v>2340</v>
      </c>
      <c r="B256" s="252">
        <v>1</v>
      </c>
      <c r="C256" s="26" t="s">
        <v>5844</v>
      </c>
      <c r="D256" s="234" t="s">
        <v>1239</v>
      </c>
      <c r="E256" s="31">
        <v>184</v>
      </c>
      <c r="F256" s="216"/>
      <c r="G256" s="31"/>
      <c r="H256" s="217"/>
    </row>
    <row r="257" spans="1:8" x14ac:dyDescent="0.2">
      <c r="A257" s="26"/>
      <c r="B257" s="252"/>
      <c r="C257" s="26" t="s">
        <v>5522</v>
      </c>
      <c r="D257" s="234" t="s">
        <v>1071</v>
      </c>
      <c r="E257" s="31">
        <v>2254</v>
      </c>
      <c r="F257" s="216"/>
      <c r="G257" s="31"/>
      <c r="H257" s="217"/>
    </row>
    <row r="258" spans="1:8" x14ac:dyDescent="0.2">
      <c r="A258" s="26"/>
      <c r="B258" s="252"/>
      <c r="C258" s="26" t="s">
        <v>5845</v>
      </c>
      <c r="D258" s="234" t="s">
        <v>4877</v>
      </c>
      <c r="E258" s="224">
        <v>130</v>
      </c>
      <c r="F258" s="216"/>
      <c r="G258" s="31"/>
      <c r="H258" s="217"/>
    </row>
    <row r="259" spans="1:8" x14ac:dyDescent="0.2">
      <c r="A259" s="26"/>
      <c r="B259" s="252"/>
      <c r="C259" s="26" t="s">
        <v>5846</v>
      </c>
      <c r="D259" s="234" t="s">
        <v>5573</v>
      </c>
      <c r="E259" s="218">
        <v>698</v>
      </c>
      <c r="F259" s="219"/>
      <c r="G259" s="218"/>
      <c r="H259" s="220"/>
    </row>
    <row r="260" spans="1:8" x14ac:dyDescent="0.2">
      <c r="A260" s="26"/>
      <c r="B260" s="252"/>
      <c r="C260" s="26" t="s">
        <v>5847</v>
      </c>
      <c r="D260" s="234" t="s">
        <v>1072</v>
      </c>
      <c r="E260" s="88">
        <v>1323</v>
      </c>
      <c r="F260" s="84"/>
      <c r="G260" s="88"/>
      <c r="H260" s="235"/>
    </row>
    <row r="261" spans="1:8" x14ac:dyDescent="0.2">
      <c r="A261" s="26"/>
      <c r="B261" s="252"/>
      <c r="C261" s="26"/>
      <c r="D261" s="234"/>
      <c r="E261" s="88">
        <v>4904</v>
      </c>
      <c r="F261" s="84"/>
      <c r="G261" s="88">
        <v>6876</v>
      </c>
      <c r="H261" s="235">
        <v>71.3</v>
      </c>
    </row>
    <row r="262" spans="1:8" x14ac:dyDescent="0.2">
      <c r="A262" s="26"/>
      <c r="B262" s="252"/>
      <c r="C262" s="26"/>
      <c r="D262" s="234"/>
      <c r="E262" s="88"/>
      <c r="F262" s="84"/>
      <c r="G262" s="88"/>
      <c r="H262" s="235"/>
    </row>
    <row r="263" spans="1:8" x14ac:dyDescent="0.2">
      <c r="A263" s="26"/>
      <c r="B263" s="252">
        <v>2</v>
      </c>
      <c r="C263" s="214" t="s">
        <v>5522</v>
      </c>
      <c r="D263" s="234" t="s">
        <v>1071</v>
      </c>
      <c r="E263" s="88">
        <v>2320</v>
      </c>
      <c r="F263" s="84"/>
      <c r="G263" s="88"/>
      <c r="H263" s="235"/>
    </row>
    <row r="264" spans="1:8" x14ac:dyDescent="0.2">
      <c r="A264" s="26"/>
      <c r="B264" s="252"/>
      <c r="C264" s="26" t="s">
        <v>5846</v>
      </c>
      <c r="D264" s="234" t="s">
        <v>5573</v>
      </c>
      <c r="E264" s="88">
        <v>751</v>
      </c>
      <c r="F264" s="84"/>
      <c r="G264" s="88"/>
      <c r="H264" s="235"/>
    </row>
    <row r="265" spans="1:8" x14ac:dyDescent="0.2">
      <c r="A265" s="26"/>
      <c r="B265" s="252"/>
      <c r="C265" s="26" t="s">
        <v>5847</v>
      </c>
      <c r="D265" s="234" t="s">
        <v>1072</v>
      </c>
      <c r="E265" s="88">
        <v>1417</v>
      </c>
      <c r="F265" s="84"/>
      <c r="G265" s="88"/>
      <c r="H265" s="235"/>
    </row>
    <row r="266" spans="1:8" x14ac:dyDescent="0.2">
      <c r="A266" s="26"/>
      <c r="B266" s="252"/>
      <c r="C266" s="26" t="s">
        <v>2318</v>
      </c>
      <c r="D266" s="234"/>
      <c r="E266" s="31"/>
      <c r="F266" s="216"/>
      <c r="G266" s="31"/>
      <c r="H266" s="217"/>
    </row>
    <row r="267" spans="1:8" x14ac:dyDescent="0.2">
      <c r="A267" s="26" t="s">
        <v>2341</v>
      </c>
      <c r="B267" s="252">
        <v>1</v>
      </c>
      <c r="C267" s="26" t="s">
        <v>5848</v>
      </c>
      <c r="D267" s="234" t="s">
        <v>1239</v>
      </c>
      <c r="E267" s="31">
        <v>4381</v>
      </c>
      <c r="F267" s="216"/>
      <c r="G267" s="31"/>
      <c r="H267" s="217"/>
    </row>
    <row r="268" spans="1:8" x14ac:dyDescent="0.2">
      <c r="A268" s="26"/>
      <c r="B268" s="252"/>
      <c r="C268" s="26" t="s">
        <v>5849</v>
      </c>
      <c r="D268" s="234" t="s">
        <v>5573</v>
      </c>
      <c r="E268" s="31">
        <v>637</v>
      </c>
      <c r="F268" s="216"/>
      <c r="G268" s="31"/>
      <c r="H268" s="217"/>
    </row>
    <row r="269" spans="1:8" x14ac:dyDescent="0.2">
      <c r="A269" s="26"/>
      <c r="B269" s="252"/>
      <c r="C269" s="26" t="s">
        <v>5850</v>
      </c>
      <c r="D269" s="234" t="s">
        <v>1071</v>
      </c>
      <c r="E269" s="31">
        <v>4170</v>
      </c>
      <c r="F269" s="216"/>
      <c r="G269" s="31"/>
      <c r="H269" s="217"/>
    </row>
    <row r="270" spans="1:8" x14ac:dyDescent="0.2">
      <c r="A270" s="26"/>
      <c r="B270" s="252"/>
      <c r="C270" s="26" t="s">
        <v>2318</v>
      </c>
      <c r="D270" s="234"/>
      <c r="E270" s="218">
        <v>9637</v>
      </c>
      <c r="F270" s="219"/>
      <c r="G270" s="218">
        <v>13723</v>
      </c>
      <c r="H270" s="220">
        <v>70.2</v>
      </c>
    </row>
    <row r="271" spans="1:8" x14ac:dyDescent="0.2">
      <c r="A271" s="26"/>
      <c r="B271" s="252"/>
      <c r="C271" s="26"/>
      <c r="D271" s="234"/>
      <c r="E271" s="88"/>
      <c r="F271" s="84"/>
      <c r="G271" s="88"/>
      <c r="H271" s="235"/>
    </row>
    <row r="272" spans="1:8" x14ac:dyDescent="0.2">
      <c r="A272" s="26"/>
      <c r="B272" s="252">
        <v>2</v>
      </c>
      <c r="C272" s="214" t="s">
        <v>5848</v>
      </c>
      <c r="D272" s="234" t="s">
        <v>1239</v>
      </c>
      <c r="E272" s="88">
        <v>4786</v>
      </c>
      <c r="F272" s="84"/>
      <c r="G272" s="88"/>
      <c r="H272" s="235"/>
    </row>
    <row r="273" spans="1:8" x14ac:dyDescent="0.2">
      <c r="A273" s="26"/>
      <c r="B273" s="252"/>
      <c r="C273" s="26" t="s">
        <v>5850</v>
      </c>
      <c r="D273" s="234" t="s">
        <v>1071</v>
      </c>
      <c r="E273" s="88">
        <v>4286</v>
      </c>
      <c r="F273" s="84"/>
      <c r="G273" s="88"/>
      <c r="H273" s="235"/>
    </row>
    <row r="274" spans="1:8" x14ac:dyDescent="0.2">
      <c r="A274" s="26"/>
      <c r="B274" s="252"/>
      <c r="C274" s="26" t="s">
        <v>2318</v>
      </c>
      <c r="D274" s="234"/>
      <c r="E274" s="31"/>
      <c r="F274" s="216"/>
      <c r="G274" s="31"/>
      <c r="H274" s="217"/>
    </row>
    <row r="275" spans="1:8" x14ac:dyDescent="0.2">
      <c r="A275" s="26" t="s">
        <v>436</v>
      </c>
      <c r="B275" s="252">
        <v>1</v>
      </c>
      <c r="C275" s="26" t="s">
        <v>5851</v>
      </c>
      <c r="D275" s="234" t="s">
        <v>1071</v>
      </c>
      <c r="E275" s="31">
        <v>1632</v>
      </c>
      <c r="F275" s="216"/>
      <c r="G275" s="31"/>
      <c r="H275" s="217"/>
    </row>
    <row r="276" spans="1:8" x14ac:dyDescent="0.2">
      <c r="A276" s="26"/>
      <c r="B276" s="252"/>
      <c r="C276" s="26" t="s">
        <v>5852</v>
      </c>
      <c r="D276" s="234" t="s">
        <v>5636</v>
      </c>
      <c r="E276" s="31">
        <v>552</v>
      </c>
      <c r="F276" s="216"/>
      <c r="G276" s="31"/>
      <c r="H276" s="217"/>
    </row>
    <row r="277" spans="1:8" x14ac:dyDescent="0.2">
      <c r="A277" s="26"/>
      <c r="B277" s="252"/>
      <c r="C277" s="26" t="s">
        <v>5685</v>
      </c>
      <c r="D277" s="234" t="s">
        <v>1072</v>
      </c>
      <c r="E277" s="31">
        <v>1878</v>
      </c>
      <c r="F277" s="216"/>
      <c r="G277" s="31"/>
      <c r="H277" s="217"/>
    </row>
    <row r="278" spans="1:8" x14ac:dyDescent="0.2">
      <c r="A278" s="26"/>
      <c r="B278" s="252"/>
      <c r="C278" s="26" t="s">
        <v>5853</v>
      </c>
      <c r="D278" s="234" t="s">
        <v>5854</v>
      </c>
      <c r="E278" s="31">
        <v>270</v>
      </c>
      <c r="F278" s="216"/>
      <c r="G278" s="31"/>
      <c r="H278" s="217"/>
    </row>
    <row r="279" spans="1:8" x14ac:dyDescent="0.2">
      <c r="A279" s="26"/>
      <c r="B279" s="252"/>
      <c r="C279" s="26" t="s">
        <v>2318</v>
      </c>
      <c r="D279" s="234"/>
      <c r="E279" s="218">
        <v>4675</v>
      </c>
      <c r="F279" s="219"/>
      <c r="G279" s="218">
        <v>6446</v>
      </c>
      <c r="H279" s="220">
        <v>72.5</v>
      </c>
    </row>
    <row r="280" spans="1:8" x14ac:dyDescent="0.2">
      <c r="A280" s="26"/>
      <c r="B280" s="252"/>
      <c r="C280" s="26"/>
      <c r="D280" s="234"/>
      <c r="E280" s="88"/>
      <c r="F280" s="84"/>
      <c r="G280" s="88"/>
      <c r="H280" s="235"/>
    </row>
    <row r="281" spans="1:8" x14ac:dyDescent="0.2">
      <c r="A281" s="26"/>
      <c r="B281" s="252">
        <v>2</v>
      </c>
      <c r="C281" s="26" t="s">
        <v>5851</v>
      </c>
      <c r="D281" s="234" t="s">
        <v>1071</v>
      </c>
      <c r="E281" s="88">
        <v>1739</v>
      </c>
      <c r="F281" s="84"/>
      <c r="G281" s="88"/>
      <c r="H281" s="235"/>
    </row>
    <row r="282" spans="1:8" x14ac:dyDescent="0.2">
      <c r="A282" s="26"/>
      <c r="B282" s="252"/>
      <c r="C282" s="214" t="s">
        <v>5685</v>
      </c>
      <c r="D282" s="234" t="s">
        <v>1072</v>
      </c>
      <c r="E282" s="88">
        <v>2214</v>
      </c>
      <c r="F282" s="84"/>
      <c r="G282" s="88"/>
      <c r="H282" s="235"/>
    </row>
    <row r="283" spans="1:8" x14ac:dyDescent="0.2">
      <c r="A283" s="26"/>
      <c r="B283" s="252"/>
      <c r="C283" s="26" t="s">
        <v>2318</v>
      </c>
      <c r="D283" s="234"/>
      <c r="E283" s="31"/>
      <c r="F283" s="216"/>
      <c r="G283" s="31"/>
      <c r="H283" s="217"/>
    </row>
    <row r="284" spans="1:8" ht="12.75" customHeight="1" x14ac:dyDescent="0.2">
      <c r="A284" s="26" t="s">
        <v>441</v>
      </c>
      <c r="B284" s="252"/>
      <c r="C284" s="214" t="s">
        <v>5855</v>
      </c>
      <c r="D284" s="234" t="s">
        <v>1071</v>
      </c>
      <c r="E284" s="31">
        <v>2829</v>
      </c>
      <c r="F284" s="216"/>
      <c r="G284" s="31"/>
      <c r="H284" s="217"/>
    </row>
    <row r="285" spans="1:8" x14ac:dyDescent="0.2">
      <c r="A285" s="26"/>
      <c r="B285" s="252"/>
      <c r="C285" s="26" t="s">
        <v>5856</v>
      </c>
      <c r="D285" s="234" t="s">
        <v>5636</v>
      </c>
      <c r="E285" s="31">
        <v>417</v>
      </c>
      <c r="F285" s="216"/>
      <c r="G285" s="31"/>
      <c r="H285" s="217"/>
    </row>
    <row r="286" spans="1:8" x14ac:dyDescent="0.2">
      <c r="A286" s="26"/>
      <c r="B286" s="252"/>
      <c r="C286" s="26" t="s">
        <v>5857</v>
      </c>
      <c r="D286" s="234" t="s">
        <v>1072</v>
      </c>
      <c r="E286" s="31">
        <v>1200</v>
      </c>
      <c r="F286" s="216"/>
      <c r="G286" s="31"/>
      <c r="H286" s="217"/>
    </row>
    <row r="287" spans="1:8" x14ac:dyDescent="0.2">
      <c r="A287" s="26"/>
      <c r="B287" s="252"/>
      <c r="C287" s="26" t="s">
        <v>2318</v>
      </c>
      <c r="D287" s="234"/>
      <c r="E287" s="218">
        <v>4653</v>
      </c>
      <c r="F287" s="219"/>
      <c r="G287" s="218">
        <v>6779</v>
      </c>
      <c r="H287" s="220">
        <v>68.599999999999994</v>
      </c>
    </row>
    <row r="288" spans="1:8" x14ac:dyDescent="0.2">
      <c r="A288" s="26"/>
      <c r="B288" s="252"/>
      <c r="C288" s="26" t="s">
        <v>2318</v>
      </c>
      <c r="D288" s="234"/>
      <c r="E288" s="31"/>
      <c r="F288" s="216"/>
      <c r="G288" s="31"/>
      <c r="H288" s="217"/>
    </row>
    <row r="289" spans="1:8" x14ac:dyDescent="0.2">
      <c r="A289" s="26" t="s">
        <v>1385</v>
      </c>
      <c r="B289" s="252"/>
      <c r="C289" s="26" t="s">
        <v>5695</v>
      </c>
      <c r="D289" s="234" t="s">
        <v>5636</v>
      </c>
      <c r="E289" s="31">
        <v>483</v>
      </c>
      <c r="F289" s="216"/>
      <c r="G289" s="31"/>
      <c r="H289" s="217"/>
    </row>
    <row r="290" spans="1:8" x14ac:dyDescent="0.2">
      <c r="A290" s="26"/>
      <c r="B290" s="252"/>
      <c r="C290" s="26" t="s">
        <v>5858</v>
      </c>
      <c r="D290" s="234" t="s">
        <v>1072</v>
      </c>
      <c r="E290" s="31">
        <v>1450</v>
      </c>
      <c r="F290" s="216"/>
      <c r="G290" s="31"/>
      <c r="H290" s="217"/>
    </row>
    <row r="291" spans="1:8" x14ac:dyDescent="0.2">
      <c r="A291" s="26"/>
      <c r="B291" s="252"/>
      <c r="C291" s="214" t="s">
        <v>5353</v>
      </c>
      <c r="D291" s="234" t="s">
        <v>1071</v>
      </c>
      <c r="E291" s="31">
        <v>2748</v>
      </c>
      <c r="F291" s="216"/>
      <c r="G291" s="31"/>
      <c r="H291" s="217"/>
    </row>
    <row r="292" spans="1:8" x14ac:dyDescent="0.2">
      <c r="A292" s="26"/>
      <c r="B292" s="252"/>
      <c r="C292" s="26"/>
      <c r="D292" s="234"/>
      <c r="E292" s="218">
        <f>SUM(E289:E291)</f>
        <v>4681</v>
      </c>
      <c r="F292" s="219"/>
      <c r="G292" s="218">
        <v>6113</v>
      </c>
      <c r="H292" s="220">
        <v>73.099999999999994</v>
      </c>
    </row>
    <row r="293" spans="1:8" x14ac:dyDescent="0.2">
      <c r="A293" s="26"/>
      <c r="B293" s="252"/>
      <c r="C293" s="26" t="s">
        <v>2318</v>
      </c>
      <c r="D293" s="234"/>
      <c r="E293" s="31"/>
      <c r="F293" s="216"/>
      <c r="G293" s="31"/>
      <c r="H293" s="217"/>
    </row>
    <row r="294" spans="1:8" x14ac:dyDescent="0.2">
      <c r="A294" s="26" t="s">
        <v>5356</v>
      </c>
      <c r="B294" s="252"/>
      <c r="C294" s="214" t="s">
        <v>5357</v>
      </c>
      <c r="D294" s="234" t="s">
        <v>1071</v>
      </c>
      <c r="E294" s="31">
        <v>2369</v>
      </c>
      <c r="F294" s="216"/>
      <c r="G294" s="31"/>
      <c r="H294" s="217"/>
    </row>
    <row r="295" spans="1:8" x14ac:dyDescent="0.2">
      <c r="A295" s="26"/>
      <c r="B295" s="252"/>
      <c r="C295" s="26" t="s">
        <v>5859</v>
      </c>
      <c r="D295" s="234" t="s">
        <v>1736</v>
      </c>
      <c r="E295" s="31">
        <v>1306</v>
      </c>
      <c r="F295" s="216"/>
      <c r="G295" s="31"/>
      <c r="H295" s="217"/>
    </row>
    <row r="296" spans="1:8" x14ac:dyDescent="0.2">
      <c r="A296" s="26"/>
      <c r="B296" s="252"/>
      <c r="C296" s="26" t="s">
        <v>5860</v>
      </c>
      <c r="D296" s="234" t="s">
        <v>5573</v>
      </c>
      <c r="E296" s="31">
        <v>950</v>
      </c>
      <c r="F296" s="216"/>
      <c r="G296" s="31"/>
      <c r="H296" s="217"/>
    </row>
    <row r="297" spans="1:8" x14ac:dyDescent="0.2">
      <c r="A297" s="26"/>
      <c r="B297" s="252"/>
      <c r="C297" s="26"/>
      <c r="D297" s="234"/>
      <c r="E297" s="218">
        <v>4957</v>
      </c>
      <c r="F297" s="219"/>
      <c r="G297" s="218">
        <v>6781</v>
      </c>
      <c r="H297" s="220">
        <v>73.099999999999994</v>
      </c>
    </row>
    <row r="298" spans="1:8" x14ac:dyDescent="0.2">
      <c r="A298" s="26"/>
      <c r="B298" s="252"/>
      <c r="C298" s="26" t="s">
        <v>2318</v>
      </c>
      <c r="D298" s="234"/>
      <c r="E298" s="31"/>
      <c r="F298" s="216"/>
      <c r="G298" s="31"/>
      <c r="H298" s="217"/>
    </row>
    <row r="299" spans="1:8" x14ac:dyDescent="0.2">
      <c r="A299" s="26" t="s">
        <v>446</v>
      </c>
      <c r="B299" s="252">
        <v>1</v>
      </c>
      <c r="C299" s="26" t="s">
        <v>5861</v>
      </c>
      <c r="D299" s="234" t="s">
        <v>653</v>
      </c>
      <c r="E299" s="31">
        <v>575</v>
      </c>
      <c r="F299" s="216"/>
      <c r="G299" s="31"/>
      <c r="H299" s="217"/>
    </row>
    <row r="300" spans="1:8" x14ac:dyDescent="0.2">
      <c r="A300" s="26"/>
      <c r="B300" s="252"/>
      <c r="C300" s="26" t="s">
        <v>5862</v>
      </c>
      <c r="D300" s="234" t="s">
        <v>1071</v>
      </c>
      <c r="E300" s="31">
        <v>2509</v>
      </c>
      <c r="F300" s="216"/>
      <c r="G300" s="31"/>
      <c r="H300" s="217"/>
    </row>
    <row r="301" spans="1:8" x14ac:dyDescent="0.2">
      <c r="A301" s="26"/>
      <c r="B301" s="252"/>
      <c r="C301" s="26" t="s">
        <v>5863</v>
      </c>
      <c r="D301" s="234" t="s">
        <v>653</v>
      </c>
      <c r="E301" s="31">
        <v>71</v>
      </c>
      <c r="F301" s="216"/>
      <c r="G301" s="31"/>
      <c r="H301" s="217"/>
    </row>
    <row r="302" spans="1:8" x14ac:dyDescent="0.2">
      <c r="A302" s="26"/>
      <c r="B302" s="252"/>
      <c r="C302" s="26" t="s">
        <v>5864</v>
      </c>
      <c r="D302" s="234" t="s">
        <v>1072</v>
      </c>
      <c r="E302" s="31">
        <v>2618</v>
      </c>
      <c r="F302" s="216"/>
      <c r="G302" s="31"/>
      <c r="H302" s="217"/>
    </row>
    <row r="303" spans="1:8" x14ac:dyDescent="0.2">
      <c r="A303" s="26"/>
      <c r="B303" s="252"/>
      <c r="C303" s="26" t="s">
        <v>5865</v>
      </c>
      <c r="D303" s="234" t="s">
        <v>1239</v>
      </c>
      <c r="E303" s="31">
        <v>159</v>
      </c>
      <c r="F303" s="216"/>
      <c r="G303" s="31"/>
      <c r="H303" s="217"/>
    </row>
    <row r="304" spans="1:8" x14ac:dyDescent="0.2">
      <c r="A304" s="26"/>
      <c r="B304" s="252"/>
      <c r="C304" s="26" t="s">
        <v>2318</v>
      </c>
      <c r="D304" s="234"/>
      <c r="E304" s="218">
        <v>6231</v>
      </c>
      <c r="F304" s="219"/>
      <c r="G304" s="218">
        <v>7824</v>
      </c>
      <c r="H304" s="220">
        <v>79.599999999999994</v>
      </c>
    </row>
    <row r="305" spans="1:8" x14ac:dyDescent="0.2">
      <c r="A305" s="26"/>
      <c r="B305" s="252"/>
      <c r="C305" s="26"/>
      <c r="D305" s="234"/>
      <c r="E305" s="88"/>
      <c r="F305" s="84"/>
      <c r="G305" s="88"/>
      <c r="H305" s="235"/>
    </row>
    <row r="306" spans="1:8" x14ac:dyDescent="0.2">
      <c r="A306" s="26"/>
      <c r="B306" s="252">
        <v>2</v>
      </c>
      <c r="C306" s="26" t="s">
        <v>5862</v>
      </c>
      <c r="D306" s="234" t="s">
        <v>1071</v>
      </c>
      <c r="E306" s="88">
        <v>2610</v>
      </c>
      <c r="F306" s="84"/>
      <c r="G306" s="88"/>
      <c r="H306" s="235"/>
    </row>
    <row r="307" spans="1:8" x14ac:dyDescent="0.2">
      <c r="A307" s="26"/>
      <c r="B307" s="252"/>
      <c r="C307" s="214" t="s">
        <v>5864</v>
      </c>
      <c r="D307" s="234" t="s">
        <v>1072</v>
      </c>
      <c r="E307" s="88">
        <v>3029</v>
      </c>
      <c r="F307" s="84"/>
      <c r="G307" s="88"/>
      <c r="H307" s="235"/>
    </row>
    <row r="308" spans="1:8" x14ac:dyDescent="0.2">
      <c r="A308" s="26"/>
      <c r="B308" s="252"/>
      <c r="C308" s="26" t="s">
        <v>2318</v>
      </c>
      <c r="D308" s="234"/>
      <c r="E308" s="31"/>
      <c r="F308" s="216"/>
      <c r="G308" s="31"/>
      <c r="H308" s="217"/>
    </row>
    <row r="309" spans="1:8" x14ac:dyDescent="0.2">
      <c r="A309" s="26" t="s">
        <v>715</v>
      </c>
      <c r="B309" s="252"/>
      <c r="C309" s="214" t="s">
        <v>5866</v>
      </c>
      <c r="D309" s="234" t="s">
        <v>1071</v>
      </c>
      <c r="E309" s="31">
        <v>2892</v>
      </c>
      <c r="F309" s="216"/>
      <c r="G309" s="31"/>
      <c r="H309" s="217"/>
    </row>
    <row r="310" spans="1:8" x14ac:dyDescent="0.2">
      <c r="A310" s="26"/>
      <c r="B310" s="252"/>
      <c r="C310" s="26" t="s">
        <v>5867</v>
      </c>
      <c r="D310" s="234" t="s">
        <v>5573</v>
      </c>
      <c r="E310" s="31">
        <v>726</v>
      </c>
      <c r="F310" s="216"/>
      <c r="G310" s="31"/>
      <c r="H310" s="217"/>
    </row>
    <row r="311" spans="1:8" x14ac:dyDescent="0.2">
      <c r="A311" s="26"/>
      <c r="B311" s="252"/>
      <c r="C311" s="26" t="s">
        <v>5868</v>
      </c>
      <c r="D311" s="234" t="s">
        <v>1239</v>
      </c>
      <c r="E311" s="31">
        <v>1523</v>
      </c>
      <c r="F311" s="216"/>
      <c r="G311" s="31"/>
      <c r="H311" s="217"/>
    </row>
    <row r="312" spans="1:8" x14ac:dyDescent="0.2">
      <c r="A312" s="26"/>
      <c r="B312" s="252"/>
      <c r="C312" s="26" t="s">
        <v>2318</v>
      </c>
      <c r="D312" s="234"/>
      <c r="E312" s="218">
        <v>5393</v>
      </c>
      <c r="F312" s="219"/>
      <c r="G312" s="218">
        <v>7228</v>
      </c>
      <c r="H312" s="220">
        <v>74.599999999999994</v>
      </c>
    </row>
    <row r="313" spans="1:8" x14ac:dyDescent="0.2">
      <c r="A313" s="26"/>
      <c r="B313" s="252"/>
      <c r="C313" s="26" t="s">
        <v>2318</v>
      </c>
      <c r="D313" s="234"/>
      <c r="E313" s="31"/>
      <c r="F313" s="216"/>
      <c r="G313" s="31"/>
      <c r="H313" s="217"/>
    </row>
    <row r="314" spans="1:8" x14ac:dyDescent="0.2">
      <c r="A314" s="26" t="s">
        <v>2545</v>
      </c>
      <c r="B314" s="252"/>
      <c r="C314" s="26" t="s">
        <v>5869</v>
      </c>
      <c r="D314" s="234" t="s">
        <v>5573</v>
      </c>
      <c r="E314" s="31">
        <v>758</v>
      </c>
      <c r="F314" s="216"/>
      <c r="G314" s="31"/>
      <c r="H314" s="217"/>
    </row>
    <row r="315" spans="1:8" x14ac:dyDescent="0.2">
      <c r="A315" s="26"/>
      <c r="B315" s="252"/>
      <c r="C315" s="214" t="s">
        <v>5700</v>
      </c>
      <c r="D315" s="234" t="s">
        <v>1072</v>
      </c>
      <c r="E315" s="31">
        <v>2865</v>
      </c>
      <c r="F315" s="216"/>
      <c r="G315" s="31"/>
      <c r="H315" s="217"/>
    </row>
    <row r="316" spans="1:8" x14ac:dyDescent="0.2">
      <c r="A316" s="26"/>
      <c r="B316" s="252"/>
      <c r="C316" s="26" t="s">
        <v>5870</v>
      </c>
      <c r="D316" s="234" t="s">
        <v>1071</v>
      </c>
      <c r="E316" s="31">
        <v>1788</v>
      </c>
      <c r="F316" s="216"/>
      <c r="G316" s="31"/>
      <c r="H316" s="217"/>
    </row>
    <row r="317" spans="1:8" x14ac:dyDescent="0.2">
      <c r="A317" s="26"/>
      <c r="B317" s="252"/>
      <c r="C317" s="26" t="s">
        <v>2318</v>
      </c>
      <c r="D317" s="234"/>
      <c r="E317" s="218">
        <v>5838</v>
      </c>
      <c r="F317" s="219"/>
      <c r="G317" s="218">
        <v>8173</v>
      </c>
      <c r="H317" s="220">
        <v>71.400000000000006</v>
      </c>
    </row>
    <row r="318" spans="1:8" x14ac:dyDescent="0.2">
      <c r="A318" s="26"/>
      <c r="B318" s="252"/>
      <c r="C318" s="26"/>
      <c r="D318" s="234"/>
      <c r="E318" s="88"/>
      <c r="F318" s="84"/>
      <c r="G318" s="88"/>
      <c r="H318" s="235"/>
    </row>
    <row r="319" spans="1:8" x14ac:dyDescent="0.2">
      <c r="A319" s="26" t="s">
        <v>3262</v>
      </c>
      <c r="B319" s="252"/>
      <c r="C319" s="26" t="s">
        <v>5871</v>
      </c>
      <c r="D319" s="234" t="s">
        <v>5578</v>
      </c>
      <c r="E319" s="31">
        <v>415</v>
      </c>
      <c r="F319" s="216"/>
      <c r="G319" s="31"/>
      <c r="H319" s="217"/>
    </row>
    <row r="320" spans="1:8" x14ac:dyDescent="0.2">
      <c r="A320" s="26"/>
      <c r="B320" s="252"/>
      <c r="C320" s="214" t="s">
        <v>5347</v>
      </c>
      <c r="D320" s="234" t="s">
        <v>1071</v>
      </c>
      <c r="E320" s="31">
        <v>2761</v>
      </c>
      <c r="F320" s="216"/>
      <c r="G320" s="31"/>
      <c r="H320" s="217"/>
    </row>
    <row r="321" spans="1:8" x14ac:dyDescent="0.2">
      <c r="A321" s="26"/>
      <c r="B321" s="252"/>
      <c r="C321" s="26" t="s">
        <v>5872</v>
      </c>
      <c r="D321" s="234" t="s">
        <v>1072</v>
      </c>
      <c r="E321" s="31">
        <v>2049</v>
      </c>
      <c r="F321" s="216"/>
      <c r="G321" s="31"/>
      <c r="H321" s="217"/>
    </row>
    <row r="322" spans="1:8" x14ac:dyDescent="0.2">
      <c r="A322" s="26"/>
      <c r="B322" s="252"/>
      <c r="C322" s="26" t="s">
        <v>2318</v>
      </c>
      <c r="D322" s="234"/>
      <c r="E322" s="218">
        <v>5513</v>
      </c>
      <c r="F322" s="219"/>
      <c r="G322" s="218">
        <v>7218</v>
      </c>
      <c r="H322" s="220">
        <v>76.400000000000006</v>
      </c>
    </row>
    <row r="323" spans="1:8" x14ac:dyDescent="0.2">
      <c r="A323" s="26"/>
      <c r="B323" s="252"/>
      <c r="C323" s="26" t="s">
        <v>2318</v>
      </c>
      <c r="D323" s="234"/>
      <c r="E323" s="31"/>
      <c r="F323" s="216"/>
      <c r="G323" s="31"/>
      <c r="H323" s="217"/>
    </row>
    <row r="324" spans="1:8" x14ac:dyDescent="0.2">
      <c r="A324" s="26" t="s">
        <v>1557</v>
      </c>
      <c r="B324" s="252">
        <v>1</v>
      </c>
      <c r="C324" s="26" t="s">
        <v>5873</v>
      </c>
      <c r="D324" s="234" t="s">
        <v>1072</v>
      </c>
      <c r="E324" s="31">
        <v>1126</v>
      </c>
      <c r="F324" s="216"/>
      <c r="G324" s="31"/>
      <c r="H324" s="217"/>
    </row>
    <row r="325" spans="1:8" x14ac:dyDescent="0.2">
      <c r="A325" s="26"/>
      <c r="B325" s="252"/>
      <c r="C325" s="26" t="s">
        <v>5874</v>
      </c>
      <c r="D325" s="234" t="s">
        <v>1071</v>
      </c>
      <c r="E325" s="31">
        <v>1887</v>
      </c>
      <c r="F325" s="216"/>
      <c r="G325" s="31"/>
      <c r="H325" s="217"/>
    </row>
    <row r="326" spans="1:8" x14ac:dyDescent="0.2">
      <c r="A326" s="26"/>
      <c r="B326" s="252"/>
      <c r="C326" s="26" t="s">
        <v>5713</v>
      </c>
      <c r="D326" s="234" t="s">
        <v>5573</v>
      </c>
      <c r="E326" s="31">
        <v>1953</v>
      </c>
      <c r="F326" s="216"/>
      <c r="G326" s="31"/>
      <c r="H326" s="217"/>
    </row>
    <row r="327" spans="1:8" x14ac:dyDescent="0.2">
      <c r="A327" s="26"/>
      <c r="B327" s="252"/>
      <c r="C327" s="26" t="s">
        <v>2318</v>
      </c>
      <c r="D327" s="234"/>
      <c r="E327" s="218">
        <v>5242</v>
      </c>
      <c r="F327" s="219"/>
      <c r="G327" s="218">
        <v>6469</v>
      </c>
      <c r="H327" s="220">
        <v>81</v>
      </c>
    </row>
    <row r="328" spans="1:8" x14ac:dyDescent="0.2">
      <c r="A328" s="26"/>
      <c r="B328" s="252"/>
      <c r="C328" s="26"/>
      <c r="D328" s="234"/>
      <c r="E328" s="88"/>
      <c r="F328" s="84"/>
      <c r="G328" s="88"/>
      <c r="H328" s="235"/>
    </row>
    <row r="329" spans="1:8" x14ac:dyDescent="0.2">
      <c r="A329" s="26"/>
      <c r="B329" s="252">
        <v>2</v>
      </c>
      <c r="C329" s="26" t="s">
        <v>5874</v>
      </c>
      <c r="D329" s="234" t="s">
        <v>1071</v>
      </c>
      <c r="E329" s="88">
        <v>2197</v>
      </c>
      <c r="F329" s="84"/>
      <c r="G329" s="88"/>
      <c r="H329" s="235"/>
    </row>
    <row r="330" spans="1:8" x14ac:dyDescent="0.2">
      <c r="A330" s="26"/>
      <c r="B330" s="252"/>
      <c r="C330" s="214" t="s">
        <v>5713</v>
      </c>
      <c r="D330" s="234" t="s">
        <v>5573</v>
      </c>
      <c r="E330" s="88">
        <v>2374</v>
      </c>
      <c r="F330" s="84"/>
      <c r="G330" s="88"/>
      <c r="H330" s="235"/>
    </row>
    <row r="331" spans="1:8" x14ac:dyDescent="0.2">
      <c r="A331" s="26"/>
      <c r="B331" s="252"/>
      <c r="C331" s="26" t="s">
        <v>2318</v>
      </c>
      <c r="D331" s="234"/>
      <c r="E331" s="31"/>
      <c r="F331" s="216"/>
      <c r="G331" s="31"/>
      <c r="H331" s="217"/>
    </row>
    <row r="332" spans="1:8" x14ac:dyDescent="0.2">
      <c r="A332" s="26" t="s">
        <v>1309</v>
      </c>
      <c r="B332" s="252">
        <v>1</v>
      </c>
      <c r="C332" s="26" t="s">
        <v>5393</v>
      </c>
      <c r="D332" s="234" t="s">
        <v>1071</v>
      </c>
      <c r="E332" s="31">
        <v>2018</v>
      </c>
      <c r="F332" s="216"/>
      <c r="G332" s="31"/>
      <c r="H332" s="217"/>
    </row>
    <row r="333" spans="1:8" x14ac:dyDescent="0.2">
      <c r="A333" s="26"/>
      <c r="B333" s="252"/>
      <c r="C333" s="26" t="s">
        <v>5719</v>
      </c>
      <c r="D333" s="234" t="s">
        <v>5578</v>
      </c>
      <c r="E333" s="31">
        <v>307</v>
      </c>
      <c r="F333" s="216"/>
      <c r="G333" s="31"/>
      <c r="H333" s="217"/>
    </row>
    <row r="334" spans="1:8" x14ac:dyDescent="0.2">
      <c r="A334" s="26"/>
      <c r="B334" s="252"/>
      <c r="C334" s="26" t="s">
        <v>5875</v>
      </c>
      <c r="D334" s="234" t="s">
        <v>5573</v>
      </c>
      <c r="E334" s="31">
        <v>684</v>
      </c>
      <c r="F334" s="216"/>
      <c r="G334" s="31"/>
      <c r="H334" s="217"/>
    </row>
    <row r="335" spans="1:8" x14ac:dyDescent="0.2">
      <c r="A335" s="26"/>
      <c r="B335" s="252"/>
      <c r="C335" s="26" t="s">
        <v>5876</v>
      </c>
      <c r="D335" s="234" t="s">
        <v>1072</v>
      </c>
      <c r="E335" s="31">
        <v>1728</v>
      </c>
      <c r="F335" s="216"/>
      <c r="G335" s="31"/>
      <c r="H335" s="217"/>
    </row>
    <row r="336" spans="1:8" x14ac:dyDescent="0.2">
      <c r="A336" s="26"/>
      <c r="B336" s="252"/>
      <c r="C336" s="26" t="s">
        <v>2318</v>
      </c>
      <c r="D336" s="234"/>
      <c r="E336" s="218">
        <v>5047</v>
      </c>
      <c r="F336" s="219"/>
      <c r="G336" s="218">
        <v>6692</v>
      </c>
      <c r="H336" s="220">
        <v>75.400000000000006</v>
      </c>
    </row>
    <row r="337" spans="1:8" x14ac:dyDescent="0.2">
      <c r="A337" s="26"/>
      <c r="B337" s="252"/>
      <c r="C337" s="26"/>
      <c r="D337" s="234"/>
      <c r="E337" s="88"/>
      <c r="F337" s="84"/>
      <c r="G337" s="88"/>
      <c r="H337" s="235"/>
    </row>
    <row r="338" spans="1:8" x14ac:dyDescent="0.2">
      <c r="A338" s="26"/>
      <c r="B338" s="252">
        <v>2</v>
      </c>
      <c r="C338" s="26" t="s">
        <v>5393</v>
      </c>
      <c r="D338" s="234" t="s">
        <v>1071</v>
      </c>
      <c r="E338" s="88">
        <v>2111</v>
      </c>
      <c r="F338" s="84"/>
      <c r="G338" s="88"/>
      <c r="H338" s="235"/>
    </row>
    <row r="339" spans="1:8" x14ac:dyDescent="0.2">
      <c r="A339" s="26"/>
      <c r="B339" s="252"/>
      <c r="C339" s="214" t="s">
        <v>5876</v>
      </c>
      <c r="D339" s="234" t="s">
        <v>1072</v>
      </c>
      <c r="E339" s="88">
        <v>2131</v>
      </c>
      <c r="F339" s="84"/>
      <c r="G339" s="88"/>
      <c r="H339" s="235"/>
    </row>
    <row r="340" spans="1:8" x14ac:dyDescent="0.2">
      <c r="A340" s="26"/>
      <c r="B340" s="252"/>
      <c r="C340" s="26" t="s">
        <v>2318</v>
      </c>
      <c r="D340" s="234"/>
      <c r="E340" s="31"/>
      <c r="F340" s="216"/>
      <c r="G340" s="31"/>
      <c r="H340" s="217"/>
    </row>
    <row r="341" spans="1:8" x14ac:dyDescent="0.2">
      <c r="A341" s="26" t="s">
        <v>2564</v>
      </c>
      <c r="B341" s="252"/>
      <c r="C341" s="26" t="s">
        <v>5877</v>
      </c>
      <c r="D341" s="234" t="s">
        <v>5573</v>
      </c>
      <c r="E341" s="31">
        <v>570</v>
      </c>
      <c r="F341" s="216"/>
      <c r="G341" s="31"/>
      <c r="H341" s="217"/>
    </row>
    <row r="342" spans="1:8" x14ac:dyDescent="0.2">
      <c r="A342" s="26"/>
      <c r="B342" s="252"/>
      <c r="C342" s="214" t="s">
        <v>5396</v>
      </c>
      <c r="D342" s="234" t="s">
        <v>1071</v>
      </c>
      <c r="E342" s="31">
        <v>2637</v>
      </c>
      <c r="F342" s="216"/>
      <c r="G342" s="31"/>
      <c r="H342" s="217"/>
    </row>
    <row r="343" spans="1:8" x14ac:dyDescent="0.2">
      <c r="A343" s="26"/>
      <c r="B343" s="252"/>
      <c r="C343" s="26" t="s">
        <v>5878</v>
      </c>
      <c r="D343" s="234" t="s">
        <v>1072</v>
      </c>
      <c r="E343" s="31">
        <v>1537</v>
      </c>
      <c r="F343" s="216"/>
      <c r="G343" s="31"/>
      <c r="H343" s="217"/>
    </row>
    <row r="344" spans="1:8" x14ac:dyDescent="0.2">
      <c r="A344" s="26"/>
      <c r="B344" s="252"/>
      <c r="C344" s="26" t="s">
        <v>5879</v>
      </c>
      <c r="D344" s="234" t="s">
        <v>5578</v>
      </c>
      <c r="E344" s="31">
        <v>63</v>
      </c>
      <c r="F344" s="216"/>
      <c r="G344" s="31"/>
      <c r="H344" s="217"/>
    </row>
    <row r="345" spans="1:8" x14ac:dyDescent="0.2">
      <c r="A345" s="26"/>
      <c r="B345" s="252"/>
      <c r="C345" s="26" t="s">
        <v>2318</v>
      </c>
      <c r="D345" s="234"/>
      <c r="E345" s="218">
        <v>5355</v>
      </c>
      <c r="F345" s="219"/>
      <c r="G345" s="218">
        <v>7434</v>
      </c>
      <c r="H345" s="220">
        <v>72</v>
      </c>
    </row>
    <row r="346" spans="1:8" x14ac:dyDescent="0.2">
      <c r="A346" s="26"/>
      <c r="B346" s="252"/>
      <c r="C346" s="26"/>
      <c r="D346" s="234"/>
      <c r="E346" s="88"/>
      <c r="F346" s="84"/>
      <c r="G346" s="88"/>
      <c r="H346" s="235"/>
    </row>
    <row r="347" spans="1:8" x14ac:dyDescent="0.2">
      <c r="A347" s="26" t="s">
        <v>1199</v>
      </c>
      <c r="B347" s="252"/>
      <c r="C347" s="26" t="s">
        <v>5880</v>
      </c>
      <c r="D347" s="234" t="s">
        <v>1072</v>
      </c>
      <c r="E347" s="31">
        <v>1178</v>
      </c>
      <c r="F347" s="216"/>
      <c r="G347" s="31"/>
      <c r="H347" s="217"/>
    </row>
    <row r="348" spans="1:8" x14ac:dyDescent="0.2">
      <c r="A348" s="26"/>
      <c r="B348" s="252"/>
      <c r="C348" s="214" t="s">
        <v>5722</v>
      </c>
      <c r="D348" s="234" t="s">
        <v>1071</v>
      </c>
      <c r="E348" s="31">
        <v>1917</v>
      </c>
      <c r="F348" s="216"/>
      <c r="G348" s="31"/>
      <c r="H348" s="217"/>
    </row>
    <row r="349" spans="1:8" x14ac:dyDescent="0.2">
      <c r="A349" s="26"/>
      <c r="B349" s="252"/>
      <c r="C349" s="26" t="s">
        <v>2318</v>
      </c>
      <c r="D349" s="234"/>
      <c r="E349" s="218">
        <v>3238</v>
      </c>
      <c r="F349" s="219"/>
      <c r="G349" s="218">
        <v>5808</v>
      </c>
      <c r="H349" s="220">
        <v>55.8</v>
      </c>
    </row>
    <row r="350" spans="1:8" x14ac:dyDescent="0.2">
      <c r="A350" s="26"/>
      <c r="B350" s="252"/>
      <c r="C350" s="26"/>
      <c r="D350" s="234"/>
      <c r="E350" s="88"/>
      <c r="F350" s="84"/>
      <c r="G350" s="88"/>
      <c r="H350" s="235"/>
    </row>
    <row r="351" spans="1:8" x14ac:dyDescent="0.2">
      <c r="A351" s="26" t="s">
        <v>1311</v>
      </c>
      <c r="B351" s="252">
        <v>1</v>
      </c>
      <c r="C351" s="26" t="s">
        <v>5881</v>
      </c>
      <c r="D351" s="234" t="s">
        <v>5573</v>
      </c>
      <c r="E351" s="31">
        <v>892</v>
      </c>
      <c r="F351" s="216"/>
      <c r="G351" s="31"/>
      <c r="H351" s="217"/>
    </row>
    <row r="352" spans="1:8" x14ac:dyDescent="0.2">
      <c r="A352" s="26"/>
      <c r="B352" s="252"/>
      <c r="C352" s="26" t="s">
        <v>5882</v>
      </c>
      <c r="D352" s="234" t="s">
        <v>1239</v>
      </c>
      <c r="E352" s="31">
        <v>258</v>
      </c>
      <c r="F352" s="216"/>
      <c r="G352" s="31"/>
      <c r="H352" s="217"/>
    </row>
    <row r="353" spans="1:8" x14ac:dyDescent="0.2">
      <c r="A353" s="26"/>
      <c r="B353" s="252"/>
      <c r="C353" s="26" t="s">
        <v>5883</v>
      </c>
      <c r="D353" s="234" t="s">
        <v>1072</v>
      </c>
      <c r="E353" s="31">
        <v>1636</v>
      </c>
      <c r="F353" s="216"/>
      <c r="G353" s="31"/>
      <c r="H353" s="217"/>
    </row>
    <row r="354" spans="1:8" x14ac:dyDescent="0.2">
      <c r="A354" s="26"/>
      <c r="B354" s="252"/>
      <c r="C354" s="26" t="s">
        <v>5724</v>
      </c>
      <c r="D354" s="234" t="s">
        <v>1071</v>
      </c>
      <c r="E354" s="31">
        <v>2695</v>
      </c>
      <c r="F354" s="216"/>
      <c r="G354" s="31"/>
      <c r="H354" s="217"/>
    </row>
    <row r="355" spans="1:8" x14ac:dyDescent="0.2">
      <c r="A355" s="26"/>
      <c r="B355" s="252"/>
      <c r="C355" s="26" t="s">
        <v>2318</v>
      </c>
      <c r="D355" s="234"/>
      <c r="E355" s="218">
        <v>5880</v>
      </c>
      <c r="F355" s="219"/>
      <c r="G355" s="218">
        <v>8135</v>
      </c>
      <c r="H355" s="220">
        <v>72.3</v>
      </c>
    </row>
    <row r="356" spans="1:8" x14ac:dyDescent="0.2">
      <c r="A356" s="26"/>
      <c r="B356" s="252"/>
      <c r="C356" s="26"/>
      <c r="D356" s="234"/>
      <c r="E356" s="88"/>
      <c r="F356" s="84"/>
      <c r="G356" s="88"/>
      <c r="H356" s="235"/>
    </row>
    <row r="357" spans="1:8" x14ac:dyDescent="0.2">
      <c r="A357" s="26"/>
      <c r="B357" s="252">
        <v>2</v>
      </c>
      <c r="C357" s="26" t="s">
        <v>5881</v>
      </c>
      <c r="D357" s="234" t="s">
        <v>5573</v>
      </c>
      <c r="E357" s="88">
        <v>942</v>
      </c>
      <c r="F357" s="84"/>
      <c r="G357" s="88"/>
      <c r="H357" s="235"/>
    </row>
    <row r="358" spans="1:8" x14ac:dyDescent="0.2">
      <c r="A358" s="26"/>
      <c r="B358" s="252"/>
      <c r="C358" s="26" t="s">
        <v>5884</v>
      </c>
      <c r="D358" s="234" t="s">
        <v>1072</v>
      </c>
      <c r="E358" s="88">
        <v>1731</v>
      </c>
      <c r="F358" s="84"/>
      <c r="G358" s="88"/>
      <c r="H358" s="235"/>
    </row>
    <row r="359" spans="1:8" x14ac:dyDescent="0.2">
      <c r="A359" s="26"/>
      <c r="B359" s="252"/>
      <c r="C359" s="214" t="s">
        <v>5724</v>
      </c>
      <c r="D359" s="234" t="s">
        <v>1071</v>
      </c>
      <c r="E359" s="88">
        <v>2756</v>
      </c>
      <c r="F359" s="84"/>
      <c r="G359" s="88"/>
      <c r="H359" s="235"/>
    </row>
    <row r="360" spans="1:8" x14ac:dyDescent="0.2">
      <c r="A360" s="26"/>
      <c r="B360" s="252"/>
      <c r="C360" s="26" t="s">
        <v>2318</v>
      </c>
      <c r="D360" s="234"/>
      <c r="E360" s="31"/>
      <c r="F360" s="216"/>
      <c r="G360" s="31"/>
      <c r="H360" s="217"/>
    </row>
    <row r="361" spans="1:8" x14ac:dyDescent="0.2">
      <c r="A361" s="26" t="s">
        <v>5728</v>
      </c>
      <c r="B361" s="252">
        <v>1</v>
      </c>
      <c r="C361" s="26" t="s">
        <v>5885</v>
      </c>
      <c r="D361" s="234" t="s">
        <v>5573</v>
      </c>
      <c r="E361" s="31">
        <v>1729</v>
      </c>
      <c r="F361" s="216"/>
      <c r="G361" s="31"/>
      <c r="H361" s="217"/>
    </row>
    <row r="362" spans="1:8" x14ac:dyDescent="0.2">
      <c r="A362" s="26"/>
      <c r="B362" s="252"/>
      <c r="C362" s="26" t="s">
        <v>5886</v>
      </c>
      <c r="D362" s="234" t="s">
        <v>1071</v>
      </c>
      <c r="E362" s="31">
        <v>1580</v>
      </c>
      <c r="F362" s="216"/>
      <c r="G362" s="31"/>
      <c r="H362" s="217"/>
    </row>
    <row r="363" spans="1:8" x14ac:dyDescent="0.2">
      <c r="A363" s="26"/>
      <c r="B363" s="252"/>
      <c r="C363" s="26" t="s">
        <v>5887</v>
      </c>
      <c r="D363" s="234" t="s">
        <v>1072</v>
      </c>
      <c r="E363" s="31">
        <v>756</v>
      </c>
      <c r="F363" s="216"/>
      <c r="G363" s="31"/>
      <c r="H363" s="217"/>
    </row>
    <row r="364" spans="1:8" x14ac:dyDescent="0.2">
      <c r="A364" s="26"/>
      <c r="B364" s="252"/>
      <c r="C364" s="26" t="s">
        <v>2318</v>
      </c>
      <c r="D364" s="234"/>
      <c r="E364" s="218">
        <v>4268</v>
      </c>
      <c r="F364" s="219"/>
      <c r="G364" s="218">
        <v>5654</v>
      </c>
      <c r="H364" s="220">
        <v>75.5</v>
      </c>
    </row>
    <row r="365" spans="1:8" x14ac:dyDescent="0.2">
      <c r="A365" s="26"/>
      <c r="B365" s="252"/>
      <c r="C365" s="26"/>
      <c r="D365" s="234"/>
      <c r="E365" s="88"/>
      <c r="F365" s="84"/>
      <c r="G365" s="88"/>
      <c r="H365" s="235"/>
    </row>
    <row r="366" spans="1:8" x14ac:dyDescent="0.2">
      <c r="A366" s="26"/>
      <c r="B366" s="252">
        <v>2</v>
      </c>
      <c r="C366" s="214" t="s">
        <v>5885</v>
      </c>
      <c r="D366" s="234" t="s">
        <v>5573</v>
      </c>
      <c r="E366" s="88">
        <v>2108</v>
      </c>
      <c r="F366" s="84"/>
      <c r="G366" s="88"/>
      <c r="H366" s="235"/>
    </row>
    <row r="367" spans="1:8" x14ac:dyDescent="0.2">
      <c r="A367" s="26"/>
      <c r="B367" s="252"/>
      <c r="C367" s="26" t="s">
        <v>5888</v>
      </c>
      <c r="D367" s="234" t="s">
        <v>1071</v>
      </c>
      <c r="E367" s="88">
        <v>1701</v>
      </c>
      <c r="F367" s="84"/>
      <c r="G367" s="88"/>
      <c r="H367" s="235"/>
    </row>
    <row r="368" spans="1:8" x14ac:dyDescent="0.2">
      <c r="A368" s="26"/>
      <c r="B368" s="252"/>
      <c r="C368" s="234"/>
      <c r="D368" s="234"/>
      <c r="E368" s="223"/>
      <c r="F368" s="217"/>
      <c r="G368" s="223"/>
      <c r="H368" s="217"/>
    </row>
    <row r="369" spans="1:8" x14ac:dyDescent="0.2">
      <c r="A369" s="145" t="s">
        <v>1131</v>
      </c>
      <c r="B369" s="257"/>
      <c r="C369" s="145"/>
      <c r="D369" s="146"/>
      <c r="E369" s="147">
        <v>401018</v>
      </c>
      <c r="F369" s="148"/>
      <c r="G369" s="147">
        <v>589409</v>
      </c>
      <c r="H369" s="148">
        <v>68</v>
      </c>
    </row>
    <row r="370" spans="1:8" x14ac:dyDescent="0.2">
      <c r="A370" s="77"/>
      <c r="B370" s="258"/>
      <c r="C370" s="77"/>
      <c r="D370" s="78"/>
      <c r="E370" s="88"/>
      <c r="F370" s="84"/>
      <c r="G370" s="88"/>
      <c r="H370" s="84"/>
    </row>
    <row r="371" spans="1:8" x14ac:dyDescent="0.2">
      <c r="A371" s="227" t="s">
        <v>1289</v>
      </c>
      <c r="B371" s="259"/>
      <c r="C371" s="228"/>
      <c r="D371" s="228"/>
      <c r="E371" s="229"/>
      <c r="F371" s="230"/>
      <c r="G371" s="231"/>
      <c r="H371" s="232"/>
    </row>
    <row r="372" spans="1:8" x14ac:dyDescent="0.2">
      <c r="A372" s="276" t="s">
        <v>2934</v>
      </c>
      <c r="B372" s="276"/>
      <c r="C372" s="276"/>
      <c r="D372" s="276"/>
      <c r="E372" s="276"/>
      <c r="F372" s="276"/>
      <c r="G372" s="276"/>
      <c r="H372" s="276"/>
    </row>
    <row r="373" spans="1:8" x14ac:dyDescent="0.2">
      <c r="A373" s="276" t="s">
        <v>4764</v>
      </c>
      <c r="B373" s="276"/>
      <c r="C373" s="276"/>
      <c r="D373" s="276"/>
      <c r="E373" s="276"/>
      <c r="F373" s="276"/>
      <c r="G373" s="276"/>
      <c r="H373" s="276"/>
    </row>
    <row r="374" spans="1:8" x14ac:dyDescent="0.2">
      <c r="A374" s="26" t="s">
        <v>4774</v>
      </c>
      <c r="B374" s="252"/>
      <c r="C374" s="26"/>
      <c r="D374" s="234"/>
      <c r="E374" s="31"/>
      <c r="F374" s="216"/>
      <c r="G374" s="31"/>
      <c r="H374" s="217"/>
    </row>
  </sheetData>
  <mergeCells count="4">
    <mergeCell ref="A1:H1"/>
    <mergeCell ref="F2:H2"/>
    <mergeCell ref="A372:H372"/>
    <mergeCell ref="A373:H37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7"/>
  <sheetViews>
    <sheetView topLeftCell="A316" workbookViewId="0">
      <selection activeCell="A359" sqref="A359"/>
    </sheetView>
  </sheetViews>
  <sheetFormatPr defaultRowHeight="12.75" x14ac:dyDescent="0.2"/>
  <cols>
    <col min="1" max="1" width="11.85546875" style="209" customWidth="1"/>
    <col min="2" max="2" width="9.140625" style="209"/>
    <col min="3" max="3" width="23.140625" style="209" bestFit="1" customWidth="1"/>
    <col min="4" max="4" width="22.28515625" style="209" bestFit="1" customWidth="1"/>
    <col min="5" max="5" width="12.85546875" style="209" customWidth="1"/>
    <col min="6" max="16384" width="9.140625" style="209"/>
  </cols>
  <sheetData>
    <row r="1" spans="1:10" ht="15.75" x14ac:dyDescent="0.2">
      <c r="A1" s="270" t="s">
        <v>2332</v>
      </c>
      <c r="B1" s="270"/>
      <c r="C1" s="270"/>
      <c r="D1" s="270"/>
      <c r="E1" s="270"/>
      <c r="F1" s="270"/>
      <c r="G1" s="270"/>
      <c r="H1" s="270"/>
    </row>
    <row r="2" spans="1:10" ht="13.5" thickBot="1" x14ac:dyDescent="0.25">
      <c r="A2" s="210" t="s">
        <v>4782</v>
      </c>
      <c r="B2" s="210"/>
      <c r="C2" s="210" t="s">
        <v>5570</v>
      </c>
      <c r="D2" s="211" t="s">
        <v>5184</v>
      </c>
      <c r="E2" s="212"/>
      <c r="F2" s="275" t="s">
        <v>2933</v>
      </c>
      <c r="G2" s="275"/>
      <c r="H2" s="275"/>
    </row>
    <row r="3" spans="1:10" ht="39" thickBot="1" x14ac:dyDescent="0.25">
      <c r="A3" s="58" t="s">
        <v>1284</v>
      </c>
      <c r="B3" s="59"/>
      <c r="C3" s="59" t="s">
        <v>1300</v>
      </c>
      <c r="D3" s="59" t="s">
        <v>2652</v>
      </c>
      <c r="E3" s="73" t="s">
        <v>4765</v>
      </c>
      <c r="F3" s="74" t="s">
        <v>1286</v>
      </c>
      <c r="G3" s="73" t="s">
        <v>1287</v>
      </c>
      <c r="H3" s="74" t="s">
        <v>4766</v>
      </c>
      <c r="J3" s="213"/>
    </row>
    <row r="4" spans="1:10" x14ac:dyDescent="0.2">
      <c r="A4" s="247"/>
      <c r="B4" s="248"/>
      <c r="C4" s="248"/>
      <c r="D4" s="248"/>
      <c r="E4" s="249"/>
      <c r="F4" s="250"/>
      <c r="G4" s="249"/>
      <c r="H4" s="250"/>
      <c r="J4" s="213"/>
    </row>
    <row r="5" spans="1:10" x14ac:dyDescent="0.2">
      <c r="A5" s="60"/>
      <c r="B5" s="60"/>
      <c r="C5" s="61"/>
      <c r="D5" s="66"/>
      <c r="E5" s="87"/>
      <c r="F5" s="80"/>
      <c r="G5" s="87"/>
      <c r="H5" s="80"/>
    </row>
    <row r="6" spans="1:10" x14ac:dyDescent="0.2">
      <c r="A6" s="152" t="s">
        <v>5571</v>
      </c>
      <c r="B6" s="243"/>
      <c r="C6" s="244" t="s">
        <v>5572</v>
      </c>
      <c r="D6" s="242" t="s">
        <v>1071</v>
      </c>
      <c r="E6" s="245">
        <v>2450</v>
      </c>
      <c r="F6" s="246">
        <v>55.4</v>
      </c>
      <c r="G6" s="245"/>
      <c r="H6" s="246"/>
    </row>
    <row r="7" spans="1:10" x14ac:dyDescent="0.2">
      <c r="A7" s="243"/>
      <c r="B7" s="243"/>
      <c r="C7" s="241" t="s">
        <v>5187</v>
      </c>
      <c r="D7" s="234" t="s">
        <v>5573</v>
      </c>
      <c r="E7" s="245">
        <v>404</v>
      </c>
      <c r="F7" s="246">
        <v>7.4</v>
      </c>
      <c r="G7" s="245"/>
      <c r="H7" s="246"/>
    </row>
    <row r="8" spans="1:10" x14ac:dyDescent="0.2">
      <c r="A8" s="243"/>
      <c r="B8" s="243"/>
      <c r="C8" s="241" t="s">
        <v>5531</v>
      </c>
      <c r="D8" s="234" t="s">
        <v>1072</v>
      </c>
      <c r="E8" s="245">
        <v>1408</v>
      </c>
      <c r="F8" s="246"/>
      <c r="G8" s="245"/>
      <c r="H8" s="246"/>
    </row>
    <row r="9" spans="1:10" x14ac:dyDescent="0.2">
      <c r="A9" s="243"/>
      <c r="B9" s="243"/>
      <c r="C9" s="241" t="s">
        <v>2318</v>
      </c>
      <c r="D9" s="242"/>
      <c r="E9" s="245">
        <v>4273</v>
      </c>
      <c r="F9" s="246">
        <v>100</v>
      </c>
      <c r="G9" s="245">
        <v>5573</v>
      </c>
      <c r="H9" s="246">
        <v>76.7</v>
      </c>
    </row>
    <row r="10" spans="1:10" x14ac:dyDescent="0.2">
      <c r="A10" s="60"/>
      <c r="B10" s="60"/>
      <c r="C10" s="61"/>
      <c r="D10" s="66"/>
      <c r="E10" s="87"/>
      <c r="F10" s="80"/>
      <c r="G10" s="87"/>
      <c r="H10" s="80"/>
    </row>
    <row r="11" spans="1:10" x14ac:dyDescent="0.2">
      <c r="A11" s="242" t="s">
        <v>3267</v>
      </c>
      <c r="B11" s="243"/>
      <c r="C11" s="244" t="s">
        <v>5185</v>
      </c>
      <c r="D11" s="242" t="s">
        <v>1071</v>
      </c>
      <c r="E11" s="245">
        <v>2354</v>
      </c>
      <c r="F11" s="246">
        <v>55.4</v>
      </c>
      <c r="G11" s="245"/>
      <c r="H11" s="246"/>
    </row>
    <row r="12" spans="1:10" x14ac:dyDescent="0.2">
      <c r="A12" s="243"/>
      <c r="B12" s="243"/>
      <c r="C12" s="241" t="s">
        <v>5574</v>
      </c>
      <c r="D12" s="234" t="s">
        <v>1072</v>
      </c>
      <c r="E12" s="245">
        <v>358</v>
      </c>
      <c r="F12" s="246">
        <v>7.4</v>
      </c>
      <c r="G12" s="245"/>
      <c r="H12" s="246"/>
    </row>
    <row r="13" spans="1:10" x14ac:dyDescent="0.2">
      <c r="A13" s="243"/>
      <c r="B13" s="243"/>
      <c r="C13" s="241" t="s">
        <v>5575</v>
      </c>
      <c r="D13" s="234" t="s">
        <v>1736</v>
      </c>
      <c r="E13" s="245">
        <v>1248</v>
      </c>
      <c r="F13" s="246"/>
      <c r="G13" s="245"/>
      <c r="H13" s="246"/>
    </row>
    <row r="14" spans="1:10" x14ac:dyDescent="0.2">
      <c r="A14" s="243"/>
      <c r="B14" s="243"/>
      <c r="C14" s="241" t="s">
        <v>2318</v>
      </c>
      <c r="D14" s="242"/>
      <c r="E14" s="245">
        <v>3971</v>
      </c>
      <c r="F14" s="246">
        <v>100</v>
      </c>
      <c r="G14" s="245">
        <v>6240</v>
      </c>
      <c r="H14" s="246">
        <v>63.6</v>
      </c>
    </row>
    <row r="15" spans="1:10" x14ac:dyDescent="0.2">
      <c r="A15" s="237"/>
      <c r="B15" s="237"/>
      <c r="C15" s="76"/>
      <c r="D15" s="238"/>
      <c r="E15" s="239"/>
      <c r="F15" s="240"/>
      <c r="G15" s="239"/>
      <c r="H15" s="240"/>
    </row>
    <row r="16" spans="1:10" x14ac:dyDescent="0.2">
      <c r="A16" s="26" t="s">
        <v>2266</v>
      </c>
      <c r="B16" s="26"/>
      <c r="C16" s="214" t="s">
        <v>5189</v>
      </c>
      <c r="D16" s="234" t="s">
        <v>1071</v>
      </c>
      <c r="E16" s="31">
        <v>2333</v>
      </c>
      <c r="F16" s="216">
        <v>55.4</v>
      </c>
      <c r="G16" s="31"/>
      <c r="H16" s="217"/>
    </row>
    <row r="17" spans="1:8" x14ac:dyDescent="0.2">
      <c r="A17" s="26"/>
      <c r="B17" s="26"/>
      <c r="C17" s="26" t="s">
        <v>5576</v>
      </c>
      <c r="D17" s="234" t="s">
        <v>1072</v>
      </c>
      <c r="E17" s="31">
        <v>1069</v>
      </c>
      <c r="F17" s="216">
        <v>7.4</v>
      </c>
      <c r="G17" s="31"/>
      <c r="H17" s="217"/>
    </row>
    <row r="18" spans="1:8" x14ac:dyDescent="0.2">
      <c r="A18" s="26"/>
      <c r="B18" s="26"/>
      <c r="C18" s="26" t="s">
        <v>5577</v>
      </c>
      <c r="D18" s="234" t="s">
        <v>5578</v>
      </c>
      <c r="E18" s="31">
        <v>188</v>
      </c>
      <c r="F18" s="216"/>
      <c r="G18" s="31"/>
      <c r="H18" s="217"/>
    </row>
    <row r="19" spans="1:8" x14ac:dyDescent="0.2">
      <c r="A19" s="26"/>
      <c r="B19" s="26"/>
      <c r="C19" s="26" t="s">
        <v>5579</v>
      </c>
      <c r="D19" s="234" t="s">
        <v>1736</v>
      </c>
      <c r="E19" s="31">
        <v>707</v>
      </c>
      <c r="F19" s="216">
        <v>13.2</v>
      </c>
      <c r="G19" s="31"/>
      <c r="H19" s="217"/>
    </row>
    <row r="20" spans="1:8" x14ac:dyDescent="0.2">
      <c r="A20" s="26"/>
      <c r="B20" s="26"/>
      <c r="C20" s="26" t="s">
        <v>2318</v>
      </c>
      <c r="D20" s="234"/>
      <c r="E20" s="218">
        <v>4307</v>
      </c>
      <c r="F20" s="219">
        <v>100</v>
      </c>
      <c r="G20" s="218">
        <v>5999</v>
      </c>
      <c r="H20" s="220">
        <v>71.8</v>
      </c>
    </row>
    <row r="21" spans="1:8" x14ac:dyDescent="0.2">
      <c r="A21" s="26"/>
      <c r="B21" s="26"/>
      <c r="C21" s="26" t="s">
        <v>2318</v>
      </c>
      <c r="D21" s="234"/>
      <c r="E21" s="31"/>
      <c r="F21" s="216"/>
      <c r="G21" s="31"/>
      <c r="H21" s="217"/>
    </row>
    <row r="22" spans="1:8" x14ac:dyDescent="0.2">
      <c r="A22" s="26" t="s">
        <v>1008</v>
      </c>
      <c r="B22" s="26"/>
      <c r="C22" s="214" t="s">
        <v>5737</v>
      </c>
      <c r="D22" s="234" t="s">
        <v>5195</v>
      </c>
      <c r="E22" s="31">
        <v>2279</v>
      </c>
      <c r="F22" s="216">
        <v>17.5</v>
      </c>
      <c r="G22" s="31"/>
      <c r="H22" s="217"/>
    </row>
    <row r="23" spans="1:8" x14ac:dyDescent="0.2">
      <c r="A23" s="26"/>
      <c r="B23" s="26"/>
      <c r="C23" s="26" t="s">
        <v>5580</v>
      </c>
      <c r="D23" s="234" t="s">
        <v>1071</v>
      </c>
      <c r="E23" s="31">
        <v>2208</v>
      </c>
      <c r="F23" s="216">
        <v>9.1</v>
      </c>
      <c r="G23" s="31"/>
      <c r="H23" s="217"/>
    </row>
    <row r="24" spans="1:8" x14ac:dyDescent="0.2">
      <c r="A24" s="26"/>
      <c r="B24" s="26"/>
      <c r="C24" s="26" t="s">
        <v>2318</v>
      </c>
      <c r="D24" s="234"/>
      <c r="E24" s="218">
        <v>4512</v>
      </c>
      <c r="F24" s="219">
        <f>SUM(F22:F23)</f>
        <v>26.6</v>
      </c>
      <c r="G24" s="218">
        <v>7136</v>
      </c>
      <c r="H24" s="220">
        <v>63.2</v>
      </c>
    </row>
    <row r="25" spans="1:8" x14ac:dyDescent="0.2">
      <c r="A25" s="26"/>
      <c r="B25" s="26"/>
      <c r="C25" s="26" t="s">
        <v>2318</v>
      </c>
      <c r="D25" s="234"/>
      <c r="E25" s="31"/>
      <c r="F25" s="216"/>
      <c r="G25" s="31"/>
      <c r="H25" s="217"/>
    </row>
    <row r="26" spans="1:8" x14ac:dyDescent="0.2">
      <c r="A26" s="26" t="s">
        <v>1974</v>
      </c>
      <c r="B26" s="26"/>
      <c r="C26" s="214" t="s">
        <v>5581</v>
      </c>
      <c r="D26" s="234" t="s">
        <v>1071</v>
      </c>
      <c r="E26" s="31">
        <v>2465</v>
      </c>
      <c r="F26" s="216">
        <v>3</v>
      </c>
      <c r="G26" s="31"/>
      <c r="H26" s="217"/>
    </row>
    <row r="27" spans="1:8" x14ac:dyDescent="0.2">
      <c r="A27" s="26"/>
      <c r="B27" s="26"/>
      <c r="C27" s="26" t="s">
        <v>5582</v>
      </c>
      <c r="D27" s="234" t="s">
        <v>1072</v>
      </c>
      <c r="E27" s="31">
        <v>1447</v>
      </c>
      <c r="F27" s="216">
        <v>49.8</v>
      </c>
      <c r="G27" s="31"/>
      <c r="H27" s="217"/>
    </row>
    <row r="28" spans="1:8" x14ac:dyDescent="0.2">
      <c r="A28" s="26"/>
      <c r="B28" s="26"/>
      <c r="C28" s="26" t="s">
        <v>5414</v>
      </c>
      <c r="D28" s="234" t="s">
        <v>1736</v>
      </c>
      <c r="E28" s="31">
        <v>860</v>
      </c>
      <c r="F28" s="216"/>
      <c r="G28" s="31"/>
      <c r="H28" s="217"/>
    </row>
    <row r="29" spans="1:8" x14ac:dyDescent="0.2">
      <c r="A29" s="26"/>
      <c r="B29" s="26"/>
      <c r="C29" s="26" t="s">
        <v>2318</v>
      </c>
      <c r="D29" s="234"/>
      <c r="E29" s="218">
        <v>4786</v>
      </c>
      <c r="F29" s="219">
        <v>100</v>
      </c>
      <c r="G29" s="218">
        <v>8108</v>
      </c>
      <c r="H29" s="220">
        <v>59</v>
      </c>
    </row>
    <row r="30" spans="1:8" x14ac:dyDescent="0.2">
      <c r="A30" s="26"/>
      <c r="B30" s="26"/>
      <c r="C30" s="26" t="s">
        <v>2318</v>
      </c>
      <c r="D30" s="234"/>
      <c r="E30" s="31"/>
      <c r="F30" s="216"/>
      <c r="G30" s="31"/>
      <c r="H30" s="217"/>
    </row>
    <row r="31" spans="1:8" x14ac:dyDescent="0.2">
      <c r="A31" s="26" t="s">
        <v>5197</v>
      </c>
      <c r="B31" s="26"/>
      <c r="C31" s="214" t="s">
        <v>5416</v>
      </c>
      <c r="D31" s="234" t="s">
        <v>1071</v>
      </c>
      <c r="E31" s="31">
        <v>2863</v>
      </c>
      <c r="F31" s="216">
        <v>36</v>
      </c>
      <c r="G31" s="31"/>
      <c r="H31" s="217"/>
    </row>
    <row r="32" spans="1:8" x14ac:dyDescent="0.2">
      <c r="A32" s="26"/>
      <c r="B32" s="26"/>
      <c r="C32" s="26" t="s">
        <v>5583</v>
      </c>
      <c r="D32" s="234" t="s">
        <v>4877</v>
      </c>
      <c r="E32" s="31">
        <v>2213</v>
      </c>
      <c r="F32" s="216">
        <v>59.8</v>
      </c>
      <c r="G32" s="31"/>
      <c r="H32" s="217"/>
    </row>
    <row r="33" spans="1:8" x14ac:dyDescent="0.2">
      <c r="A33" s="26"/>
      <c r="B33" s="26"/>
      <c r="C33" s="26" t="s">
        <v>2318</v>
      </c>
      <c r="D33" s="234"/>
      <c r="E33" s="218">
        <v>6908</v>
      </c>
      <c r="F33" s="219">
        <v>100</v>
      </c>
      <c r="G33" s="218">
        <v>6908</v>
      </c>
      <c r="H33" s="220">
        <v>73.8</v>
      </c>
    </row>
    <row r="34" spans="1:8" x14ac:dyDescent="0.2">
      <c r="A34" s="26"/>
      <c r="B34" s="26"/>
      <c r="C34" s="26" t="s">
        <v>2318</v>
      </c>
      <c r="D34" s="234"/>
      <c r="E34" s="31"/>
      <c r="F34" s="216"/>
      <c r="G34" s="31"/>
      <c r="H34" s="217"/>
    </row>
    <row r="35" spans="1:8" x14ac:dyDescent="0.2">
      <c r="A35" s="26" t="s">
        <v>5584</v>
      </c>
      <c r="B35" s="26"/>
      <c r="C35" s="214" t="s">
        <v>5585</v>
      </c>
      <c r="D35" s="234" t="s">
        <v>1071</v>
      </c>
      <c r="E35" s="31">
        <v>2324</v>
      </c>
      <c r="F35" s="216">
        <v>16.7</v>
      </c>
      <c r="G35" s="31"/>
      <c r="H35" s="217"/>
    </row>
    <row r="36" spans="1:8" x14ac:dyDescent="0.2">
      <c r="B36" s="26"/>
      <c r="C36" s="26" t="s">
        <v>5586</v>
      </c>
      <c r="D36" s="234" t="s">
        <v>1072</v>
      </c>
      <c r="E36" s="31">
        <v>534</v>
      </c>
      <c r="F36" s="216">
        <v>12.5</v>
      </c>
      <c r="G36" s="31"/>
      <c r="H36" s="217"/>
    </row>
    <row r="37" spans="1:8" x14ac:dyDescent="0.2">
      <c r="B37" s="26"/>
      <c r="C37" s="26" t="s">
        <v>5587</v>
      </c>
      <c r="D37" s="234" t="s">
        <v>1736</v>
      </c>
      <c r="E37" s="31">
        <v>833</v>
      </c>
      <c r="F37" s="216"/>
      <c r="G37" s="31"/>
      <c r="H37" s="217"/>
    </row>
    <row r="38" spans="1:8" x14ac:dyDescent="0.2">
      <c r="A38" s="26"/>
      <c r="B38" s="26"/>
      <c r="C38" s="26" t="s">
        <v>5588</v>
      </c>
      <c r="D38" s="234" t="s">
        <v>5573</v>
      </c>
      <c r="E38" s="31">
        <v>518</v>
      </c>
      <c r="F38" s="216">
        <v>0.4</v>
      </c>
      <c r="G38" s="31"/>
      <c r="H38" s="217"/>
    </row>
    <row r="39" spans="1:8" x14ac:dyDescent="0.2">
      <c r="A39" s="26"/>
      <c r="B39" s="26"/>
      <c r="C39" s="26" t="s">
        <v>2318</v>
      </c>
      <c r="D39" s="234"/>
      <c r="E39" s="218">
        <v>4217</v>
      </c>
      <c r="F39" s="219">
        <f>SUM(F35:F38)</f>
        <v>29.599999999999998</v>
      </c>
      <c r="G39" s="218">
        <v>6441</v>
      </c>
      <c r="H39" s="220">
        <v>65.5</v>
      </c>
    </row>
    <row r="40" spans="1:8" x14ac:dyDescent="0.2">
      <c r="A40" s="26"/>
      <c r="B40" s="26"/>
      <c r="C40" s="26" t="s">
        <v>2318</v>
      </c>
      <c r="D40" s="234"/>
      <c r="E40" s="31"/>
      <c r="F40" s="216"/>
      <c r="G40" s="31"/>
      <c r="H40" s="217"/>
    </row>
    <row r="41" spans="1:8" x14ac:dyDescent="0.2">
      <c r="A41" s="26" t="s">
        <v>5201</v>
      </c>
      <c r="B41" s="26"/>
      <c r="C41" s="214" t="s">
        <v>5203</v>
      </c>
      <c r="D41" s="234" t="s">
        <v>1071</v>
      </c>
      <c r="E41" s="31">
        <v>6681</v>
      </c>
      <c r="F41" s="216">
        <v>16.7</v>
      </c>
      <c r="G41" s="31"/>
      <c r="H41" s="217"/>
    </row>
    <row r="42" spans="1:8" x14ac:dyDescent="0.2">
      <c r="B42" s="26"/>
      <c r="C42" s="26" t="s">
        <v>5589</v>
      </c>
      <c r="D42" s="234" t="s">
        <v>1736</v>
      </c>
      <c r="E42" s="31">
        <v>3194</v>
      </c>
      <c r="F42" s="216">
        <v>12.5</v>
      </c>
      <c r="G42" s="31"/>
      <c r="H42" s="217"/>
    </row>
    <row r="43" spans="1:8" x14ac:dyDescent="0.2">
      <c r="B43" s="26"/>
      <c r="C43" s="26" t="s">
        <v>5425</v>
      </c>
      <c r="D43" s="234" t="s">
        <v>1072</v>
      </c>
      <c r="E43" s="31">
        <v>1018</v>
      </c>
      <c r="F43" s="216"/>
      <c r="G43" s="31"/>
      <c r="H43" s="217"/>
    </row>
    <row r="44" spans="1:8" x14ac:dyDescent="0.2">
      <c r="A44" s="26"/>
      <c r="B44" s="26"/>
      <c r="C44" s="26" t="s">
        <v>5590</v>
      </c>
      <c r="D44" s="234" t="s">
        <v>5573</v>
      </c>
      <c r="E44" s="31">
        <v>379</v>
      </c>
      <c r="F44" s="216">
        <v>0.4</v>
      </c>
      <c r="G44" s="31"/>
      <c r="H44" s="217"/>
    </row>
    <row r="45" spans="1:8" x14ac:dyDescent="0.2">
      <c r="A45" s="26"/>
      <c r="B45" s="26"/>
      <c r="C45" s="26" t="s">
        <v>2318</v>
      </c>
      <c r="D45" s="234"/>
      <c r="E45" s="218">
        <v>11307</v>
      </c>
      <c r="F45" s="219">
        <f>SUM(F41:F44)</f>
        <v>29.599999999999998</v>
      </c>
      <c r="G45" s="218">
        <v>21047</v>
      </c>
      <c r="H45" s="220">
        <v>53.7</v>
      </c>
    </row>
    <row r="46" spans="1:8" x14ac:dyDescent="0.2">
      <c r="A46" s="26"/>
      <c r="B46" s="26"/>
      <c r="C46" s="26" t="s">
        <v>2318</v>
      </c>
      <c r="D46" s="234"/>
      <c r="E46" s="31"/>
      <c r="F46" s="216"/>
      <c r="G46" s="31"/>
      <c r="H46" s="217"/>
    </row>
    <row r="47" spans="1:8" x14ac:dyDescent="0.2">
      <c r="A47" s="26" t="s">
        <v>5206</v>
      </c>
      <c r="B47" s="26"/>
      <c r="C47" s="214" t="s">
        <v>5421</v>
      </c>
      <c r="D47" s="234" t="s">
        <v>1071</v>
      </c>
      <c r="E47" s="31">
        <v>4824</v>
      </c>
      <c r="F47" s="216">
        <v>10.8</v>
      </c>
      <c r="G47" s="31"/>
      <c r="H47" s="217"/>
    </row>
    <row r="48" spans="1:8" x14ac:dyDescent="0.2">
      <c r="A48" s="26"/>
      <c r="B48" s="26"/>
      <c r="C48" s="26" t="s">
        <v>5591</v>
      </c>
      <c r="D48" s="234" t="s">
        <v>1736</v>
      </c>
      <c r="E48" s="31">
        <v>2642</v>
      </c>
      <c r="F48" s="216">
        <v>14.2</v>
      </c>
      <c r="G48" s="31"/>
      <c r="H48" s="217"/>
    </row>
    <row r="49" spans="1:8" x14ac:dyDescent="0.2">
      <c r="A49" s="26"/>
      <c r="B49" s="26"/>
      <c r="C49" s="26" t="s">
        <v>5592</v>
      </c>
      <c r="D49" s="234" t="s">
        <v>1072</v>
      </c>
      <c r="E49" s="31">
        <v>1154</v>
      </c>
      <c r="F49" s="216">
        <v>64</v>
      </c>
      <c r="G49" s="31"/>
      <c r="H49" s="217"/>
    </row>
    <row r="50" spans="1:8" x14ac:dyDescent="0.2">
      <c r="A50" s="26"/>
      <c r="B50" s="26"/>
      <c r="C50" s="26" t="s">
        <v>5593</v>
      </c>
      <c r="D50" s="234" t="s">
        <v>5573</v>
      </c>
      <c r="E50" s="31">
        <v>349</v>
      </c>
      <c r="F50" s="216"/>
      <c r="G50" s="31"/>
      <c r="H50" s="217"/>
    </row>
    <row r="51" spans="1:8" x14ac:dyDescent="0.2">
      <c r="A51" s="26"/>
      <c r="B51" s="26"/>
      <c r="C51" s="26" t="s">
        <v>2318</v>
      </c>
      <c r="D51" s="234"/>
      <c r="E51" s="218">
        <v>8985</v>
      </c>
      <c r="F51" s="219">
        <f>SUM(F47:F49)</f>
        <v>89</v>
      </c>
      <c r="G51" s="218">
        <v>16884</v>
      </c>
      <c r="H51" s="220">
        <v>53.2</v>
      </c>
    </row>
    <row r="52" spans="1:8" x14ac:dyDescent="0.2">
      <c r="A52" s="26"/>
      <c r="B52" s="26"/>
      <c r="C52" s="26" t="s">
        <v>2318</v>
      </c>
      <c r="D52" s="234"/>
      <c r="E52" s="31"/>
      <c r="F52" s="216"/>
      <c r="G52" s="31"/>
      <c r="H52" s="217"/>
    </row>
    <row r="53" spans="1:8" x14ac:dyDescent="0.2">
      <c r="A53" s="26" t="s">
        <v>3211</v>
      </c>
      <c r="B53" s="26"/>
      <c r="C53" s="214" t="s">
        <v>5594</v>
      </c>
      <c r="D53" s="234" t="s">
        <v>1736</v>
      </c>
      <c r="E53" s="31">
        <v>4893</v>
      </c>
      <c r="F53" s="216">
        <v>3</v>
      </c>
      <c r="G53" s="31"/>
      <c r="H53" s="217"/>
    </row>
    <row r="54" spans="1:8" x14ac:dyDescent="0.2">
      <c r="A54" s="26"/>
      <c r="B54" s="26"/>
      <c r="C54" s="26" t="s">
        <v>5595</v>
      </c>
      <c r="D54" s="234" t="s">
        <v>1071</v>
      </c>
      <c r="E54" s="31">
        <v>4681</v>
      </c>
      <c r="F54" s="216">
        <v>55.8</v>
      </c>
      <c r="G54" s="31"/>
      <c r="H54" s="217"/>
    </row>
    <row r="55" spans="1:8" x14ac:dyDescent="0.2">
      <c r="A55" s="26"/>
      <c r="B55" s="26"/>
      <c r="C55" s="26" t="s">
        <v>5596</v>
      </c>
      <c r="D55" s="234" t="s">
        <v>1072</v>
      </c>
      <c r="E55" s="31">
        <v>1916</v>
      </c>
      <c r="F55" s="216"/>
      <c r="G55" s="31"/>
      <c r="H55" s="217"/>
    </row>
    <row r="56" spans="1:8" x14ac:dyDescent="0.2">
      <c r="A56" s="26"/>
      <c r="B56" s="26"/>
      <c r="C56" s="26" t="s">
        <v>2318</v>
      </c>
      <c r="D56" s="234"/>
      <c r="E56" s="218">
        <v>11536</v>
      </c>
      <c r="F56" s="219">
        <f>SUM(F53:F55)</f>
        <v>58.8</v>
      </c>
      <c r="G56" s="218">
        <v>21113</v>
      </c>
      <c r="H56" s="220">
        <v>54.6</v>
      </c>
    </row>
    <row r="57" spans="1:8" x14ac:dyDescent="0.2">
      <c r="A57" s="26"/>
      <c r="B57" s="26"/>
      <c r="C57" s="26" t="s">
        <v>2318</v>
      </c>
      <c r="D57" s="234"/>
      <c r="E57" s="31"/>
      <c r="F57" s="216"/>
      <c r="G57" s="31"/>
      <c r="H57" s="217"/>
    </row>
    <row r="58" spans="1:8" x14ac:dyDescent="0.2">
      <c r="A58" s="26" t="s">
        <v>5216</v>
      </c>
      <c r="B58" s="26"/>
      <c r="C58" s="214" t="s">
        <v>5597</v>
      </c>
      <c r="D58" s="234" t="s">
        <v>1071</v>
      </c>
      <c r="E58" s="31">
        <v>6655</v>
      </c>
      <c r="F58" s="216">
        <v>6.2</v>
      </c>
      <c r="G58" s="31"/>
      <c r="H58" s="217"/>
    </row>
    <row r="59" spans="1:8" x14ac:dyDescent="0.2">
      <c r="A59" s="26"/>
      <c r="B59" s="26"/>
      <c r="C59" s="26" t="s">
        <v>5598</v>
      </c>
      <c r="D59" s="234" t="s">
        <v>1736</v>
      </c>
      <c r="E59" s="31">
        <v>3385</v>
      </c>
      <c r="F59" s="216">
        <v>7.5</v>
      </c>
      <c r="G59" s="31"/>
      <c r="H59" s="217"/>
    </row>
    <row r="60" spans="1:8" x14ac:dyDescent="0.2">
      <c r="A60" s="26"/>
      <c r="B60" s="26"/>
      <c r="C60" s="26" t="s">
        <v>5599</v>
      </c>
      <c r="D60" s="234" t="s">
        <v>1072</v>
      </c>
      <c r="E60" s="31">
        <v>2429</v>
      </c>
      <c r="F60" s="216">
        <v>70.5</v>
      </c>
      <c r="G60" s="31"/>
      <c r="H60" s="217"/>
    </row>
    <row r="61" spans="1:8" x14ac:dyDescent="0.2">
      <c r="A61" s="26"/>
      <c r="B61" s="26"/>
      <c r="C61" s="26" t="s">
        <v>2037</v>
      </c>
      <c r="D61" s="234" t="s">
        <v>5573</v>
      </c>
      <c r="E61" s="31">
        <v>374</v>
      </c>
      <c r="F61" s="216">
        <v>0.2</v>
      </c>
      <c r="G61" s="31"/>
      <c r="H61" s="217"/>
    </row>
    <row r="62" spans="1:8" x14ac:dyDescent="0.2">
      <c r="A62" s="26"/>
      <c r="B62" s="26"/>
      <c r="C62" s="26" t="s">
        <v>2318</v>
      </c>
      <c r="D62" s="234"/>
      <c r="E62" s="218">
        <v>12877</v>
      </c>
      <c r="F62" s="219">
        <v>100</v>
      </c>
      <c r="G62" s="218">
        <v>20562</v>
      </c>
      <c r="H62" s="220">
        <v>62.6</v>
      </c>
    </row>
    <row r="63" spans="1:8" x14ac:dyDescent="0.2">
      <c r="A63" s="26"/>
      <c r="B63" s="26"/>
      <c r="C63" s="26" t="s">
        <v>2318</v>
      </c>
      <c r="D63" s="234"/>
      <c r="E63" s="31"/>
      <c r="F63" s="216"/>
      <c r="G63" s="31"/>
      <c r="H63" s="217"/>
    </row>
    <row r="64" spans="1:8" x14ac:dyDescent="0.2">
      <c r="A64" s="26" t="s">
        <v>5600</v>
      </c>
      <c r="B64" s="26"/>
      <c r="C64" s="214" t="s">
        <v>1149</v>
      </c>
      <c r="D64" s="234" t="s">
        <v>1071</v>
      </c>
      <c r="E64" s="31">
        <v>5945</v>
      </c>
      <c r="F64" s="216">
        <v>9.4</v>
      </c>
      <c r="G64" s="31"/>
      <c r="H64" s="217"/>
    </row>
    <row r="65" spans="1:8" x14ac:dyDescent="0.2">
      <c r="A65" s="26"/>
      <c r="B65" s="26"/>
      <c r="C65" s="26" t="s">
        <v>5601</v>
      </c>
      <c r="D65" s="234" t="s">
        <v>1736</v>
      </c>
      <c r="E65" s="31">
        <v>1829</v>
      </c>
      <c r="F65" s="216">
        <v>5.7</v>
      </c>
      <c r="G65" s="31"/>
      <c r="H65" s="217"/>
    </row>
    <row r="66" spans="1:8" x14ac:dyDescent="0.2">
      <c r="A66" s="26"/>
      <c r="B66" s="26"/>
      <c r="C66" s="26" t="s">
        <v>5602</v>
      </c>
      <c r="D66" s="234" t="s">
        <v>1072</v>
      </c>
      <c r="E66" s="31">
        <v>1060</v>
      </c>
      <c r="F66" s="216"/>
      <c r="G66" s="31"/>
      <c r="H66" s="217"/>
    </row>
    <row r="67" spans="1:8" x14ac:dyDescent="0.2">
      <c r="A67" s="26"/>
      <c r="B67" s="26"/>
      <c r="C67" s="26" t="s">
        <v>5603</v>
      </c>
      <c r="D67" s="234" t="s">
        <v>5573</v>
      </c>
      <c r="E67" s="31">
        <v>420</v>
      </c>
      <c r="F67" s="216"/>
      <c r="G67" s="31"/>
      <c r="H67" s="217"/>
    </row>
    <row r="68" spans="1:8" x14ac:dyDescent="0.2">
      <c r="A68" s="26"/>
      <c r="B68" s="26"/>
      <c r="C68" s="26" t="s">
        <v>2318</v>
      </c>
      <c r="D68" s="234"/>
      <c r="E68" s="218">
        <v>9286</v>
      </c>
      <c r="F68" s="219">
        <f>SUM(F64:F67)</f>
        <v>15.100000000000001</v>
      </c>
      <c r="G68" s="218">
        <v>16961</v>
      </c>
      <c r="H68" s="220">
        <v>54.7</v>
      </c>
    </row>
    <row r="69" spans="1:8" x14ac:dyDescent="0.2">
      <c r="A69" s="26"/>
      <c r="B69" s="26"/>
      <c r="C69" s="26" t="s">
        <v>2318</v>
      </c>
      <c r="D69" s="234"/>
      <c r="E69" s="31"/>
      <c r="F69" s="216"/>
      <c r="G69" s="31"/>
      <c r="H69" s="217"/>
    </row>
    <row r="70" spans="1:8" x14ac:dyDescent="0.2">
      <c r="A70" s="26" t="s">
        <v>368</v>
      </c>
      <c r="B70" s="26"/>
      <c r="C70" s="214" t="s">
        <v>5226</v>
      </c>
      <c r="D70" s="222" t="s">
        <v>1071</v>
      </c>
      <c r="E70" s="31">
        <v>5643</v>
      </c>
      <c r="F70" s="216">
        <v>62.1</v>
      </c>
      <c r="G70" s="31"/>
      <c r="H70" s="217"/>
    </row>
    <row r="71" spans="1:8" x14ac:dyDescent="0.2">
      <c r="A71" s="26"/>
      <c r="B71" s="26"/>
      <c r="C71" s="26" t="s">
        <v>5604</v>
      </c>
      <c r="D71" s="234" t="s">
        <v>1736</v>
      </c>
      <c r="E71" s="31">
        <v>1537</v>
      </c>
      <c r="F71" s="216"/>
      <c r="G71" s="31"/>
      <c r="H71" s="217"/>
    </row>
    <row r="72" spans="1:8" x14ac:dyDescent="0.2">
      <c r="A72" s="26"/>
      <c r="B72" s="26"/>
      <c r="C72" s="26" t="s">
        <v>5605</v>
      </c>
      <c r="D72" s="234" t="s">
        <v>1072</v>
      </c>
      <c r="E72" s="31">
        <v>792</v>
      </c>
      <c r="F72" s="216"/>
      <c r="G72" s="31"/>
      <c r="H72" s="217"/>
    </row>
    <row r="73" spans="1:8" x14ac:dyDescent="0.2">
      <c r="A73" s="26"/>
      <c r="B73" s="26"/>
      <c r="C73" s="26" t="s">
        <v>5606</v>
      </c>
      <c r="D73" s="234" t="s">
        <v>5573</v>
      </c>
      <c r="E73" s="31">
        <v>437</v>
      </c>
      <c r="F73" s="216"/>
      <c r="G73" s="31"/>
      <c r="H73" s="217"/>
    </row>
    <row r="74" spans="1:8" x14ac:dyDescent="0.2">
      <c r="A74" s="26"/>
      <c r="B74" s="26"/>
      <c r="C74" s="26" t="s">
        <v>2318</v>
      </c>
      <c r="D74" s="26"/>
      <c r="E74" s="218">
        <v>8462</v>
      </c>
      <c r="F74" s="219">
        <v>100</v>
      </c>
      <c r="G74" s="218">
        <v>17299</v>
      </c>
      <c r="H74" s="220">
        <v>48.9</v>
      </c>
    </row>
    <row r="75" spans="1:8" x14ac:dyDescent="0.2">
      <c r="A75" s="26"/>
      <c r="B75" s="26"/>
      <c r="C75" s="26" t="s">
        <v>2318</v>
      </c>
      <c r="D75" s="234"/>
      <c r="E75" s="31"/>
      <c r="F75" s="216"/>
      <c r="G75" s="31"/>
      <c r="H75" s="217"/>
    </row>
    <row r="76" spans="1:8" x14ac:dyDescent="0.2">
      <c r="A76" s="26" t="s">
        <v>1188</v>
      </c>
      <c r="B76" s="26"/>
      <c r="C76" s="214" t="s">
        <v>5231</v>
      </c>
      <c r="D76" s="234" t="s">
        <v>1071</v>
      </c>
      <c r="E76" s="31">
        <v>5060</v>
      </c>
      <c r="F76" s="216">
        <v>3.8</v>
      </c>
      <c r="G76" s="31"/>
      <c r="H76" s="217"/>
    </row>
    <row r="77" spans="1:8" x14ac:dyDescent="0.2">
      <c r="A77" s="26"/>
      <c r="B77" s="26"/>
      <c r="C77" s="26" t="s">
        <v>5607</v>
      </c>
      <c r="D77" s="234" t="s">
        <v>1736</v>
      </c>
      <c r="E77" s="31">
        <v>3392</v>
      </c>
      <c r="F77" s="216">
        <v>8.6999999999999993</v>
      </c>
      <c r="G77" s="31"/>
      <c r="H77" s="217"/>
    </row>
    <row r="78" spans="1:8" x14ac:dyDescent="0.2">
      <c r="A78" s="26"/>
      <c r="B78" s="26"/>
      <c r="C78" s="26" t="s">
        <v>5441</v>
      </c>
      <c r="D78" s="234" t="s">
        <v>1072</v>
      </c>
      <c r="E78" s="31">
        <v>1397</v>
      </c>
      <c r="F78" s="216">
        <v>8.1</v>
      </c>
      <c r="G78" s="31"/>
      <c r="H78" s="217"/>
    </row>
    <row r="79" spans="1:8" x14ac:dyDescent="0.2">
      <c r="A79" s="26"/>
      <c r="B79" s="26"/>
      <c r="C79" s="26" t="s">
        <v>5608</v>
      </c>
      <c r="D79" s="234" t="s">
        <v>5573</v>
      </c>
      <c r="E79" s="31">
        <v>242</v>
      </c>
      <c r="F79" s="216">
        <v>6.5</v>
      </c>
      <c r="G79" s="31"/>
      <c r="H79" s="217"/>
    </row>
    <row r="80" spans="1:8" x14ac:dyDescent="0.2">
      <c r="A80" s="26"/>
      <c r="B80" s="26"/>
      <c r="C80" s="26" t="s">
        <v>2318</v>
      </c>
      <c r="D80" s="234"/>
      <c r="E80" s="218">
        <v>10123</v>
      </c>
      <c r="F80" s="219">
        <f>SUM(F76:F79)</f>
        <v>27.1</v>
      </c>
      <c r="G80" s="218">
        <v>18231</v>
      </c>
      <c r="H80" s="220">
        <v>55.5</v>
      </c>
    </row>
    <row r="81" spans="1:10" x14ac:dyDescent="0.2">
      <c r="A81" s="26"/>
      <c r="B81" s="26"/>
      <c r="C81" s="26" t="s">
        <v>2318</v>
      </c>
      <c r="D81" s="234"/>
      <c r="E81" s="31"/>
      <c r="F81" s="216"/>
      <c r="G81" s="31"/>
      <c r="H81" s="217"/>
    </row>
    <row r="82" spans="1:10" x14ac:dyDescent="0.2">
      <c r="A82" s="26" t="s">
        <v>1125</v>
      </c>
      <c r="B82" s="26"/>
      <c r="C82" s="214" t="s">
        <v>5235</v>
      </c>
      <c r="D82" s="234" t="s">
        <v>1071</v>
      </c>
      <c r="E82" s="31">
        <v>3229</v>
      </c>
      <c r="F82" s="216"/>
      <c r="G82" s="31"/>
      <c r="H82" s="217"/>
    </row>
    <row r="83" spans="1:10" x14ac:dyDescent="0.2">
      <c r="A83" s="26"/>
      <c r="B83" s="26"/>
      <c r="C83" s="26" t="s">
        <v>5609</v>
      </c>
      <c r="D83" s="234" t="s">
        <v>1736</v>
      </c>
      <c r="E83" s="31">
        <v>1638</v>
      </c>
      <c r="F83" s="216">
        <v>2.1</v>
      </c>
      <c r="G83" s="31"/>
      <c r="H83" s="217"/>
    </row>
    <row r="84" spans="1:10" x14ac:dyDescent="0.2">
      <c r="A84" s="26"/>
      <c r="B84" s="26"/>
      <c r="C84" s="26" t="s">
        <v>5610</v>
      </c>
      <c r="D84" s="234" t="s">
        <v>1072</v>
      </c>
      <c r="E84" s="31">
        <v>732</v>
      </c>
      <c r="F84" s="216"/>
      <c r="G84" s="31"/>
      <c r="H84" s="217"/>
    </row>
    <row r="85" spans="1:10" x14ac:dyDescent="0.2">
      <c r="A85" s="26"/>
      <c r="B85" s="26"/>
      <c r="C85" s="26" t="s">
        <v>5611</v>
      </c>
      <c r="D85" s="234" t="s">
        <v>5573</v>
      </c>
      <c r="E85" s="31">
        <v>468</v>
      </c>
      <c r="F85" s="216">
        <v>23.5</v>
      </c>
      <c r="G85" s="31"/>
      <c r="H85" s="217"/>
      <c r="J85" s="221"/>
    </row>
    <row r="86" spans="1:10" x14ac:dyDescent="0.2">
      <c r="A86" s="26"/>
      <c r="B86" s="26"/>
      <c r="C86" s="26" t="s">
        <v>2318</v>
      </c>
      <c r="D86" s="234"/>
      <c r="E86" s="218">
        <v>6079</v>
      </c>
      <c r="F86" s="219">
        <f>SUM(F82:F85)</f>
        <v>25.6</v>
      </c>
      <c r="G86" s="218">
        <v>8479</v>
      </c>
      <c r="H86" s="220">
        <v>71.7</v>
      </c>
    </row>
    <row r="87" spans="1:10" x14ac:dyDescent="0.2">
      <c r="A87" s="26"/>
      <c r="B87" s="26"/>
      <c r="C87" s="26" t="s">
        <v>2318</v>
      </c>
      <c r="D87" s="234"/>
      <c r="E87" s="31"/>
      <c r="F87" s="216"/>
      <c r="G87" s="31"/>
      <c r="H87" s="217"/>
    </row>
    <row r="88" spans="1:10" x14ac:dyDescent="0.2">
      <c r="A88" s="26" t="s">
        <v>1427</v>
      </c>
      <c r="B88" s="26"/>
      <c r="C88" s="214" t="s">
        <v>5447</v>
      </c>
      <c r="D88" s="234" t="s">
        <v>1071</v>
      </c>
      <c r="E88" s="31">
        <v>2205</v>
      </c>
      <c r="F88" s="216">
        <v>2</v>
      </c>
      <c r="G88" s="31"/>
      <c r="H88" s="217"/>
    </row>
    <row r="89" spans="1:10" x14ac:dyDescent="0.2">
      <c r="A89" s="26"/>
      <c r="B89" s="26"/>
      <c r="C89" s="26" t="s">
        <v>5612</v>
      </c>
      <c r="D89" s="234" t="s">
        <v>1736</v>
      </c>
      <c r="E89" s="31">
        <v>791</v>
      </c>
      <c r="F89" s="216"/>
      <c r="G89" s="31"/>
      <c r="H89" s="217"/>
    </row>
    <row r="90" spans="1:10" x14ac:dyDescent="0.2">
      <c r="A90" s="26"/>
      <c r="B90" s="26"/>
      <c r="C90" s="26" t="s">
        <v>2318</v>
      </c>
      <c r="D90" s="234"/>
      <c r="E90" s="218">
        <v>3003</v>
      </c>
      <c r="F90" s="219">
        <v>100</v>
      </c>
      <c r="G90" s="218">
        <v>4537</v>
      </c>
      <c r="H90" s="220">
        <v>66.2</v>
      </c>
    </row>
    <row r="91" spans="1:10" x14ac:dyDescent="0.2">
      <c r="A91" s="26"/>
      <c r="B91" s="26"/>
      <c r="C91" s="26" t="s">
        <v>2318</v>
      </c>
      <c r="D91" s="234"/>
      <c r="E91" s="31"/>
      <c r="F91" s="216"/>
      <c r="G91" s="31"/>
      <c r="H91" s="217"/>
    </row>
    <row r="92" spans="1:10" x14ac:dyDescent="0.2">
      <c r="A92" s="26" t="s">
        <v>1430</v>
      </c>
      <c r="B92" s="26"/>
      <c r="C92" s="214" t="s">
        <v>5450</v>
      </c>
      <c r="D92" s="234" t="s">
        <v>1071</v>
      </c>
      <c r="E92" s="31">
        <v>3393</v>
      </c>
      <c r="F92" s="216">
        <v>53.4</v>
      </c>
      <c r="G92" s="31"/>
      <c r="H92" s="217"/>
    </row>
    <row r="93" spans="1:10" x14ac:dyDescent="0.2">
      <c r="A93" s="26"/>
      <c r="B93" s="26"/>
      <c r="C93" s="26" t="s">
        <v>5613</v>
      </c>
      <c r="D93" s="234" t="s">
        <v>1736</v>
      </c>
      <c r="E93" s="31">
        <v>1225</v>
      </c>
      <c r="F93" s="216">
        <v>1.9</v>
      </c>
      <c r="G93" s="31"/>
      <c r="H93" s="217"/>
    </row>
    <row r="94" spans="1:10" x14ac:dyDescent="0.2">
      <c r="A94" s="26"/>
      <c r="B94" s="26"/>
      <c r="C94" s="26" t="s">
        <v>5614</v>
      </c>
      <c r="D94" s="234" t="s">
        <v>1072</v>
      </c>
      <c r="E94" s="31">
        <v>935</v>
      </c>
      <c r="F94" s="216"/>
      <c r="G94" s="31"/>
      <c r="H94" s="217"/>
    </row>
    <row r="95" spans="1:10" x14ac:dyDescent="0.2">
      <c r="A95" s="26"/>
      <c r="B95" s="26"/>
      <c r="C95" s="26" t="s">
        <v>5615</v>
      </c>
      <c r="D95" s="234" t="s">
        <v>5573</v>
      </c>
      <c r="E95" s="31">
        <v>310</v>
      </c>
      <c r="F95" s="216">
        <v>9.8000000000000007</v>
      </c>
      <c r="G95" s="31"/>
      <c r="H95" s="217"/>
    </row>
    <row r="96" spans="1:10" x14ac:dyDescent="0.2">
      <c r="A96" s="26"/>
      <c r="B96" s="26"/>
      <c r="C96" s="26" t="s">
        <v>2318</v>
      </c>
      <c r="D96" s="234"/>
      <c r="E96" s="218">
        <v>5872</v>
      </c>
      <c r="F96" s="219">
        <v>100</v>
      </c>
      <c r="G96" s="218">
        <v>8610</v>
      </c>
      <c r="H96" s="220">
        <v>68.2</v>
      </c>
    </row>
    <row r="97" spans="1:8" x14ac:dyDescent="0.2">
      <c r="A97" s="26"/>
      <c r="B97" s="26"/>
      <c r="C97" s="26" t="s">
        <v>2318</v>
      </c>
      <c r="D97" s="234"/>
      <c r="E97" s="31"/>
      <c r="F97" s="216"/>
      <c r="G97" s="31"/>
      <c r="H97" s="217"/>
    </row>
    <row r="98" spans="1:8" x14ac:dyDescent="0.2">
      <c r="A98" s="26" t="s">
        <v>2268</v>
      </c>
      <c r="B98" s="26"/>
      <c r="C98" s="214" t="s">
        <v>5454</v>
      </c>
      <c r="D98" s="234" t="s">
        <v>1071</v>
      </c>
      <c r="E98" s="31">
        <v>3199</v>
      </c>
      <c r="F98" s="216">
        <v>32.4</v>
      </c>
      <c r="G98" s="31"/>
      <c r="H98" s="217"/>
    </row>
    <row r="99" spans="1:8" x14ac:dyDescent="0.2">
      <c r="A99" s="26"/>
      <c r="B99" s="26"/>
      <c r="C99" s="26" t="s">
        <v>5616</v>
      </c>
      <c r="D99" s="234" t="s">
        <v>1736</v>
      </c>
      <c r="E99" s="31">
        <v>831</v>
      </c>
      <c r="F99" s="216">
        <v>57</v>
      </c>
      <c r="G99" s="31"/>
      <c r="H99" s="217"/>
    </row>
    <row r="100" spans="1:8" x14ac:dyDescent="0.2">
      <c r="A100" s="26"/>
      <c r="B100" s="26"/>
      <c r="C100" s="26" t="s">
        <v>2318</v>
      </c>
      <c r="D100" s="234"/>
      <c r="E100" s="218">
        <v>4045</v>
      </c>
      <c r="F100" s="219">
        <f>SUM(F98:F99)</f>
        <v>89.4</v>
      </c>
      <c r="G100" s="218">
        <v>5711</v>
      </c>
      <c r="H100" s="220">
        <v>70.8</v>
      </c>
    </row>
    <row r="101" spans="1:8" x14ac:dyDescent="0.2">
      <c r="A101" s="26"/>
      <c r="B101" s="26"/>
      <c r="C101" s="26" t="s">
        <v>2318</v>
      </c>
      <c r="D101" s="234"/>
      <c r="E101" s="31"/>
      <c r="F101" s="216"/>
      <c r="G101" s="31"/>
      <c r="H101" s="217"/>
    </row>
    <row r="102" spans="1:8" x14ac:dyDescent="0.2">
      <c r="A102" s="26" t="s">
        <v>369</v>
      </c>
      <c r="B102" s="26"/>
      <c r="C102" s="214" t="s">
        <v>5617</v>
      </c>
      <c r="D102" s="234" t="s">
        <v>1071</v>
      </c>
      <c r="E102" s="31">
        <v>3042</v>
      </c>
      <c r="F102" s="216">
        <v>55</v>
      </c>
      <c r="G102" s="31"/>
      <c r="H102" s="217"/>
    </row>
    <row r="103" spans="1:8" x14ac:dyDescent="0.2">
      <c r="A103" s="26"/>
      <c r="B103" s="26"/>
      <c r="C103" s="26" t="s">
        <v>5618</v>
      </c>
      <c r="D103" s="234" t="s">
        <v>1736</v>
      </c>
      <c r="E103" s="31">
        <v>849</v>
      </c>
      <c r="F103" s="216">
        <v>2.1</v>
      </c>
      <c r="G103" s="31"/>
      <c r="H103" s="217"/>
    </row>
    <row r="104" spans="1:8" x14ac:dyDescent="0.2">
      <c r="A104" s="26"/>
      <c r="B104" s="26"/>
      <c r="C104" s="26" t="s">
        <v>5619</v>
      </c>
      <c r="D104" s="234" t="s">
        <v>1072</v>
      </c>
      <c r="E104" s="31">
        <v>325</v>
      </c>
      <c r="F104" s="216">
        <v>5.2</v>
      </c>
      <c r="G104" s="31"/>
      <c r="H104" s="217"/>
    </row>
    <row r="105" spans="1:8" x14ac:dyDescent="0.2">
      <c r="A105" s="26"/>
      <c r="B105" s="26"/>
      <c r="C105" s="26" t="s">
        <v>2318</v>
      </c>
      <c r="D105" s="234"/>
      <c r="E105" s="218">
        <v>4956</v>
      </c>
      <c r="F105" s="219">
        <v>100</v>
      </c>
      <c r="G105" s="218">
        <v>6894</v>
      </c>
      <c r="H105" s="220">
        <v>71.900000000000006</v>
      </c>
    </row>
    <row r="106" spans="1:8" x14ac:dyDescent="0.2">
      <c r="A106" s="26"/>
      <c r="B106" s="26"/>
      <c r="C106" s="26" t="s">
        <v>2318</v>
      </c>
      <c r="D106" s="234"/>
      <c r="E106" s="31"/>
      <c r="F106" s="216"/>
      <c r="G106" s="31"/>
      <c r="H106" s="217"/>
    </row>
    <row r="107" spans="1:8" x14ac:dyDescent="0.2">
      <c r="A107" s="26" t="s">
        <v>1977</v>
      </c>
      <c r="B107" s="26"/>
      <c r="C107" s="214" t="s">
        <v>4859</v>
      </c>
      <c r="D107" s="234" t="s">
        <v>1071</v>
      </c>
      <c r="E107" s="31">
        <v>3922</v>
      </c>
      <c r="F107" s="216">
        <v>55</v>
      </c>
      <c r="G107" s="31"/>
      <c r="H107" s="217"/>
    </row>
    <row r="108" spans="1:8" x14ac:dyDescent="0.2">
      <c r="A108" s="26"/>
      <c r="B108" s="26"/>
      <c r="C108" s="26" t="s">
        <v>5620</v>
      </c>
      <c r="D108" s="234" t="s">
        <v>1736</v>
      </c>
      <c r="E108" s="31">
        <v>740</v>
      </c>
      <c r="F108" s="216">
        <v>2.1</v>
      </c>
      <c r="G108" s="31"/>
      <c r="H108" s="217"/>
    </row>
    <row r="109" spans="1:8" x14ac:dyDescent="0.2">
      <c r="A109" s="26"/>
      <c r="B109" s="26"/>
      <c r="C109" s="26" t="s">
        <v>2318</v>
      </c>
      <c r="D109" s="234"/>
      <c r="E109" s="218">
        <v>4678</v>
      </c>
      <c r="F109" s="219">
        <v>100</v>
      </c>
      <c r="G109" s="218">
        <v>5635</v>
      </c>
      <c r="H109" s="220">
        <v>83</v>
      </c>
    </row>
    <row r="110" spans="1:8" x14ac:dyDescent="0.2">
      <c r="A110" s="26"/>
      <c r="B110" s="26"/>
      <c r="C110" s="26" t="s">
        <v>2318</v>
      </c>
      <c r="D110" s="234"/>
      <c r="E110" s="31"/>
      <c r="F110" s="216"/>
      <c r="G110" s="31"/>
      <c r="H110" s="217"/>
    </row>
    <row r="111" spans="1:8" x14ac:dyDescent="0.2">
      <c r="A111" s="26" t="s">
        <v>1350</v>
      </c>
      <c r="B111" s="26"/>
      <c r="C111" s="214" t="s">
        <v>5621</v>
      </c>
      <c r="D111" s="234" t="s">
        <v>1071</v>
      </c>
      <c r="E111" s="31">
        <v>1080</v>
      </c>
      <c r="F111" s="216">
        <v>55</v>
      </c>
      <c r="G111" s="31"/>
      <c r="H111" s="217"/>
    </row>
    <row r="112" spans="1:8" x14ac:dyDescent="0.2">
      <c r="A112" s="26"/>
      <c r="B112" s="26"/>
      <c r="C112" s="26" t="s">
        <v>5622</v>
      </c>
      <c r="D112" s="234" t="s">
        <v>1736</v>
      </c>
      <c r="E112" s="31">
        <v>661</v>
      </c>
      <c r="F112" s="216">
        <v>2.1</v>
      </c>
      <c r="G112" s="31"/>
      <c r="H112" s="217"/>
    </row>
    <row r="113" spans="1:8" x14ac:dyDescent="0.2">
      <c r="A113" s="26"/>
      <c r="B113" s="26"/>
      <c r="C113" s="26" t="s">
        <v>5623</v>
      </c>
      <c r="D113" s="234" t="s">
        <v>1072</v>
      </c>
      <c r="E113" s="31">
        <v>648</v>
      </c>
      <c r="F113" s="216"/>
      <c r="G113" s="31"/>
      <c r="H113" s="217"/>
    </row>
    <row r="114" spans="1:8" x14ac:dyDescent="0.2">
      <c r="A114" s="26"/>
      <c r="B114" s="26"/>
      <c r="C114" s="26" t="s">
        <v>5624</v>
      </c>
      <c r="D114" s="234" t="s">
        <v>5573</v>
      </c>
      <c r="E114" s="31">
        <v>383</v>
      </c>
      <c r="F114" s="216">
        <v>5.2</v>
      </c>
      <c r="G114" s="31"/>
      <c r="H114" s="217"/>
    </row>
    <row r="115" spans="1:8" x14ac:dyDescent="0.2">
      <c r="A115" s="26"/>
      <c r="B115" s="26"/>
      <c r="C115" s="26" t="s">
        <v>2318</v>
      </c>
      <c r="D115" s="234"/>
      <c r="E115" s="218">
        <v>2789</v>
      </c>
      <c r="F115" s="219">
        <v>100</v>
      </c>
      <c r="G115" s="218">
        <v>3551</v>
      </c>
      <c r="H115" s="220">
        <v>78.5</v>
      </c>
    </row>
    <row r="116" spans="1:8" x14ac:dyDescent="0.2">
      <c r="A116" s="26"/>
      <c r="B116" s="26"/>
      <c r="C116" s="26" t="s">
        <v>2318</v>
      </c>
      <c r="D116" s="234"/>
      <c r="E116" s="31"/>
      <c r="F116" s="216"/>
      <c r="G116" s="31"/>
      <c r="H116" s="217"/>
    </row>
    <row r="117" spans="1:8" x14ac:dyDescent="0.2">
      <c r="A117" s="26" t="s">
        <v>477</v>
      </c>
      <c r="B117" s="26"/>
      <c r="C117" s="214" t="s">
        <v>4890</v>
      </c>
      <c r="D117" s="234" t="s">
        <v>1071</v>
      </c>
      <c r="E117" s="31">
        <v>3912</v>
      </c>
      <c r="F117" s="216">
        <v>10</v>
      </c>
      <c r="G117" s="31"/>
      <c r="H117" s="217"/>
    </row>
    <row r="118" spans="1:8" x14ac:dyDescent="0.2">
      <c r="A118" s="26"/>
      <c r="B118" s="26"/>
      <c r="C118" s="26" t="s">
        <v>1762</v>
      </c>
      <c r="D118" s="234" t="s">
        <v>1736</v>
      </c>
      <c r="E118" s="31">
        <v>2185</v>
      </c>
      <c r="F118" s="216">
        <v>54.4</v>
      </c>
      <c r="G118" s="31"/>
      <c r="H118" s="217"/>
    </row>
    <row r="119" spans="1:8" x14ac:dyDescent="0.2">
      <c r="A119" s="26"/>
      <c r="B119" s="26"/>
      <c r="C119" s="26" t="s">
        <v>5625</v>
      </c>
      <c r="D119" s="234" t="s">
        <v>1072</v>
      </c>
      <c r="E119" s="31">
        <v>1684</v>
      </c>
      <c r="F119" s="216"/>
      <c r="G119" s="31"/>
      <c r="H119" s="217"/>
    </row>
    <row r="120" spans="1:8" x14ac:dyDescent="0.2">
      <c r="A120" s="26"/>
      <c r="B120" s="26"/>
      <c r="C120" s="26" t="s">
        <v>5626</v>
      </c>
      <c r="D120" s="234" t="s">
        <v>5573</v>
      </c>
      <c r="E120" s="31">
        <v>589</v>
      </c>
      <c r="F120" s="216">
        <v>27.2</v>
      </c>
      <c r="G120" s="31"/>
      <c r="H120" s="217"/>
    </row>
    <row r="121" spans="1:8" x14ac:dyDescent="0.2">
      <c r="A121" s="26"/>
      <c r="B121" s="26"/>
      <c r="C121" s="26" t="s">
        <v>2318</v>
      </c>
      <c r="D121" s="234"/>
      <c r="E121" s="218">
        <v>8408</v>
      </c>
      <c r="F121" s="219">
        <f>SUM(F117:F120)</f>
        <v>91.600000000000009</v>
      </c>
      <c r="G121" s="218">
        <v>15357</v>
      </c>
      <c r="H121" s="220">
        <v>54.7</v>
      </c>
    </row>
    <row r="122" spans="1:8" x14ac:dyDescent="0.2">
      <c r="A122" s="26"/>
      <c r="B122" s="26"/>
      <c r="C122" s="26" t="s">
        <v>2318</v>
      </c>
      <c r="D122" s="234"/>
      <c r="E122" s="31"/>
      <c r="F122" s="216"/>
      <c r="G122" s="31"/>
      <c r="H122" s="217"/>
    </row>
    <row r="123" spans="1:8" x14ac:dyDescent="0.2">
      <c r="A123" s="26" t="s">
        <v>5253</v>
      </c>
      <c r="B123" s="26"/>
      <c r="C123" s="214" t="s">
        <v>5263</v>
      </c>
      <c r="D123" s="234" t="s">
        <v>1071</v>
      </c>
      <c r="E123" s="31">
        <v>4831</v>
      </c>
      <c r="F123" s="216">
        <v>11.3</v>
      </c>
      <c r="G123" s="31"/>
      <c r="H123" s="217"/>
    </row>
    <row r="124" spans="1:8" x14ac:dyDescent="0.2">
      <c r="A124" s="26"/>
      <c r="B124" s="26"/>
      <c r="C124" s="26" t="s">
        <v>5627</v>
      </c>
      <c r="D124" s="234" t="s">
        <v>1736</v>
      </c>
      <c r="E124" s="31">
        <v>3356</v>
      </c>
      <c r="F124" s="216">
        <v>0.6</v>
      </c>
      <c r="G124" s="31"/>
      <c r="H124" s="217"/>
    </row>
    <row r="125" spans="1:8" x14ac:dyDescent="0.2">
      <c r="A125" s="26"/>
      <c r="B125" s="26"/>
      <c r="C125" s="26" t="s">
        <v>5628</v>
      </c>
      <c r="D125" s="234" t="s">
        <v>5573</v>
      </c>
      <c r="E125" s="31">
        <v>881</v>
      </c>
      <c r="F125" s="216">
        <v>29.6</v>
      </c>
      <c r="G125" s="31"/>
      <c r="H125" s="217"/>
    </row>
    <row r="126" spans="1:8" x14ac:dyDescent="0.2">
      <c r="A126" s="26"/>
      <c r="B126" s="26"/>
      <c r="C126" s="26" t="s">
        <v>2318</v>
      </c>
      <c r="D126" s="234"/>
      <c r="E126" s="218">
        <v>9129</v>
      </c>
      <c r="F126" s="219">
        <v>100</v>
      </c>
      <c r="G126" s="218">
        <v>16256</v>
      </c>
      <c r="H126" s="220">
        <v>56.2</v>
      </c>
    </row>
    <row r="127" spans="1:8" x14ac:dyDescent="0.2">
      <c r="A127" s="26"/>
      <c r="B127" s="26"/>
      <c r="C127" s="26" t="s">
        <v>2318</v>
      </c>
      <c r="D127" s="234"/>
      <c r="E127" s="31"/>
      <c r="F127" s="216"/>
      <c r="G127" s="31"/>
      <c r="H127" s="217"/>
    </row>
    <row r="128" spans="1:8" x14ac:dyDescent="0.2">
      <c r="A128" s="26" t="s">
        <v>981</v>
      </c>
      <c r="B128" s="26"/>
      <c r="C128" s="214" t="s">
        <v>5276</v>
      </c>
      <c r="D128" s="234" t="s">
        <v>1071</v>
      </c>
      <c r="E128" s="31">
        <v>5071</v>
      </c>
      <c r="F128" s="216">
        <v>0.5</v>
      </c>
      <c r="G128" s="31"/>
      <c r="H128" s="217"/>
    </row>
    <row r="129" spans="1:8" x14ac:dyDescent="0.2">
      <c r="A129" s="26"/>
      <c r="B129" s="26"/>
      <c r="C129" s="26" t="s">
        <v>5637</v>
      </c>
      <c r="D129" s="234" t="s">
        <v>1072</v>
      </c>
      <c r="E129" s="31">
        <v>1522</v>
      </c>
      <c r="F129" s="216">
        <v>47.2</v>
      </c>
      <c r="G129" s="31"/>
      <c r="H129" s="217"/>
    </row>
    <row r="130" spans="1:8" x14ac:dyDescent="0.2">
      <c r="A130" s="26"/>
      <c r="B130" s="26"/>
      <c r="C130" s="26" t="s">
        <v>5638</v>
      </c>
      <c r="D130" s="234" t="s">
        <v>1736</v>
      </c>
      <c r="E130" s="31">
        <v>1482</v>
      </c>
      <c r="F130" s="216"/>
      <c r="G130" s="31"/>
      <c r="H130" s="217"/>
    </row>
    <row r="131" spans="1:8" x14ac:dyDescent="0.2">
      <c r="A131" s="26"/>
      <c r="B131" s="26"/>
      <c r="C131" s="26" t="s">
        <v>5639</v>
      </c>
      <c r="D131" s="234" t="s">
        <v>5573</v>
      </c>
      <c r="E131" s="31">
        <v>932</v>
      </c>
      <c r="F131" s="216">
        <v>5.8</v>
      </c>
      <c r="G131" s="31"/>
      <c r="H131" s="217"/>
    </row>
    <row r="132" spans="1:8" x14ac:dyDescent="0.2">
      <c r="A132" s="26"/>
      <c r="B132" s="26"/>
      <c r="C132" s="26" t="s">
        <v>5640</v>
      </c>
      <c r="D132" s="234" t="s">
        <v>5578</v>
      </c>
      <c r="E132" s="31">
        <v>251</v>
      </c>
      <c r="F132" s="216"/>
      <c r="G132" s="31"/>
      <c r="H132" s="217"/>
    </row>
    <row r="133" spans="1:8" x14ac:dyDescent="0.2">
      <c r="A133" s="26"/>
      <c r="B133" s="26"/>
      <c r="C133" s="26" t="s">
        <v>2318</v>
      </c>
      <c r="D133" s="234"/>
      <c r="E133" s="218">
        <v>9306</v>
      </c>
      <c r="F133" s="219">
        <f>SUM(F128:F131)</f>
        <v>53.5</v>
      </c>
      <c r="G133" s="218">
        <v>16659</v>
      </c>
      <c r="H133" s="220">
        <v>55.9</v>
      </c>
    </row>
    <row r="134" spans="1:8" x14ac:dyDescent="0.2">
      <c r="A134" s="26"/>
      <c r="B134" s="26"/>
      <c r="C134" s="26" t="s">
        <v>2318</v>
      </c>
      <c r="D134" s="234"/>
      <c r="E134" s="31"/>
      <c r="F134" s="216"/>
      <c r="G134" s="31"/>
      <c r="H134" s="217"/>
    </row>
    <row r="135" spans="1:8" x14ac:dyDescent="0.2">
      <c r="A135" s="26" t="s">
        <v>5254</v>
      </c>
      <c r="B135" s="26"/>
      <c r="C135" s="214" t="s">
        <v>5629</v>
      </c>
      <c r="D135" s="234" t="s">
        <v>1071</v>
      </c>
      <c r="E135" s="31">
        <v>4960</v>
      </c>
      <c r="F135" s="216">
        <v>60.2</v>
      </c>
      <c r="G135" s="31"/>
      <c r="H135" s="217"/>
    </row>
    <row r="136" spans="1:8" x14ac:dyDescent="0.2">
      <c r="A136" s="26"/>
      <c r="B136" s="26"/>
      <c r="C136" s="26" t="s">
        <v>5467</v>
      </c>
      <c r="D136" s="234" t="s">
        <v>1736</v>
      </c>
      <c r="E136" s="31">
        <v>2389</v>
      </c>
      <c r="F136" s="216">
        <v>17.8</v>
      </c>
      <c r="G136" s="31"/>
      <c r="H136" s="217"/>
    </row>
    <row r="137" spans="1:8" x14ac:dyDescent="0.2">
      <c r="A137" s="26"/>
      <c r="B137" s="26"/>
      <c r="C137" s="26" t="s">
        <v>5631</v>
      </c>
      <c r="D137" s="234" t="s">
        <v>1072</v>
      </c>
      <c r="E137" s="31">
        <v>1325</v>
      </c>
      <c r="F137" s="216"/>
      <c r="G137" s="31"/>
      <c r="H137" s="217"/>
    </row>
    <row r="138" spans="1:8" x14ac:dyDescent="0.2">
      <c r="A138" s="26"/>
      <c r="B138" s="26"/>
      <c r="C138" s="26" t="s">
        <v>5632</v>
      </c>
      <c r="D138" s="234" t="s">
        <v>5573</v>
      </c>
      <c r="E138" s="31">
        <v>1063</v>
      </c>
      <c r="F138" s="216">
        <v>7.7</v>
      </c>
      <c r="G138" s="31"/>
      <c r="H138" s="217"/>
    </row>
    <row r="139" spans="1:8" x14ac:dyDescent="0.2">
      <c r="A139" s="26"/>
      <c r="B139" s="26"/>
      <c r="C139" s="26" t="s">
        <v>5633</v>
      </c>
      <c r="D139" s="234" t="s">
        <v>5578</v>
      </c>
      <c r="E139" s="31">
        <v>218</v>
      </c>
      <c r="F139" s="216"/>
      <c r="G139" s="31"/>
      <c r="H139" s="217"/>
    </row>
    <row r="140" spans="1:8" x14ac:dyDescent="0.2">
      <c r="A140" s="26"/>
      <c r="B140" s="26"/>
      <c r="C140" s="26" t="s">
        <v>2318</v>
      </c>
      <c r="D140" s="234"/>
      <c r="E140" s="218">
        <v>10017</v>
      </c>
      <c r="F140" s="219">
        <f>SUM(F135:F138)</f>
        <v>85.7</v>
      </c>
      <c r="G140" s="218">
        <v>17868</v>
      </c>
      <c r="H140" s="220">
        <v>56.1</v>
      </c>
    </row>
    <row r="141" spans="1:8" x14ac:dyDescent="0.2">
      <c r="A141" s="26"/>
      <c r="B141" s="26"/>
      <c r="C141" s="26"/>
      <c r="D141" s="234"/>
      <c r="E141" s="88"/>
      <c r="F141" s="84"/>
      <c r="G141" s="88"/>
      <c r="H141" s="235"/>
    </row>
    <row r="142" spans="1:8" x14ac:dyDescent="0.2">
      <c r="A142" s="26" t="s">
        <v>5270</v>
      </c>
      <c r="B142" s="26"/>
      <c r="C142" s="214" t="s">
        <v>5271</v>
      </c>
      <c r="D142" s="234" t="s">
        <v>1071</v>
      </c>
      <c r="E142" s="31">
        <v>4823</v>
      </c>
      <c r="F142" s="216">
        <v>60.2</v>
      </c>
      <c r="G142" s="31"/>
      <c r="H142" s="217"/>
    </row>
    <row r="143" spans="1:8" x14ac:dyDescent="0.2">
      <c r="A143" s="26"/>
      <c r="B143" s="26"/>
      <c r="C143" s="26" t="s">
        <v>5630</v>
      </c>
      <c r="D143" s="234" t="s">
        <v>1736</v>
      </c>
      <c r="E143" s="31">
        <v>3249</v>
      </c>
      <c r="F143" s="216">
        <v>17.8</v>
      </c>
      <c r="G143" s="31"/>
      <c r="H143" s="217"/>
    </row>
    <row r="144" spans="1:8" x14ac:dyDescent="0.2">
      <c r="A144" s="26"/>
      <c r="B144" s="26"/>
      <c r="C144" s="26" t="s">
        <v>5634</v>
      </c>
      <c r="D144" s="234" t="s">
        <v>1072</v>
      </c>
      <c r="E144" s="31">
        <v>2071</v>
      </c>
      <c r="F144" s="216"/>
      <c r="G144" s="31"/>
      <c r="H144" s="217"/>
    </row>
    <row r="145" spans="1:8" x14ac:dyDescent="0.2">
      <c r="A145" s="26"/>
      <c r="B145" s="26"/>
      <c r="C145" s="26" t="s">
        <v>5635</v>
      </c>
      <c r="D145" s="234" t="s">
        <v>5636</v>
      </c>
      <c r="E145" s="31">
        <v>1146</v>
      </c>
      <c r="F145" s="216"/>
      <c r="G145" s="31"/>
      <c r="H145" s="217"/>
    </row>
    <row r="146" spans="1:8" x14ac:dyDescent="0.2">
      <c r="A146" s="26"/>
      <c r="B146" s="26"/>
      <c r="C146" s="26" t="s">
        <v>2318</v>
      </c>
      <c r="D146" s="234"/>
      <c r="E146" s="218">
        <v>11313</v>
      </c>
      <c r="F146" s="219">
        <f>SUM(F142:F145)</f>
        <v>78</v>
      </c>
      <c r="G146" s="218">
        <v>19258</v>
      </c>
      <c r="H146" s="220">
        <v>58.7</v>
      </c>
    </row>
    <row r="147" spans="1:8" x14ac:dyDescent="0.2">
      <c r="A147" s="26"/>
      <c r="B147" s="26"/>
      <c r="C147" s="26" t="s">
        <v>2318</v>
      </c>
      <c r="D147" s="234"/>
      <c r="E147" s="31"/>
      <c r="F147" s="216"/>
      <c r="G147" s="31"/>
      <c r="H147" s="217"/>
    </row>
    <row r="148" spans="1:8" x14ac:dyDescent="0.2">
      <c r="A148" s="26" t="s">
        <v>2269</v>
      </c>
      <c r="B148" s="26"/>
      <c r="C148" s="214" t="s">
        <v>5477</v>
      </c>
      <c r="D148" s="234" t="s">
        <v>1071</v>
      </c>
      <c r="E148" s="31">
        <v>3074</v>
      </c>
      <c r="F148" s="216">
        <v>35.200000000000003</v>
      </c>
      <c r="G148" s="31"/>
      <c r="H148" s="217"/>
    </row>
    <row r="149" spans="1:8" x14ac:dyDescent="0.2">
      <c r="A149" s="26"/>
      <c r="B149" s="26"/>
      <c r="C149" s="26" t="s">
        <v>5641</v>
      </c>
      <c r="D149" s="234" t="s">
        <v>1736</v>
      </c>
      <c r="E149" s="31">
        <v>1678</v>
      </c>
      <c r="F149" s="216">
        <v>8</v>
      </c>
      <c r="G149" s="31"/>
      <c r="H149" s="217"/>
    </row>
    <row r="150" spans="1:8" x14ac:dyDescent="0.2">
      <c r="A150" s="26"/>
      <c r="B150" s="26"/>
      <c r="C150" s="26" t="s">
        <v>5642</v>
      </c>
      <c r="D150" s="234" t="s">
        <v>1072</v>
      </c>
      <c r="E150" s="31">
        <v>634</v>
      </c>
      <c r="F150" s="216">
        <v>3.1</v>
      </c>
      <c r="G150" s="31"/>
      <c r="H150" s="217"/>
    </row>
    <row r="151" spans="1:8" x14ac:dyDescent="0.2">
      <c r="A151" s="26"/>
      <c r="B151" s="26"/>
      <c r="C151" s="26" t="s">
        <v>2318</v>
      </c>
      <c r="D151" s="234"/>
      <c r="E151" s="218">
        <v>5408</v>
      </c>
      <c r="F151" s="219">
        <f>SUM(F148:F150)</f>
        <v>46.300000000000004</v>
      </c>
      <c r="G151" s="218">
        <v>8835</v>
      </c>
      <c r="H151" s="220">
        <v>61.2</v>
      </c>
    </row>
    <row r="152" spans="1:8" x14ac:dyDescent="0.2">
      <c r="A152" s="26"/>
      <c r="B152" s="26"/>
      <c r="C152" s="26" t="s">
        <v>2318</v>
      </c>
      <c r="D152" s="234"/>
      <c r="E152" s="31"/>
      <c r="F152" s="216"/>
      <c r="G152" s="31"/>
      <c r="H152" s="217"/>
    </row>
    <row r="153" spans="1:8" x14ac:dyDescent="0.2">
      <c r="A153" s="26" t="s">
        <v>3265</v>
      </c>
      <c r="B153" s="26"/>
      <c r="C153" s="214" t="s">
        <v>5643</v>
      </c>
      <c r="D153" s="234" t="s">
        <v>1071</v>
      </c>
      <c r="E153" s="31">
        <v>2267</v>
      </c>
      <c r="F153" s="216">
        <v>50.3</v>
      </c>
      <c r="G153" s="31"/>
      <c r="H153" s="217"/>
    </row>
    <row r="154" spans="1:8" x14ac:dyDescent="0.2">
      <c r="A154" s="26"/>
      <c r="B154" s="26"/>
      <c r="C154" s="26" t="s">
        <v>5644</v>
      </c>
      <c r="D154" s="234" t="s">
        <v>1736</v>
      </c>
      <c r="E154" s="31">
        <v>754</v>
      </c>
      <c r="F154" s="216">
        <v>4.8</v>
      </c>
      <c r="G154" s="31"/>
      <c r="H154" s="217"/>
    </row>
    <row r="155" spans="1:8" x14ac:dyDescent="0.2">
      <c r="A155" s="26"/>
      <c r="B155" s="26"/>
      <c r="C155" s="26" t="s">
        <v>5645</v>
      </c>
      <c r="D155" s="234" t="s">
        <v>1072</v>
      </c>
      <c r="E155" s="31">
        <v>752</v>
      </c>
      <c r="F155" s="216">
        <v>18</v>
      </c>
      <c r="G155" s="31"/>
      <c r="H155" s="217"/>
    </row>
    <row r="156" spans="1:8" x14ac:dyDescent="0.2">
      <c r="A156" s="26"/>
      <c r="B156" s="26"/>
      <c r="C156" s="26" t="s">
        <v>2318</v>
      </c>
      <c r="D156" s="234"/>
      <c r="E156" s="218">
        <v>3782</v>
      </c>
      <c r="F156" s="219">
        <f>SUM(F153:F155)</f>
        <v>73.099999999999994</v>
      </c>
      <c r="G156" s="218">
        <v>5244</v>
      </c>
      <c r="H156" s="220">
        <v>72.099999999999994</v>
      </c>
    </row>
    <row r="157" spans="1:8" x14ac:dyDescent="0.2">
      <c r="A157" s="26"/>
      <c r="B157" s="26"/>
      <c r="C157" s="26" t="s">
        <v>2318</v>
      </c>
      <c r="D157" s="234"/>
      <c r="E157" s="31"/>
      <c r="F157" s="216"/>
      <c r="G157" s="31"/>
      <c r="H157" s="217"/>
    </row>
    <row r="158" spans="1:8" x14ac:dyDescent="0.2">
      <c r="A158" s="26" t="s">
        <v>1920</v>
      </c>
      <c r="B158" s="26"/>
      <c r="C158" s="214" t="s">
        <v>5285</v>
      </c>
      <c r="D158" s="234" t="s">
        <v>1071</v>
      </c>
      <c r="E158" s="31">
        <v>4213</v>
      </c>
      <c r="F158" s="216">
        <v>50.3</v>
      </c>
      <c r="G158" s="31"/>
      <c r="H158" s="217"/>
    </row>
    <row r="159" spans="1:8" x14ac:dyDescent="0.2">
      <c r="A159" s="26"/>
      <c r="B159" s="26"/>
      <c r="C159" s="26" t="s">
        <v>5646</v>
      </c>
      <c r="D159" s="234" t="s">
        <v>1736</v>
      </c>
      <c r="E159" s="31">
        <v>1391</v>
      </c>
      <c r="F159" s="216">
        <v>4.8</v>
      </c>
      <c r="G159" s="31"/>
      <c r="H159" s="217"/>
    </row>
    <row r="160" spans="1:8" x14ac:dyDescent="0.2">
      <c r="A160" s="26"/>
      <c r="B160" s="26"/>
      <c r="C160" s="26" t="s">
        <v>5647</v>
      </c>
      <c r="D160" s="234" t="s">
        <v>1072</v>
      </c>
      <c r="E160" s="31">
        <v>816</v>
      </c>
      <c r="F160" s="216">
        <v>18</v>
      </c>
      <c r="G160" s="31"/>
      <c r="H160" s="217"/>
    </row>
    <row r="161" spans="1:8" x14ac:dyDescent="0.2">
      <c r="A161" s="26"/>
      <c r="B161" s="26"/>
      <c r="C161" s="26" t="s">
        <v>2318</v>
      </c>
      <c r="D161" s="234"/>
      <c r="E161" s="218">
        <v>6439</v>
      </c>
      <c r="F161" s="219">
        <f>SUM(F158:F160)</f>
        <v>73.099999999999994</v>
      </c>
      <c r="G161" s="218">
        <v>9694</v>
      </c>
      <c r="H161" s="220">
        <v>66.400000000000006</v>
      </c>
    </row>
    <row r="162" spans="1:8" ht="12.75" customHeight="1" x14ac:dyDescent="0.2">
      <c r="A162" s="26"/>
      <c r="B162" s="26"/>
      <c r="C162" s="26"/>
      <c r="D162" s="234"/>
      <c r="E162" s="88"/>
      <c r="F162" s="84"/>
      <c r="G162" s="88"/>
      <c r="H162" s="235"/>
    </row>
    <row r="163" spans="1:8" x14ac:dyDescent="0.2">
      <c r="A163" s="26" t="s">
        <v>0</v>
      </c>
      <c r="B163" s="26"/>
      <c r="C163" s="214" t="s">
        <v>5291</v>
      </c>
      <c r="D163" s="234" t="s">
        <v>1071</v>
      </c>
      <c r="E163" s="31">
        <v>3727</v>
      </c>
      <c r="F163" s="216">
        <v>50.3</v>
      </c>
      <c r="G163" s="31"/>
      <c r="H163" s="217"/>
    </row>
    <row r="164" spans="1:8" x14ac:dyDescent="0.2">
      <c r="A164" s="26"/>
      <c r="B164" s="26"/>
      <c r="C164" s="26" t="s">
        <v>5648</v>
      </c>
      <c r="D164" s="234" t="s">
        <v>1072</v>
      </c>
      <c r="E164" s="31">
        <v>1476</v>
      </c>
      <c r="F164" s="216">
        <v>4.8</v>
      </c>
      <c r="G164" s="31"/>
      <c r="H164" s="217"/>
    </row>
    <row r="165" spans="1:8" x14ac:dyDescent="0.2">
      <c r="A165" s="26"/>
      <c r="B165" s="26"/>
      <c r="C165" s="26" t="s">
        <v>5649</v>
      </c>
      <c r="D165" s="234" t="s">
        <v>1736</v>
      </c>
      <c r="E165" s="31">
        <v>1309</v>
      </c>
      <c r="F165" s="216">
        <v>18</v>
      </c>
      <c r="G165" s="31"/>
      <c r="H165" s="217"/>
    </row>
    <row r="166" spans="1:8" x14ac:dyDescent="0.2">
      <c r="A166" s="26"/>
      <c r="B166" s="26"/>
      <c r="C166" s="26" t="s">
        <v>2318</v>
      </c>
      <c r="D166" s="234"/>
      <c r="E166" s="218">
        <v>6537</v>
      </c>
      <c r="F166" s="219">
        <f>SUM(F163:F165)</f>
        <v>73.099999999999994</v>
      </c>
      <c r="G166" s="218">
        <v>9020</v>
      </c>
      <c r="H166" s="220">
        <v>72.5</v>
      </c>
    </row>
    <row r="167" spans="1:8" x14ac:dyDescent="0.2">
      <c r="A167" s="26"/>
      <c r="B167" s="26"/>
      <c r="C167" s="26" t="s">
        <v>2318</v>
      </c>
      <c r="D167" s="234"/>
      <c r="E167" s="31"/>
      <c r="F167" s="216"/>
      <c r="G167" s="31"/>
      <c r="H167" s="217"/>
    </row>
    <row r="168" spans="1:8" x14ac:dyDescent="0.2">
      <c r="A168" s="26" t="s">
        <v>370</v>
      </c>
      <c r="B168" s="26"/>
      <c r="C168" s="214" t="s">
        <v>5483</v>
      </c>
      <c r="D168" s="234" t="s">
        <v>1071</v>
      </c>
      <c r="E168" s="31">
        <v>3052</v>
      </c>
      <c r="F168" s="216">
        <v>50.3</v>
      </c>
      <c r="G168" s="31"/>
      <c r="H168" s="217"/>
    </row>
    <row r="169" spans="1:8" x14ac:dyDescent="0.2">
      <c r="A169" s="26"/>
      <c r="B169" s="26"/>
      <c r="C169" s="26" t="s">
        <v>5650</v>
      </c>
      <c r="D169" s="234" t="s">
        <v>1736</v>
      </c>
      <c r="E169" s="31">
        <v>1074</v>
      </c>
      <c r="F169" s="216"/>
      <c r="G169" s="31"/>
      <c r="H169" s="217"/>
    </row>
    <row r="170" spans="1:8" x14ac:dyDescent="0.2">
      <c r="A170" s="26"/>
      <c r="B170" s="26"/>
      <c r="C170" s="26" t="s">
        <v>5654</v>
      </c>
      <c r="D170" s="234" t="s">
        <v>1072</v>
      </c>
      <c r="E170" s="31">
        <v>489</v>
      </c>
      <c r="F170" s="216">
        <v>4.8</v>
      </c>
      <c r="G170" s="31"/>
      <c r="H170" s="217"/>
    </row>
    <row r="171" spans="1:8" x14ac:dyDescent="0.2">
      <c r="A171" s="26"/>
      <c r="B171" s="26"/>
      <c r="C171" s="26" t="s">
        <v>2318</v>
      </c>
      <c r="D171" s="234"/>
      <c r="E171" s="218">
        <v>4625</v>
      </c>
      <c r="F171" s="219">
        <f>SUM(F168:F170)</f>
        <v>55.099999999999994</v>
      </c>
      <c r="G171" s="218">
        <v>5934</v>
      </c>
      <c r="H171" s="220">
        <v>77.900000000000006</v>
      </c>
    </row>
    <row r="172" spans="1:8" x14ac:dyDescent="0.2">
      <c r="A172" s="26"/>
      <c r="B172" s="26"/>
      <c r="C172" s="26" t="s">
        <v>2318</v>
      </c>
      <c r="D172" s="234"/>
      <c r="E172" s="31"/>
      <c r="F172" s="216"/>
      <c r="G172" s="31"/>
      <c r="H172" s="217"/>
    </row>
    <row r="173" spans="1:8" x14ac:dyDescent="0.2">
      <c r="A173" s="26" t="s">
        <v>5655</v>
      </c>
      <c r="B173" s="26"/>
      <c r="C173" s="214" t="s">
        <v>5656</v>
      </c>
      <c r="D173" s="234" t="s">
        <v>1071</v>
      </c>
      <c r="E173" s="31">
        <v>5047</v>
      </c>
      <c r="F173" s="216">
        <v>64.34</v>
      </c>
      <c r="G173" s="31"/>
      <c r="H173" s="217"/>
    </row>
    <row r="174" spans="1:8" x14ac:dyDescent="0.2">
      <c r="A174" s="26"/>
      <c r="B174" s="26"/>
      <c r="C174" s="26" t="s">
        <v>5657</v>
      </c>
      <c r="D174" s="234" t="s">
        <v>1736</v>
      </c>
      <c r="E174" s="31">
        <v>4507</v>
      </c>
      <c r="F174" s="216"/>
      <c r="G174" s="31"/>
      <c r="H174" s="217"/>
    </row>
    <row r="175" spans="1:8" x14ac:dyDescent="0.2">
      <c r="A175" s="26"/>
      <c r="B175" s="26"/>
      <c r="C175" s="26" t="s">
        <v>5658</v>
      </c>
      <c r="D175" s="234" t="s">
        <v>1072</v>
      </c>
      <c r="E175" s="31">
        <v>2782</v>
      </c>
      <c r="F175" s="216">
        <v>3.75</v>
      </c>
      <c r="G175" s="31"/>
      <c r="H175" s="217"/>
    </row>
    <row r="176" spans="1:8" x14ac:dyDescent="0.2">
      <c r="A176" s="26"/>
      <c r="B176" s="26"/>
      <c r="C176" s="26" t="s">
        <v>2318</v>
      </c>
      <c r="D176" s="234"/>
      <c r="E176" s="218">
        <v>12416</v>
      </c>
      <c r="F176" s="219">
        <v>100</v>
      </c>
      <c r="G176" s="218">
        <v>19592</v>
      </c>
      <c r="H176" s="220">
        <v>63.4</v>
      </c>
    </row>
    <row r="177" spans="1:8" x14ac:dyDescent="0.2">
      <c r="A177" s="26"/>
      <c r="B177" s="26"/>
      <c r="C177" s="26" t="s">
        <v>2318</v>
      </c>
      <c r="D177" s="234"/>
      <c r="E177" s="31"/>
      <c r="F177" s="216"/>
      <c r="G177" s="31"/>
      <c r="H177" s="217"/>
    </row>
    <row r="178" spans="1:8" x14ac:dyDescent="0.2">
      <c r="A178" s="26" t="s">
        <v>5293</v>
      </c>
      <c r="B178" s="26"/>
      <c r="C178" s="214" t="s">
        <v>5294</v>
      </c>
      <c r="D178" s="234" t="s">
        <v>1072</v>
      </c>
      <c r="E178" s="31">
        <v>1734</v>
      </c>
      <c r="F178" s="216">
        <v>64.34</v>
      </c>
      <c r="G178" s="31"/>
      <c r="H178" s="217"/>
    </row>
    <row r="179" spans="1:8" x14ac:dyDescent="0.2">
      <c r="A179" s="26"/>
      <c r="B179" s="26"/>
      <c r="C179" s="26" t="s">
        <v>5651</v>
      </c>
      <c r="D179" s="234" t="s">
        <v>1071</v>
      </c>
      <c r="E179" s="31">
        <v>1518</v>
      </c>
      <c r="F179" s="216"/>
      <c r="G179" s="31"/>
      <c r="H179" s="217"/>
    </row>
    <row r="180" spans="1:8" x14ac:dyDescent="0.2">
      <c r="A180" s="26"/>
      <c r="B180" s="26"/>
      <c r="C180" s="26" t="s">
        <v>5486</v>
      </c>
      <c r="D180" s="234" t="s">
        <v>1736</v>
      </c>
      <c r="E180" s="31">
        <v>411</v>
      </c>
      <c r="F180" s="216">
        <v>3.75</v>
      </c>
      <c r="G180" s="31"/>
      <c r="H180" s="217"/>
    </row>
    <row r="181" spans="1:8" x14ac:dyDescent="0.2">
      <c r="A181" s="26"/>
      <c r="B181" s="26"/>
      <c r="C181" s="26" t="s">
        <v>2318</v>
      </c>
      <c r="D181" s="234"/>
      <c r="E181" s="218">
        <f>SUM(E178:E180)</f>
        <v>3663</v>
      </c>
      <c r="F181" s="219">
        <v>100</v>
      </c>
      <c r="G181" s="218">
        <v>5263</v>
      </c>
      <c r="H181" s="220">
        <v>69.900000000000006</v>
      </c>
    </row>
    <row r="182" spans="1:8" x14ac:dyDescent="0.2">
      <c r="A182" s="26"/>
      <c r="B182" s="26"/>
      <c r="C182" s="26" t="s">
        <v>2318</v>
      </c>
      <c r="D182" s="234"/>
      <c r="E182" s="31"/>
      <c r="F182" s="216"/>
      <c r="G182" s="31"/>
      <c r="H182" s="217"/>
    </row>
    <row r="183" spans="1:8" x14ac:dyDescent="0.2">
      <c r="A183" s="26" t="s">
        <v>1744</v>
      </c>
      <c r="B183" s="26"/>
      <c r="C183" s="214" t="s">
        <v>5300</v>
      </c>
      <c r="D183" s="234" t="s">
        <v>1071</v>
      </c>
      <c r="E183" s="31">
        <v>3089</v>
      </c>
      <c r="F183" s="216">
        <v>4.6500000000000004</v>
      </c>
      <c r="G183" s="31"/>
      <c r="H183" s="217"/>
    </row>
    <row r="184" spans="1:8" x14ac:dyDescent="0.2">
      <c r="A184" s="26"/>
      <c r="B184" s="26"/>
      <c r="C184" s="26" t="s">
        <v>5652</v>
      </c>
      <c r="D184" s="234" t="s">
        <v>1736</v>
      </c>
      <c r="E184" s="31">
        <v>1162</v>
      </c>
      <c r="F184" s="216">
        <v>19.59</v>
      </c>
      <c r="G184" s="31"/>
      <c r="H184" s="217"/>
    </row>
    <row r="185" spans="1:8" x14ac:dyDescent="0.2">
      <c r="A185" s="26"/>
      <c r="B185" s="26"/>
      <c r="C185" s="26" t="s">
        <v>5653</v>
      </c>
      <c r="D185" s="234" t="s">
        <v>5636</v>
      </c>
      <c r="E185" s="31">
        <v>620</v>
      </c>
      <c r="F185" s="216">
        <v>49.91</v>
      </c>
      <c r="G185" s="31"/>
      <c r="H185" s="217"/>
    </row>
    <row r="186" spans="1:8" x14ac:dyDescent="0.2">
      <c r="A186" s="26"/>
      <c r="B186" s="26"/>
      <c r="C186" s="26" t="s">
        <v>2318</v>
      </c>
      <c r="D186" s="234"/>
      <c r="E186" s="218">
        <v>4871</v>
      </c>
      <c r="F186" s="219">
        <f>SUM(F183:F185)</f>
        <v>74.150000000000006</v>
      </c>
      <c r="G186" s="218">
        <v>6824</v>
      </c>
      <c r="H186" s="220">
        <v>71.400000000000006</v>
      </c>
    </row>
    <row r="187" spans="1:8" x14ac:dyDescent="0.2">
      <c r="A187" s="26"/>
      <c r="B187" s="26"/>
      <c r="C187" s="26"/>
      <c r="D187" s="234"/>
      <c r="E187" s="88"/>
      <c r="F187" s="84"/>
      <c r="G187" s="88"/>
      <c r="H187" s="235"/>
    </row>
    <row r="188" spans="1:8" x14ac:dyDescent="0.2">
      <c r="A188" s="26" t="s">
        <v>1</v>
      </c>
      <c r="B188" s="26"/>
      <c r="C188" s="214" t="s">
        <v>5297</v>
      </c>
      <c r="D188" s="234" t="s">
        <v>1071</v>
      </c>
      <c r="E188" s="31">
        <v>3089</v>
      </c>
      <c r="F188" s="216">
        <v>4.6500000000000004</v>
      </c>
      <c r="G188" s="31"/>
      <c r="H188" s="217"/>
    </row>
    <row r="189" spans="1:8" x14ac:dyDescent="0.2">
      <c r="A189" s="26"/>
      <c r="B189" s="26"/>
      <c r="C189" s="26" t="s">
        <v>5659</v>
      </c>
      <c r="D189" s="234" t="s">
        <v>1736</v>
      </c>
      <c r="E189" s="31">
        <v>1129</v>
      </c>
      <c r="F189" s="216"/>
      <c r="G189" s="31"/>
      <c r="H189" s="217"/>
    </row>
    <row r="190" spans="1:8" x14ac:dyDescent="0.2">
      <c r="A190" s="26"/>
      <c r="B190" s="26"/>
      <c r="C190" s="26" t="s">
        <v>5490</v>
      </c>
      <c r="D190" s="234" t="s">
        <v>1072</v>
      </c>
      <c r="E190" s="31">
        <v>907</v>
      </c>
      <c r="F190" s="216"/>
      <c r="G190" s="31"/>
      <c r="H190" s="217"/>
    </row>
    <row r="191" spans="1:8" x14ac:dyDescent="0.2">
      <c r="A191" s="26"/>
      <c r="B191" s="26"/>
      <c r="C191" s="26" t="s">
        <v>5660</v>
      </c>
      <c r="D191" s="234" t="s">
        <v>5636</v>
      </c>
      <c r="E191" s="31">
        <v>582</v>
      </c>
      <c r="F191" s="216">
        <v>49.91</v>
      </c>
      <c r="G191" s="31"/>
      <c r="H191" s="217"/>
    </row>
    <row r="192" spans="1:8" x14ac:dyDescent="0.2">
      <c r="A192" s="26"/>
      <c r="B192" s="26"/>
      <c r="C192" s="26" t="s">
        <v>2318</v>
      </c>
      <c r="D192" s="234"/>
      <c r="E192" s="218">
        <v>4913</v>
      </c>
      <c r="F192" s="219">
        <f>SUM(F188:F191)</f>
        <v>54.559999999999995</v>
      </c>
      <c r="G192" s="218">
        <v>7008</v>
      </c>
      <c r="H192" s="220">
        <v>70.2</v>
      </c>
    </row>
    <row r="193" spans="1:8" x14ac:dyDescent="0.2">
      <c r="A193" s="26"/>
      <c r="B193" s="26"/>
      <c r="C193" s="26"/>
      <c r="D193" s="234"/>
      <c r="E193" s="88"/>
      <c r="F193" s="84"/>
      <c r="G193" s="88"/>
      <c r="H193" s="235"/>
    </row>
    <row r="194" spans="1:8" x14ac:dyDescent="0.2">
      <c r="A194" s="26" t="s">
        <v>1931</v>
      </c>
      <c r="B194" s="26"/>
      <c r="C194" s="214" t="s">
        <v>5494</v>
      </c>
      <c r="D194" s="234" t="s">
        <v>4860</v>
      </c>
      <c r="E194" s="31">
        <v>2334</v>
      </c>
      <c r="F194" s="216">
        <v>59.7</v>
      </c>
      <c r="G194" s="31"/>
      <c r="H194" s="217"/>
    </row>
    <row r="195" spans="1:8" x14ac:dyDescent="0.2">
      <c r="A195" s="26"/>
      <c r="B195" s="26"/>
      <c r="C195" s="26" t="s">
        <v>5492</v>
      </c>
      <c r="D195" s="234" t="s">
        <v>1736</v>
      </c>
      <c r="E195" s="31">
        <v>1494</v>
      </c>
      <c r="F195" s="216"/>
      <c r="G195" s="31"/>
      <c r="H195" s="217"/>
    </row>
    <row r="196" spans="1:8" x14ac:dyDescent="0.2">
      <c r="A196" s="26"/>
      <c r="B196" s="26"/>
      <c r="C196" s="26" t="s">
        <v>5493</v>
      </c>
      <c r="D196" s="234" t="s">
        <v>5636</v>
      </c>
      <c r="E196" s="31">
        <v>676</v>
      </c>
      <c r="F196" s="216"/>
      <c r="G196" s="31"/>
      <c r="H196" s="217"/>
    </row>
    <row r="197" spans="1:8" x14ac:dyDescent="0.2">
      <c r="A197" s="26"/>
      <c r="B197" s="26"/>
      <c r="C197" s="26" t="s">
        <v>2318</v>
      </c>
      <c r="D197" s="234"/>
      <c r="E197" s="218">
        <v>4512</v>
      </c>
      <c r="F197" s="219">
        <f>SUM(F194:F196)</f>
        <v>59.7</v>
      </c>
      <c r="G197" s="218">
        <v>7113</v>
      </c>
      <c r="H197" s="220">
        <v>63.4</v>
      </c>
    </row>
    <row r="198" spans="1:8" x14ac:dyDescent="0.2">
      <c r="A198" s="26"/>
      <c r="B198" s="26"/>
      <c r="C198" s="26" t="s">
        <v>2318</v>
      </c>
      <c r="D198" s="234"/>
      <c r="E198" s="31"/>
      <c r="F198" s="216"/>
      <c r="G198" s="31"/>
      <c r="H198" s="217"/>
    </row>
    <row r="199" spans="1:8" x14ac:dyDescent="0.2">
      <c r="A199" s="26" t="s">
        <v>3</v>
      </c>
      <c r="B199" s="26"/>
      <c r="C199" s="214" t="s">
        <v>5302</v>
      </c>
      <c r="D199" s="234" t="s">
        <v>1071</v>
      </c>
      <c r="E199" s="31">
        <v>7250</v>
      </c>
      <c r="F199" s="216">
        <v>59.7</v>
      </c>
      <c r="G199" s="31"/>
      <c r="H199" s="217"/>
    </row>
    <row r="200" spans="1:8" x14ac:dyDescent="0.2">
      <c r="A200" s="26"/>
      <c r="B200" s="26"/>
      <c r="C200" s="26" t="s">
        <v>5661</v>
      </c>
      <c r="D200" s="234" t="s">
        <v>1736</v>
      </c>
      <c r="E200" s="31">
        <v>2917</v>
      </c>
      <c r="F200" s="216">
        <v>13.99</v>
      </c>
      <c r="G200" s="31"/>
      <c r="H200" s="217"/>
    </row>
    <row r="201" spans="1:8" x14ac:dyDescent="0.2">
      <c r="A201" s="26"/>
      <c r="B201" s="26"/>
      <c r="C201" s="26" t="s">
        <v>5662</v>
      </c>
      <c r="D201" s="234" t="s">
        <v>1072</v>
      </c>
      <c r="E201" s="31">
        <v>1525</v>
      </c>
      <c r="F201" s="216"/>
      <c r="G201" s="31"/>
      <c r="H201" s="217"/>
    </row>
    <row r="202" spans="1:8" x14ac:dyDescent="0.2">
      <c r="A202" s="26"/>
      <c r="B202" s="26"/>
      <c r="C202" s="26" t="s">
        <v>2318</v>
      </c>
      <c r="D202" s="234"/>
      <c r="E202" s="218">
        <v>11737</v>
      </c>
      <c r="F202" s="219">
        <f>SUM(F199:F200)</f>
        <v>73.69</v>
      </c>
      <c r="G202" s="218">
        <v>18119</v>
      </c>
      <c r="H202" s="220">
        <v>64.8</v>
      </c>
    </row>
    <row r="203" spans="1:8" x14ac:dyDescent="0.2">
      <c r="A203" s="26"/>
      <c r="B203" s="26"/>
      <c r="C203" s="26" t="s">
        <v>2318</v>
      </c>
      <c r="D203" s="234"/>
      <c r="E203" s="31"/>
      <c r="F203" s="216"/>
      <c r="G203" s="31"/>
      <c r="H203" s="217"/>
    </row>
    <row r="204" spans="1:8" x14ac:dyDescent="0.2">
      <c r="A204" s="26" t="s">
        <v>3185</v>
      </c>
      <c r="B204" s="26"/>
      <c r="C204" s="214" t="s">
        <v>1240</v>
      </c>
      <c r="D204" s="234" t="s">
        <v>1071</v>
      </c>
      <c r="E204" s="31">
        <v>2939</v>
      </c>
      <c r="F204" s="216">
        <v>0.75</v>
      </c>
      <c r="G204" s="31"/>
      <c r="H204" s="217"/>
    </row>
    <row r="205" spans="1:8" x14ac:dyDescent="0.2">
      <c r="A205" s="26"/>
      <c r="B205" s="26"/>
      <c r="C205" s="26" t="s">
        <v>5663</v>
      </c>
      <c r="D205" s="234" t="s">
        <v>1736</v>
      </c>
      <c r="E205" s="31">
        <v>989</v>
      </c>
      <c r="F205" s="216">
        <v>4.13</v>
      </c>
      <c r="G205" s="31"/>
      <c r="H205" s="217"/>
    </row>
    <row r="206" spans="1:8" x14ac:dyDescent="0.2">
      <c r="C206" s="26" t="s">
        <v>5664</v>
      </c>
      <c r="D206" s="234" t="s">
        <v>1072</v>
      </c>
      <c r="E206" s="31">
        <v>1245</v>
      </c>
      <c r="F206" s="216">
        <v>29.49</v>
      </c>
    </row>
    <row r="207" spans="1:8" x14ac:dyDescent="0.2">
      <c r="A207" s="26"/>
      <c r="B207" s="26"/>
      <c r="C207" s="26" t="s">
        <v>2318</v>
      </c>
      <c r="D207" s="234"/>
      <c r="E207" s="218">
        <v>4542</v>
      </c>
      <c r="F207" s="219">
        <f>SUM(F204:F206)</f>
        <v>34.369999999999997</v>
      </c>
      <c r="G207" s="218">
        <v>5805</v>
      </c>
      <c r="H207" s="220">
        <v>78.2</v>
      </c>
    </row>
    <row r="208" spans="1:8" x14ac:dyDescent="0.2">
      <c r="A208" s="26"/>
      <c r="B208" s="26"/>
      <c r="C208" s="26" t="s">
        <v>2318</v>
      </c>
      <c r="D208" s="234"/>
      <c r="E208" s="31"/>
      <c r="F208" s="216"/>
      <c r="G208" s="31"/>
      <c r="H208" s="217"/>
    </row>
    <row r="209" spans="1:8" x14ac:dyDescent="0.2">
      <c r="A209" s="26" t="s">
        <v>1752</v>
      </c>
      <c r="B209" s="26"/>
      <c r="C209" s="214" t="s">
        <v>5500</v>
      </c>
      <c r="D209" s="234" t="s">
        <v>1071</v>
      </c>
      <c r="E209" s="31">
        <v>3127</v>
      </c>
      <c r="F209" s="216">
        <v>5.4</v>
      </c>
      <c r="G209" s="31"/>
      <c r="H209" s="217"/>
    </row>
    <row r="210" spans="1:8" x14ac:dyDescent="0.2">
      <c r="A210" s="26"/>
      <c r="B210" s="26"/>
      <c r="C210" s="26" t="s">
        <v>5501</v>
      </c>
      <c r="D210" s="234" t="s">
        <v>1736</v>
      </c>
      <c r="E210" s="31">
        <v>1466</v>
      </c>
      <c r="F210" s="216">
        <v>58.9</v>
      </c>
      <c r="G210" s="31"/>
      <c r="H210" s="217"/>
    </row>
    <row r="211" spans="1:8" x14ac:dyDescent="0.2">
      <c r="A211" s="26"/>
      <c r="B211" s="26"/>
      <c r="C211" s="26" t="s">
        <v>5502</v>
      </c>
      <c r="D211" s="234" t="s">
        <v>655</v>
      </c>
      <c r="E211" s="31">
        <v>238</v>
      </c>
      <c r="F211" s="216"/>
      <c r="G211" s="31"/>
      <c r="H211" s="217"/>
    </row>
    <row r="212" spans="1:8" x14ac:dyDescent="0.2">
      <c r="A212" s="26"/>
      <c r="B212" s="26"/>
      <c r="C212" s="26" t="s">
        <v>2318</v>
      </c>
      <c r="D212" s="234"/>
      <c r="E212" s="218">
        <f>SUM(E209:E211)</f>
        <v>4831</v>
      </c>
      <c r="F212" s="219">
        <v>100</v>
      </c>
      <c r="G212" s="218">
        <v>7377</v>
      </c>
      <c r="H212" s="220">
        <v>65.7</v>
      </c>
    </row>
    <row r="213" spans="1:8" x14ac:dyDescent="0.2">
      <c r="A213" s="26"/>
      <c r="B213" s="26"/>
      <c r="C213" s="26" t="s">
        <v>2318</v>
      </c>
      <c r="D213" s="234"/>
      <c r="E213" s="31"/>
      <c r="F213" s="216"/>
      <c r="G213" s="31"/>
      <c r="H213" s="217"/>
    </row>
    <row r="214" spans="1:8" x14ac:dyDescent="0.2">
      <c r="A214" s="26" t="s">
        <v>3195</v>
      </c>
      <c r="B214" s="26"/>
      <c r="C214" s="214" t="s">
        <v>5665</v>
      </c>
      <c r="D214" s="234" t="s">
        <v>1071</v>
      </c>
      <c r="E214" s="31">
        <v>5604</v>
      </c>
      <c r="F214" s="216">
        <v>13.72</v>
      </c>
      <c r="G214" s="31"/>
      <c r="H214" s="217"/>
    </row>
    <row r="215" spans="1:8" x14ac:dyDescent="0.2">
      <c r="A215" s="26"/>
      <c r="B215" s="26"/>
      <c r="C215" s="26" t="s">
        <v>5666</v>
      </c>
      <c r="D215" s="234" t="s">
        <v>1736</v>
      </c>
      <c r="E215" s="31">
        <v>1780</v>
      </c>
      <c r="F215" s="216">
        <v>72.849999999999994</v>
      </c>
      <c r="G215" s="31"/>
      <c r="H215" s="217"/>
    </row>
    <row r="216" spans="1:8" x14ac:dyDescent="0.2">
      <c r="A216" s="26"/>
      <c r="B216" s="26"/>
      <c r="C216" s="26" t="s">
        <v>5667</v>
      </c>
      <c r="D216" s="234" t="s">
        <v>1072</v>
      </c>
      <c r="E216" s="31">
        <v>597</v>
      </c>
      <c r="F216" s="216">
        <v>5.25</v>
      </c>
      <c r="G216" s="31"/>
      <c r="H216" s="217"/>
    </row>
    <row r="217" spans="1:8" x14ac:dyDescent="0.2">
      <c r="A217" s="26"/>
      <c r="B217" s="26"/>
      <c r="C217" s="26" t="s">
        <v>5668</v>
      </c>
      <c r="D217" s="234" t="s">
        <v>5636</v>
      </c>
      <c r="E217" s="31">
        <v>495</v>
      </c>
      <c r="F217" s="216"/>
      <c r="G217" s="31"/>
      <c r="H217" s="217"/>
    </row>
    <row r="218" spans="1:8" x14ac:dyDescent="0.2">
      <c r="A218" s="26"/>
      <c r="B218" s="26"/>
      <c r="C218" s="26" t="s">
        <v>2318</v>
      </c>
      <c r="D218" s="234"/>
      <c r="E218" s="218">
        <v>8639</v>
      </c>
      <c r="F218" s="219">
        <f>SUM(F214:F217)</f>
        <v>91.82</v>
      </c>
      <c r="G218" s="218">
        <v>13957</v>
      </c>
      <c r="H218" s="220">
        <v>61.9</v>
      </c>
    </row>
    <row r="219" spans="1:8" x14ac:dyDescent="0.2">
      <c r="A219" s="26"/>
      <c r="B219" s="26"/>
      <c r="C219" s="26"/>
      <c r="D219" s="234"/>
      <c r="E219" s="88"/>
      <c r="F219" s="84"/>
      <c r="G219" s="88"/>
      <c r="H219" s="235"/>
    </row>
    <row r="220" spans="1:8" x14ac:dyDescent="0.2">
      <c r="A220" s="26" t="s">
        <v>716</v>
      </c>
      <c r="B220" s="26"/>
      <c r="C220" s="214" t="s">
        <v>5669</v>
      </c>
      <c r="D220" s="234" t="s">
        <v>1071</v>
      </c>
      <c r="E220" s="31">
        <v>2642</v>
      </c>
      <c r="F220" s="216">
        <v>70.16</v>
      </c>
      <c r="G220" s="31"/>
      <c r="H220" s="217"/>
    </row>
    <row r="221" spans="1:8" x14ac:dyDescent="0.2">
      <c r="A221" s="26"/>
      <c r="B221" s="26"/>
      <c r="C221" s="26" t="s">
        <v>5670</v>
      </c>
      <c r="D221" s="234" t="s">
        <v>4877</v>
      </c>
      <c r="E221" s="31">
        <v>1427</v>
      </c>
      <c r="F221" s="216">
        <v>27.57</v>
      </c>
      <c r="G221" s="31"/>
      <c r="H221" s="217"/>
    </row>
    <row r="222" spans="1:8" x14ac:dyDescent="0.2">
      <c r="A222" s="26"/>
      <c r="B222" s="26"/>
      <c r="C222" s="26" t="s">
        <v>5671</v>
      </c>
      <c r="D222" s="234" t="s">
        <v>1736</v>
      </c>
      <c r="E222" s="31">
        <v>1069</v>
      </c>
      <c r="F222" s="216"/>
      <c r="G222" s="31"/>
      <c r="H222" s="217"/>
    </row>
    <row r="223" spans="1:8" x14ac:dyDescent="0.2">
      <c r="A223" s="26"/>
      <c r="B223" s="26"/>
      <c r="C223" s="26" t="s">
        <v>2318</v>
      </c>
      <c r="D223" s="234"/>
      <c r="E223" s="218">
        <v>5138</v>
      </c>
      <c r="F223" s="219">
        <f>SUM(F220:F222)</f>
        <v>97.72999999999999</v>
      </c>
      <c r="G223" s="218">
        <v>6939</v>
      </c>
      <c r="H223" s="220">
        <v>74</v>
      </c>
    </row>
    <row r="224" spans="1:8" x14ac:dyDescent="0.2">
      <c r="A224" s="26"/>
      <c r="B224" s="26"/>
      <c r="C224" s="26" t="s">
        <v>2318</v>
      </c>
      <c r="D224" s="234"/>
      <c r="E224" s="31"/>
      <c r="F224" s="216"/>
      <c r="G224" s="31"/>
      <c r="H224" s="217"/>
    </row>
    <row r="225" spans="1:8" x14ac:dyDescent="0.2">
      <c r="A225" s="26" t="s">
        <v>1241</v>
      </c>
      <c r="B225" s="26"/>
      <c r="C225" s="214" t="s">
        <v>5139</v>
      </c>
      <c r="D225" s="234" t="s">
        <v>1071</v>
      </c>
      <c r="E225" s="31">
        <v>3424</v>
      </c>
      <c r="F225" s="216">
        <v>70.16</v>
      </c>
      <c r="G225" s="31"/>
      <c r="H225" s="217"/>
    </row>
    <row r="226" spans="1:8" x14ac:dyDescent="0.2">
      <c r="A226" s="26"/>
      <c r="B226" s="26"/>
      <c r="C226" s="26" t="s">
        <v>5672</v>
      </c>
      <c r="D226" s="234" t="s">
        <v>1736</v>
      </c>
      <c r="E226" s="31">
        <v>1728</v>
      </c>
      <c r="F226" s="216">
        <v>27.57</v>
      </c>
      <c r="G226" s="31"/>
      <c r="H226" s="217"/>
    </row>
    <row r="227" spans="1:8" x14ac:dyDescent="0.2">
      <c r="A227" s="26"/>
      <c r="B227" s="26"/>
      <c r="C227" s="26" t="s">
        <v>2318</v>
      </c>
      <c r="D227" s="234"/>
      <c r="E227" s="218">
        <v>5165</v>
      </c>
      <c r="F227" s="219">
        <f>SUM(F225:F226)</f>
        <v>97.72999999999999</v>
      </c>
      <c r="G227" s="218">
        <v>6939</v>
      </c>
      <c r="H227" s="220">
        <v>74</v>
      </c>
    </row>
    <row r="228" spans="1:8" x14ac:dyDescent="0.2">
      <c r="A228" s="26"/>
      <c r="B228" s="26"/>
      <c r="C228" s="26" t="s">
        <v>2318</v>
      </c>
      <c r="D228" s="234"/>
      <c r="E228" s="31"/>
      <c r="F228" s="216"/>
      <c r="G228" s="31"/>
      <c r="H228" s="217"/>
    </row>
    <row r="229" spans="1:8" x14ac:dyDescent="0.2">
      <c r="A229" s="26" t="s">
        <v>415</v>
      </c>
      <c r="B229" s="26"/>
      <c r="C229" s="214" t="s">
        <v>5673</v>
      </c>
      <c r="D229" s="234" t="s">
        <v>1071</v>
      </c>
      <c r="E229" s="31">
        <v>2864</v>
      </c>
      <c r="F229" s="216">
        <v>59.8</v>
      </c>
      <c r="G229" s="31"/>
      <c r="H229" s="217"/>
    </row>
    <row r="230" spans="1:8" x14ac:dyDescent="0.2">
      <c r="A230" s="26"/>
      <c r="B230" s="26"/>
      <c r="C230" s="26" t="s">
        <v>5674</v>
      </c>
      <c r="D230" s="234" t="s">
        <v>1736</v>
      </c>
      <c r="E230" s="31">
        <v>1190</v>
      </c>
      <c r="F230" s="216">
        <v>24.59</v>
      </c>
      <c r="G230" s="31"/>
      <c r="H230" s="217"/>
    </row>
    <row r="231" spans="1:8" x14ac:dyDescent="0.2">
      <c r="A231" s="26"/>
      <c r="B231" s="26"/>
      <c r="C231" s="26" t="s">
        <v>5675</v>
      </c>
      <c r="D231" s="234" t="s">
        <v>1072</v>
      </c>
      <c r="E231" s="31">
        <v>650</v>
      </c>
      <c r="F231" s="216"/>
      <c r="G231" s="31"/>
      <c r="H231" s="217"/>
    </row>
    <row r="232" spans="1:8" x14ac:dyDescent="0.2">
      <c r="A232" s="26"/>
      <c r="B232" s="26"/>
      <c r="C232" s="26" t="s">
        <v>2318</v>
      </c>
      <c r="D232" s="234"/>
      <c r="E232" s="218">
        <v>4723</v>
      </c>
      <c r="F232" s="219">
        <f>SUM(F229:F231)</f>
        <v>84.39</v>
      </c>
      <c r="G232" s="218">
        <v>7398</v>
      </c>
      <c r="H232" s="220">
        <v>63.8</v>
      </c>
    </row>
    <row r="233" spans="1:8" x14ac:dyDescent="0.2">
      <c r="A233" s="26"/>
      <c r="B233" s="26"/>
      <c r="C233" s="26" t="s">
        <v>2318</v>
      </c>
      <c r="D233" s="234"/>
      <c r="E233" s="31"/>
      <c r="F233" s="216"/>
      <c r="G233" s="31"/>
      <c r="H233" s="217"/>
    </row>
    <row r="234" spans="1:8" x14ac:dyDescent="0.2">
      <c r="A234" s="26" t="s">
        <v>718</v>
      </c>
      <c r="B234" s="26"/>
      <c r="C234" s="214" t="s">
        <v>5513</v>
      </c>
      <c r="D234" s="234" t="s">
        <v>1071</v>
      </c>
      <c r="E234" s="31">
        <v>3436</v>
      </c>
      <c r="F234" s="216">
        <v>59.8</v>
      </c>
      <c r="G234" s="31"/>
      <c r="H234" s="217"/>
    </row>
    <row r="235" spans="1:8" x14ac:dyDescent="0.2">
      <c r="A235" s="26"/>
      <c r="B235" s="26"/>
      <c r="C235" s="26" t="s">
        <v>5676</v>
      </c>
      <c r="D235" s="234" t="s">
        <v>1736</v>
      </c>
      <c r="E235" s="31">
        <v>1708</v>
      </c>
      <c r="F235" s="216">
        <v>24.59</v>
      </c>
      <c r="G235" s="31"/>
      <c r="H235" s="217"/>
    </row>
    <row r="236" spans="1:8" x14ac:dyDescent="0.2">
      <c r="A236" s="26"/>
      <c r="B236" s="26"/>
      <c r="C236" s="26" t="s">
        <v>5677</v>
      </c>
      <c r="D236" s="234" t="s">
        <v>1072</v>
      </c>
      <c r="E236" s="31">
        <v>416</v>
      </c>
      <c r="F236" s="216"/>
      <c r="G236" s="31"/>
      <c r="H236" s="217"/>
    </row>
    <row r="237" spans="1:8" x14ac:dyDescent="0.2">
      <c r="A237" s="26"/>
      <c r="B237" s="26"/>
      <c r="C237" s="26" t="s">
        <v>2318</v>
      </c>
      <c r="D237" s="234"/>
      <c r="E237" s="218">
        <v>5587</v>
      </c>
      <c r="F237" s="219">
        <f>SUM(F234:F236)</f>
        <v>84.39</v>
      </c>
      <c r="G237" s="218">
        <v>7693</v>
      </c>
      <c r="H237" s="220">
        <v>72.599999999999994</v>
      </c>
    </row>
    <row r="238" spans="1:8" x14ac:dyDescent="0.2">
      <c r="A238" s="26"/>
      <c r="B238" s="26"/>
      <c r="C238" s="26" t="s">
        <v>2318</v>
      </c>
      <c r="D238" s="234"/>
      <c r="E238" s="31"/>
      <c r="F238" s="216"/>
      <c r="G238" s="31"/>
      <c r="H238" s="217"/>
    </row>
    <row r="239" spans="1:8" x14ac:dyDescent="0.2">
      <c r="A239" s="26" t="s">
        <v>584</v>
      </c>
      <c r="B239" s="26"/>
      <c r="C239" s="214" t="s">
        <v>5678</v>
      </c>
      <c r="D239" s="234" t="s">
        <v>1071</v>
      </c>
      <c r="E239" s="31">
        <v>3145</v>
      </c>
      <c r="F239" s="216">
        <v>60.67</v>
      </c>
      <c r="G239" s="31"/>
      <c r="H239" s="217"/>
    </row>
    <row r="240" spans="1:8" x14ac:dyDescent="0.2">
      <c r="A240" s="26"/>
      <c r="B240" s="26"/>
      <c r="C240" s="26" t="s">
        <v>5679</v>
      </c>
      <c r="D240" s="234" t="s">
        <v>1736</v>
      </c>
      <c r="E240" s="31">
        <v>1133</v>
      </c>
      <c r="F240" s="216">
        <v>10.68</v>
      </c>
      <c r="G240" s="31"/>
      <c r="H240" s="217"/>
    </row>
    <row r="241" spans="1:8" x14ac:dyDescent="0.2">
      <c r="A241" s="26"/>
      <c r="B241" s="26"/>
      <c r="C241" s="26" t="s">
        <v>5680</v>
      </c>
      <c r="D241" s="234" t="s">
        <v>1072</v>
      </c>
      <c r="E241" s="31">
        <v>410</v>
      </c>
      <c r="F241" s="216">
        <v>3.08</v>
      </c>
      <c r="G241" s="31"/>
      <c r="H241" s="217"/>
    </row>
    <row r="242" spans="1:8" x14ac:dyDescent="0.2">
      <c r="A242" s="26"/>
      <c r="B242" s="26"/>
      <c r="C242" s="26" t="s">
        <v>2318</v>
      </c>
      <c r="D242" s="234"/>
      <c r="E242" s="218">
        <v>4702</v>
      </c>
      <c r="F242" s="219">
        <f>SUM(F239:F241)</f>
        <v>74.429999999999993</v>
      </c>
      <c r="G242" s="218">
        <v>6280</v>
      </c>
      <c r="H242" s="220">
        <v>74.900000000000006</v>
      </c>
    </row>
    <row r="243" spans="1:8" x14ac:dyDescent="0.2">
      <c r="A243" s="26"/>
      <c r="B243" s="26"/>
      <c r="C243" s="26" t="s">
        <v>2318</v>
      </c>
      <c r="D243" s="234"/>
      <c r="E243" s="31"/>
      <c r="F243" s="216"/>
      <c r="G243" s="31"/>
      <c r="H243" s="217"/>
    </row>
    <row r="244" spans="1:8" x14ac:dyDescent="0.2">
      <c r="A244" s="26" t="s">
        <v>2340</v>
      </c>
      <c r="B244" s="26"/>
      <c r="C244" s="214" t="s">
        <v>5522</v>
      </c>
      <c r="D244" s="234" t="s">
        <v>1071</v>
      </c>
      <c r="E244" s="31">
        <v>2406</v>
      </c>
      <c r="F244" s="216">
        <v>19.48</v>
      </c>
      <c r="G244" s="31"/>
      <c r="H244" s="217"/>
    </row>
    <row r="245" spans="1:8" x14ac:dyDescent="0.2">
      <c r="A245" s="26"/>
      <c r="B245" s="26"/>
      <c r="C245" s="26" t="s">
        <v>5681</v>
      </c>
      <c r="D245" s="234" t="s">
        <v>1736</v>
      </c>
      <c r="E245" s="31">
        <v>1529</v>
      </c>
      <c r="F245" s="216">
        <v>1.72</v>
      </c>
      <c r="G245" s="31"/>
      <c r="H245" s="217"/>
    </row>
    <row r="246" spans="1:8" x14ac:dyDescent="0.2">
      <c r="A246" s="26"/>
      <c r="B246" s="26"/>
      <c r="C246" s="26" t="s">
        <v>5682</v>
      </c>
      <c r="D246" s="234" t="s">
        <v>1072</v>
      </c>
      <c r="E246" s="224">
        <v>860</v>
      </c>
      <c r="F246" s="216">
        <v>28.27</v>
      </c>
      <c r="G246" s="31"/>
      <c r="H246" s="217"/>
    </row>
    <row r="247" spans="1:8" x14ac:dyDescent="0.2">
      <c r="A247" s="26"/>
      <c r="B247" s="26"/>
      <c r="C247" s="26" t="s">
        <v>2318</v>
      </c>
      <c r="D247" s="234"/>
      <c r="E247" s="218">
        <v>4824</v>
      </c>
      <c r="F247" s="219">
        <f>SUM(F244:F246)</f>
        <v>49.47</v>
      </c>
      <c r="G247" s="218">
        <v>6751</v>
      </c>
      <c r="H247" s="220">
        <v>71.5</v>
      </c>
    </row>
    <row r="248" spans="1:8" x14ac:dyDescent="0.2">
      <c r="A248" s="26"/>
      <c r="B248" s="26"/>
      <c r="C248" s="26" t="s">
        <v>2318</v>
      </c>
      <c r="D248" s="234"/>
      <c r="E248" s="31"/>
      <c r="F248" s="216"/>
      <c r="G248" s="31"/>
      <c r="H248" s="217"/>
    </row>
    <row r="249" spans="1:8" x14ac:dyDescent="0.2">
      <c r="A249" s="26" t="s">
        <v>2341</v>
      </c>
      <c r="B249" s="26"/>
      <c r="C249" s="214" t="s">
        <v>5336</v>
      </c>
      <c r="D249" s="234" t="s">
        <v>1071</v>
      </c>
      <c r="E249" s="31">
        <v>6016</v>
      </c>
      <c r="F249" s="216">
        <v>1.95</v>
      </c>
      <c r="G249" s="31"/>
      <c r="H249" s="217"/>
    </row>
    <row r="250" spans="1:8" x14ac:dyDescent="0.2">
      <c r="A250" s="26"/>
      <c r="B250" s="26"/>
      <c r="C250" s="26" t="s">
        <v>5683</v>
      </c>
      <c r="D250" s="234" t="s">
        <v>1736</v>
      </c>
      <c r="E250" s="31">
        <v>609</v>
      </c>
      <c r="F250" s="216">
        <v>43.22</v>
      </c>
      <c r="G250" s="31"/>
      <c r="H250" s="217"/>
    </row>
    <row r="251" spans="1:8" x14ac:dyDescent="0.2">
      <c r="A251" s="26"/>
      <c r="B251" s="26"/>
      <c r="C251" s="26" t="s">
        <v>2318</v>
      </c>
      <c r="D251" s="234"/>
      <c r="E251" s="218">
        <v>10519</v>
      </c>
      <c r="F251" s="219">
        <f>SUM(F249:F250)</f>
        <v>45.17</v>
      </c>
      <c r="G251" s="218">
        <v>15660</v>
      </c>
      <c r="H251" s="220">
        <v>67.2</v>
      </c>
    </row>
    <row r="252" spans="1:8" x14ac:dyDescent="0.2">
      <c r="A252" s="26"/>
      <c r="B252" s="26"/>
      <c r="C252" s="26" t="s">
        <v>2318</v>
      </c>
      <c r="D252" s="234"/>
      <c r="E252" s="31"/>
      <c r="F252" s="216"/>
      <c r="G252" s="31"/>
      <c r="H252" s="217"/>
    </row>
    <row r="253" spans="1:8" x14ac:dyDescent="0.2">
      <c r="A253" s="26" t="s">
        <v>436</v>
      </c>
      <c r="B253" s="26"/>
      <c r="C253" s="214" t="s">
        <v>5684</v>
      </c>
      <c r="D253" s="234" t="s">
        <v>1071</v>
      </c>
      <c r="E253" s="31">
        <v>2092</v>
      </c>
      <c r="F253" s="216">
        <v>7.28</v>
      </c>
      <c r="G253" s="31"/>
      <c r="H253" s="217"/>
    </row>
    <row r="254" spans="1:8" x14ac:dyDescent="0.2">
      <c r="A254" s="26"/>
      <c r="B254" s="26"/>
      <c r="C254" s="26" t="s">
        <v>5685</v>
      </c>
      <c r="D254" s="234" t="s">
        <v>1072</v>
      </c>
      <c r="E254" s="31">
        <v>1262</v>
      </c>
      <c r="F254" s="216">
        <v>38.22</v>
      </c>
      <c r="G254" s="31"/>
      <c r="H254" s="217"/>
    </row>
    <row r="255" spans="1:8" x14ac:dyDescent="0.2">
      <c r="A255" s="26"/>
      <c r="B255" s="26"/>
      <c r="C255" s="26" t="s">
        <v>5686</v>
      </c>
      <c r="D255" s="234" t="s">
        <v>1736</v>
      </c>
      <c r="E255" s="31">
        <v>901</v>
      </c>
      <c r="F255" s="216"/>
      <c r="G255" s="31"/>
      <c r="H255" s="217"/>
    </row>
    <row r="256" spans="1:8" x14ac:dyDescent="0.2">
      <c r="A256" s="26"/>
      <c r="B256" s="26"/>
      <c r="C256" s="26" t="s">
        <v>2318</v>
      </c>
      <c r="D256" s="234"/>
      <c r="E256" s="218">
        <v>4265</v>
      </c>
      <c r="F256" s="219">
        <f>SUM(F253:F255)</f>
        <v>45.5</v>
      </c>
      <c r="G256" s="218">
        <v>5965</v>
      </c>
      <c r="H256" s="220">
        <v>71.5</v>
      </c>
    </row>
    <row r="257" spans="1:8" x14ac:dyDescent="0.2">
      <c r="A257" s="26"/>
      <c r="B257" s="26"/>
      <c r="C257" s="26" t="s">
        <v>2318</v>
      </c>
      <c r="D257" s="234"/>
      <c r="E257" s="31"/>
      <c r="F257" s="216"/>
      <c r="G257" s="31"/>
      <c r="H257" s="217"/>
    </row>
    <row r="258" spans="1:8" ht="12.75" customHeight="1" x14ac:dyDescent="0.2">
      <c r="A258" s="26" t="s">
        <v>441</v>
      </c>
      <c r="B258" s="26"/>
      <c r="C258" s="214" t="s">
        <v>5341</v>
      </c>
      <c r="D258" s="234" t="s">
        <v>1071</v>
      </c>
      <c r="E258" s="31">
        <v>3235</v>
      </c>
      <c r="F258" s="216">
        <v>34.21</v>
      </c>
      <c r="G258" s="31"/>
      <c r="H258" s="217"/>
    </row>
    <row r="259" spans="1:8" x14ac:dyDescent="0.2">
      <c r="A259" s="26"/>
      <c r="B259" s="26"/>
      <c r="C259" s="26" t="s">
        <v>5687</v>
      </c>
      <c r="D259" s="234" t="s">
        <v>1072</v>
      </c>
      <c r="E259" s="31">
        <v>660</v>
      </c>
      <c r="F259" s="216">
        <v>53.1</v>
      </c>
      <c r="G259" s="31"/>
      <c r="H259" s="217"/>
    </row>
    <row r="260" spans="1:8" x14ac:dyDescent="0.2">
      <c r="A260" s="26"/>
      <c r="B260" s="26"/>
      <c r="C260" s="26" t="s">
        <v>5688</v>
      </c>
      <c r="D260" s="234" t="s">
        <v>5636</v>
      </c>
      <c r="E260" s="31">
        <v>437</v>
      </c>
      <c r="F260" s="216">
        <v>1.35</v>
      </c>
      <c r="G260" s="31"/>
      <c r="H260" s="217"/>
    </row>
    <row r="261" spans="1:8" x14ac:dyDescent="0.2">
      <c r="A261" s="26"/>
      <c r="B261" s="26"/>
      <c r="C261" s="26" t="s">
        <v>2318</v>
      </c>
      <c r="D261" s="234"/>
      <c r="E261" s="218">
        <v>4345</v>
      </c>
      <c r="F261" s="219">
        <f>SUM(F258:F260)</f>
        <v>88.66</v>
      </c>
      <c r="G261" s="218">
        <v>6523</v>
      </c>
      <c r="H261" s="220">
        <v>66.599999999999994</v>
      </c>
    </row>
    <row r="262" spans="1:8" x14ac:dyDescent="0.2">
      <c r="A262" s="26"/>
      <c r="B262" s="26"/>
      <c r="C262" s="26" t="s">
        <v>2318</v>
      </c>
      <c r="D262" s="234"/>
      <c r="E262" s="31"/>
      <c r="F262" s="216"/>
      <c r="G262" s="31"/>
      <c r="H262" s="217"/>
    </row>
    <row r="263" spans="1:8" x14ac:dyDescent="0.2">
      <c r="A263" s="26" t="s">
        <v>446</v>
      </c>
      <c r="B263" s="26"/>
      <c r="C263" s="214" t="s">
        <v>4980</v>
      </c>
      <c r="D263" s="234" t="s">
        <v>1071</v>
      </c>
      <c r="E263" s="31">
        <v>2157</v>
      </c>
      <c r="F263" s="216">
        <v>19.98</v>
      </c>
      <c r="G263" s="31"/>
      <c r="H263" s="217"/>
    </row>
    <row r="264" spans="1:8" x14ac:dyDescent="0.2">
      <c r="A264" s="26"/>
      <c r="B264" s="26"/>
      <c r="C264" s="26" t="s">
        <v>5689</v>
      </c>
      <c r="D264" s="234" t="s">
        <v>1072</v>
      </c>
      <c r="E264" s="31">
        <v>2082</v>
      </c>
      <c r="F264" s="216">
        <v>58.85</v>
      </c>
      <c r="G264" s="31"/>
      <c r="H264" s="217"/>
    </row>
    <row r="265" spans="1:8" x14ac:dyDescent="0.2">
      <c r="A265" s="26"/>
      <c r="B265" s="26"/>
      <c r="C265" s="26" t="s">
        <v>5690</v>
      </c>
      <c r="D265" s="234" t="s">
        <v>1736</v>
      </c>
      <c r="E265" s="31">
        <v>1187</v>
      </c>
      <c r="F265" s="216">
        <v>10.6</v>
      </c>
      <c r="G265" s="31"/>
      <c r="H265" s="217"/>
    </row>
    <row r="266" spans="1:8" x14ac:dyDescent="0.2">
      <c r="A266" s="26"/>
      <c r="B266" s="26"/>
      <c r="C266" s="26" t="s">
        <v>4981</v>
      </c>
      <c r="D266" s="234" t="s">
        <v>5636</v>
      </c>
      <c r="E266" s="31">
        <v>473</v>
      </c>
      <c r="F266" s="216">
        <v>10.57</v>
      </c>
      <c r="G266" s="31"/>
      <c r="H266" s="217"/>
    </row>
    <row r="267" spans="1:8" x14ac:dyDescent="0.2">
      <c r="A267" s="26"/>
      <c r="B267" s="26"/>
      <c r="C267" s="26" t="s">
        <v>2318</v>
      </c>
      <c r="D267" s="234"/>
      <c r="E267" s="218">
        <v>5946</v>
      </c>
      <c r="F267" s="219">
        <f>SUM(F263:F266)</f>
        <v>100</v>
      </c>
      <c r="G267" s="218">
        <v>9477</v>
      </c>
      <c r="H267" s="220">
        <v>62.7</v>
      </c>
    </row>
    <row r="268" spans="1:8" x14ac:dyDescent="0.2">
      <c r="A268" s="26"/>
      <c r="B268" s="26"/>
      <c r="C268" s="26"/>
      <c r="D268" s="234"/>
      <c r="E268" s="88"/>
      <c r="F268" s="84"/>
      <c r="G268" s="88"/>
      <c r="H268" s="235"/>
    </row>
    <row r="269" spans="1:8" x14ac:dyDescent="0.2">
      <c r="A269" s="26" t="s">
        <v>3262</v>
      </c>
      <c r="B269" s="26"/>
      <c r="C269" s="214" t="s">
        <v>5347</v>
      </c>
      <c r="D269" s="234" t="s">
        <v>1071</v>
      </c>
      <c r="E269" s="31">
        <v>3412</v>
      </c>
      <c r="F269" s="216">
        <v>29.83</v>
      </c>
      <c r="G269" s="31"/>
      <c r="H269" s="217"/>
    </row>
    <row r="270" spans="1:8" x14ac:dyDescent="0.2">
      <c r="A270" s="26"/>
      <c r="B270" s="26"/>
      <c r="C270" s="26" t="s">
        <v>5691</v>
      </c>
      <c r="D270" s="234" t="s">
        <v>1072</v>
      </c>
      <c r="E270" s="31">
        <v>1034</v>
      </c>
      <c r="F270" s="216">
        <v>14.62</v>
      </c>
      <c r="G270" s="31"/>
      <c r="H270" s="217"/>
    </row>
    <row r="271" spans="1:8" x14ac:dyDescent="0.2">
      <c r="A271" s="26"/>
      <c r="B271" s="26"/>
      <c r="C271" s="26" t="s">
        <v>5692</v>
      </c>
      <c r="D271" s="234" t="s">
        <v>1736</v>
      </c>
      <c r="E271" s="31">
        <v>534</v>
      </c>
      <c r="F271" s="216"/>
      <c r="G271" s="31"/>
      <c r="H271" s="217"/>
    </row>
    <row r="272" spans="1:8" x14ac:dyDescent="0.2">
      <c r="A272" s="26"/>
      <c r="B272" s="26"/>
      <c r="C272" s="26" t="s">
        <v>2318</v>
      </c>
      <c r="D272" s="234"/>
      <c r="E272" s="218">
        <v>4990</v>
      </c>
      <c r="F272" s="219">
        <f>SUM(F269:F271)</f>
        <v>44.449999999999996</v>
      </c>
      <c r="G272" s="218">
        <v>6682</v>
      </c>
      <c r="H272" s="220">
        <v>74.7</v>
      </c>
    </row>
    <row r="273" spans="1:8" x14ac:dyDescent="0.2">
      <c r="A273" s="26"/>
      <c r="B273" s="26"/>
      <c r="C273" s="26" t="s">
        <v>2318</v>
      </c>
      <c r="D273" s="234"/>
      <c r="E273" s="31"/>
      <c r="F273" s="216"/>
      <c r="G273" s="31"/>
      <c r="H273" s="217"/>
    </row>
    <row r="274" spans="1:8" x14ac:dyDescent="0.2">
      <c r="A274" s="26" t="s">
        <v>1385</v>
      </c>
      <c r="B274" s="26"/>
      <c r="C274" s="214" t="s">
        <v>5353</v>
      </c>
      <c r="D274" s="234" t="s">
        <v>1071</v>
      </c>
      <c r="E274" s="31">
        <v>2805</v>
      </c>
      <c r="F274" s="216">
        <v>1</v>
      </c>
      <c r="G274" s="31"/>
      <c r="H274" s="217"/>
    </row>
    <row r="275" spans="1:8" x14ac:dyDescent="0.2">
      <c r="A275" s="26"/>
      <c r="B275" s="26"/>
      <c r="C275" s="26" t="s">
        <v>5693</v>
      </c>
      <c r="D275" s="234" t="s">
        <v>1736</v>
      </c>
      <c r="E275" s="31">
        <v>796</v>
      </c>
      <c r="F275" s="216"/>
      <c r="G275" s="31"/>
      <c r="H275" s="217"/>
    </row>
    <row r="276" spans="1:8" x14ac:dyDescent="0.2">
      <c r="A276" s="26"/>
      <c r="B276" s="26"/>
      <c r="C276" s="26" t="s">
        <v>5694</v>
      </c>
      <c r="D276" s="234" t="s">
        <v>1072</v>
      </c>
      <c r="E276" s="31">
        <v>541</v>
      </c>
      <c r="F276" s="216"/>
      <c r="G276" s="31"/>
      <c r="H276" s="217"/>
    </row>
    <row r="277" spans="1:8" x14ac:dyDescent="0.2">
      <c r="A277" s="26"/>
      <c r="B277" s="26"/>
      <c r="C277" s="26" t="s">
        <v>5695</v>
      </c>
      <c r="D277" s="234" t="s">
        <v>5636</v>
      </c>
      <c r="E277" s="31">
        <v>319</v>
      </c>
      <c r="F277" s="216"/>
      <c r="G277" s="31"/>
      <c r="H277" s="217"/>
    </row>
    <row r="278" spans="1:8" x14ac:dyDescent="0.2">
      <c r="A278" s="26"/>
      <c r="B278" s="26"/>
      <c r="C278" s="26"/>
      <c r="D278" s="234"/>
      <c r="E278" s="218">
        <v>4470</v>
      </c>
      <c r="F278" s="219">
        <f>SUM(F274:F277)</f>
        <v>1</v>
      </c>
      <c r="G278" s="218">
        <v>6113</v>
      </c>
      <c r="H278" s="220">
        <v>73.099999999999994</v>
      </c>
    </row>
    <row r="279" spans="1:8" x14ac:dyDescent="0.2">
      <c r="A279" s="26"/>
      <c r="B279" s="26"/>
      <c r="C279" s="26" t="s">
        <v>2318</v>
      </c>
      <c r="D279" s="234"/>
      <c r="E279" s="31"/>
      <c r="F279" s="216"/>
      <c r="G279" s="31"/>
      <c r="H279" s="217"/>
    </row>
    <row r="280" spans="1:8" x14ac:dyDescent="0.2">
      <c r="A280" s="26" t="s">
        <v>5356</v>
      </c>
      <c r="B280" s="26"/>
      <c r="C280" s="214" t="s">
        <v>5357</v>
      </c>
      <c r="D280" s="234" t="s">
        <v>1071</v>
      </c>
      <c r="E280" s="31">
        <v>3010</v>
      </c>
      <c r="F280" s="216">
        <v>1</v>
      </c>
      <c r="G280" s="31"/>
      <c r="H280" s="217"/>
    </row>
    <row r="281" spans="1:8" x14ac:dyDescent="0.2">
      <c r="A281" s="26"/>
      <c r="B281" s="26"/>
      <c r="C281" s="26" t="s">
        <v>5696</v>
      </c>
      <c r="D281" s="234" t="s">
        <v>1736</v>
      </c>
      <c r="E281" s="31">
        <v>1059</v>
      </c>
      <c r="F281" s="216"/>
      <c r="G281" s="31"/>
      <c r="H281" s="217"/>
    </row>
    <row r="282" spans="1:8" x14ac:dyDescent="0.2">
      <c r="A282" s="26"/>
      <c r="B282" s="26"/>
      <c r="C282" s="26" t="s">
        <v>5697</v>
      </c>
      <c r="D282" s="234" t="s">
        <v>5573</v>
      </c>
      <c r="E282" s="31">
        <v>593</v>
      </c>
      <c r="F282" s="216"/>
      <c r="G282" s="31"/>
      <c r="H282" s="217"/>
    </row>
    <row r="283" spans="1:8" x14ac:dyDescent="0.2">
      <c r="A283" s="26"/>
      <c r="B283" s="26"/>
      <c r="C283" s="26" t="s">
        <v>5698</v>
      </c>
      <c r="D283" s="234" t="s">
        <v>4860</v>
      </c>
      <c r="E283" s="31">
        <v>58</v>
      </c>
      <c r="F283" s="216"/>
      <c r="G283" s="31"/>
      <c r="H283" s="217"/>
    </row>
    <row r="284" spans="1:8" x14ac:dyDescent="0.2">
      <c r="A284" s="26"/>
      <c r="B284" s="26"/>
      <c r="C284" s="26"/>
      <c r="D284" s="234"/>
      <c r="E284" s="218">
        <v>4727</v>
      </c>
      <c r="F284" s="219">
        <f>SUM(F280:F283)</f>
        <v>1</v>
      </c>
      <c r="G284" s="218">
        <v>6454</v>
      </c>
      <c r="H284" s="220">
        <v>73.2</v>
      </c>
    </row>
    <row r="285" spans="1:8" x14ac:dyDescent="0.2">
      <c r="A285" s="26"/>
      <c r="B285" s="26"/>
      <c r="C285" s="26" t="s">
        <v>2318</v>
      </c>
      <c r="D285" s="234"/>
      <c r="E285" s="31"/>
      <c r="F285" s="216"/>
      <c r="G285" s="31"/>
      <c r="H285" s="217"/>
    </row>
    <row r="286" spans="1:8" x14ac:dyDescent="0.2">
      <c r="A286" s="26" t="s">
        <v>715</v>
      </c>
      <c r="B286" s="26"/>
      <c r="C286" s="214" t="s">
        <v>5360</v>
      </c>
      <c r="D286" s="234" t="s">
        <v>1071</v>
      </c>
      <c r="E286" s="31">
        <v>3150</v>
      </c>
      <c r="F286" s="216">
        <v>1.81</v>
      </c>
      <c r="G286" s="31"/>
      <c r="H286" s="217"/>
    </row>
    <row r="287" spans="1:8" x14ac:dyDescent="0.2">
      <c r="A287" s="26"/>
      <c r="B287" s="26"/>
      <c r="C287" s="26" t="s">
        <v>4859</v>
      </c>
      <c r="D287" s="234" t="s">
        <v>1736</v>
      </c>
      <c r="E287" s="31">
        <v>991</v>
      </c>
      <c r="F287" s="216">
        <v>8.2899999999999991</v>
      </c>
      <c r="G287" s="31"/>
      <c r="H287" s="217"/>
    </row>
    <row r="288" spans="1:8" x14ac:dyDescent="0.2">
      <c r="A288" s="26"/>
      <c r="B288" s="26"/>
      <c r="C288" s="26" t="s">
        <v>1891</v>
      </c>
      <c r="D288" s="234" t="s">
        <v>1072</v>
      </c>
      <c r="E288" s="31">
        <v>721</v>
      </c>
      <c r="F288" s="216"/>
      <c r="G288" s="31"/>
      <c r="H288" s="217"/>
    </row>
    <row r="289" spans="1:8" x14ac:dyDescent="0.2">
      <c r="A289" s="26"/>
      <c r="B289" s="26"/>
      <c r="C289" s="26" t="s">
        <v>5699</v>
      </c>
      <c r="D289" s="234" t="s">
        <v>5636</v>
      </c>
      <c r="E289" s="31">
        <v>297</v>
      </c>
      <c r="F289" s="216"/>
      <c r="G289" s="31"/>
      <c r="H289" s="217"/>
    </row>
    <row r="290" spans="1:8" x14ac:dyDescent="0.2">
      <c r="A290" s="26"/>
      <c r="B290" s="26"/>
      <c r="C290" s="26" t="s">
        <v>2318</v>
      </c>
      <c r="D290" s="234"/>
      <c r="E290" s="218">
        <v>5189</v>
      </c>
      <c r="F290" s="219">
        <f>SUM(F286:F287)</f>
        <v>10.1</v>
      </c>
      <c r="G290" s="218">
        <v>7297</v>
      </c>
      <c r="H290" s="220">
        <v>71.099999999999994</v>
      </c>
    </row>
    <row r="291" spans="1:8" x14ac:dyDescent="0.2">
      <c r="A291" s="26"/>
      <c r="B291" s="26"/>
      <c r="C291" s="26" t="s">
        <v>2318</v>
      </c>
      <c r="D291" s="234"/>
      <c r="E291" s="31"/>
      <c r="F291" s="216"/>
      <c r="G291" s="31"/>
      <c r="H291" s="217"/>
    </row>
    <row r="292" spans="1:8" x14ac:dyDescent="0.2">
      <c r="A292" s="26" t="s">
        <v>2545</v>
      </c>
      <c r="B292" s="26"/>
      <c r="C292" s="214" t="s">
        <v>5365</v>
      </c>
      <c r="D292" s="234" t="s">
        <v>1071</v>
      </c>
      <c r="E292" s="31">
        <v>2880</v>
      </c>
      <c r="F292" s="216">
        <v>10.36</v>
      </c>
      <c r="G292" s="31"/>
      <c r="H292" s="217"/>
    </row>
    <row r="293" spans="1:8" x14ac:dyDescent="0.2">
      <c r="A293" s="26"/>
      <c r="B293" s="26"/>
      <c r="C293" s="26" t="s">
        <v>5700</v>
      </c>
      <c r="D293" s="234" t="s">
        <v>1072</v>
      </c>
      <c r="E293" s="31">
        <v>2091</v>
      </c>
      <c r="F293" s="216">
        <v>0.71</v>
      </c>
      <c r="G293" s="31"/>
      <c r="H293" s="217"/>
    </row>
    <row r="294" spans="1:8" x14ac:dyDescent="0.2">
      <c r="A294" s="26"/>
      <c r="B294" s="26"/>
      <c r="C294" s="26" t="s">
        <v>5701</v>
      </c>
      <c r="D294" s="234" t="s">
        <v>1736</v>
      </c>
      <c r="E294" s="31">
        <v>1227</v>
      </c>
      <c r="F294" s="216"/>
      <c r="G294" s="31"/>
      <c r="H294" s="217"/>
    </row>
    <row r="295" spans="1:8" x14ac:dyDescent="0.2">
      <c r="A295" s="26"/>
      <c r="B295" s="26"/>
      <c r="C295" s="26" t="s">
        <v>2318</v>
      </c>
      <c r="D295" s="234"/>
      <c r="E295" s="218">
        <v>6227</v>
      </c>
      <c r="F295" s="219">
        <f>SUM(F292:F294)</f>
        <v>11.07</v>
      </c>
      <c r="G295" s="218">
        <v>9403</v>
      </c>
      <c r="H295" s="220">
        <v>66.2</v>
      </c>
    </row>
    <row r="296" spans="1:8" x14ac:dyDescent="0.2">
      <c r="A296" s="26"/>
      <c r="B296" s="26"/>
      <c r="C296" s="26" t="s">
        <v>2318</v>
      </c>
      <c r="D296" s="234"/>
      <c r="E296" s="31"/>
      <c r="F296" s="216"/>
      <c r="G296" s="31"/>
      <c r="H296" s="217"/>
    </row>
    <row r="297" spans="1:8" x14ac:dyDescent="0.2">
      <c r="A297" s="26" t="s">
        <v>5366</v>
      </c>
      <c r="B297" s="26"/>
      <c r="C297" s="214" t="s">
        <v>5097</v>
      </c>
      <c r="D297" s="234" t="s">
        <v>1071</v>
      </c>
      <c r="E297" s="31">
        <v>5232</v>
      </c>
      <c r="F297" s="216">
        <v>46.47</v>
      </c>
      <c r="G297" s="31"/>
      <c r="H297" s="217"/>
    </row>
    <row r="298" spans="1:8" x14ac:dyDescent="0.2">
      <c r="A298" s="26"/>
      <c r="B298" s="26"/>
      <c r="C298" s="26" t="s">
        <v>5702</v>
      </c>
      <c r="D298" s="234" t="s">
        <v>1736</v>
      </c>
      <c r="E298" s="31">
        <v>2418</v>
      </c>
      <c r="F298" s="216">
        <v>3.24</v>
      </c>
      <c r="G298" s="31"/>
      <c r="H298" s="217"/>
    </row>
    <row r="299" spans="1:8" x14ac:dyDescent="0.2">
      <c r="A299" s="26"/>
      <c r="B299" s="26"/>
      <c r="C299" s="26" t="s">
        <v>5703</v>
      </c>
      <c r="D299" s="234" t="s">
        <v>1072</v>
      </c>
      <c r="E299" s="31">
        <v>1215</v>
      </c>
      <c r="F299" s="216"/>
      <c r="G299" s="31"/>
      <c r="H299" s="217"/>
    </row>
    <row r="300" spans="1:8" x14ac:dyDescent="0.2">
      <c r="A300" s="26"/>
      <c r="B300" s="26"/>
      <c r="C300" s="26" t="s">
        <v>5704</v>
      </c>
      <c r="D300" s="234" t="s">
        <v>655</v>
      </c>
      <c r="E300" s="31">
        <v>1262</v>
      </c>
      <c r="F300" s="216">
        <v>41.8</v>
      </c>
      <c r="G300" s="31"/>
      <c r="H300" s="217"/>
    </row>
    <row r="301" spans="1:8" x14ac:dyDescent="0.2">
      <c r="A301" s="26"/>
      <c r="B301" s="26"/>
      <c r="C301" s="26" t="s">
        <v>2318</v>
      </c>
      <c r="D301" s="234"/>
      <c r="E301" s="218">
        <v>8481</v>
      </c>
      <c r="F301" s="219">
        <f>SUM(F297:F300)</f>
        <v>91.509999999999991</v>
      </c>
      <c r="G301" s="218">
        <v>14351</v>
      </c>
      <c r="H301" s="220">
        <v>59.1</v>
      </c>
    </row>
    <row r="302" spans="1:8" x14ac:dyDescent="0.2">
      <c r="A302" s="26"/>
      <c r="B302" s="26"/>
      <c r="C302" s="26" t="s">
        <v>2318</v>
      </c>
      <c r="D302" s="234"/>
      <c r="E302" s="31"/>
      <c r="F302" s="216"/>
      <c r="G302" s="31"/>
      <c r="H302" s="217"/>
    </row>
    <row r="303" spans="1:8" x14ac:dyDescent="0.2">
      <c r="A303" s="26" t="s">
        <v>5370</v>
      </c>
      <c r="B303" s="26"/>
      <c r="C303" s="214" t="s">
        <v>5371</v>
      </c>
      <c r="D303" s="234" t="s">
        <v>1071</v>
      </c>
      <c r="E303" s="31">
        <v>7337</v>
      </c>
      <c r="F303" s="216">
        <v>46.47</v>
      </c>
      <c r="G303" s="31"/>
      <c r="H303" s="217"/>
    </row>
    <row r="304" spans="1:8" x14ac:dyDescent="0.2">
      <c r="A304" s="26"/>
      <c r="B304" s="26"/>
      <c r="C304" s="26" t="s">
        <v>5705</v>
      </c>
      <c r="D304" s="234" t="s">
        <v>1736</v>
      </c>
      <c r="E304" s="31">
        <v>3812</v>
      </c>
      <c r="F304" s="216">
        <v>3.24</v>
      </c>
      <c r="G304" s="31"/>
      <c r="H304" s="217"/>
    </row>
    <row r="305" spans="1:8" x14ac:dyDescent="0.2">
      <c r="A305" s="26"/>
      <c r="B305" s="26"/>
      <c r="C305" s="26" t="s">
        <v>5706</v>
      </c>
      <c r="D305" s="234" t="s">
        <v>1072</v>
      </c>
      <c r="E305" s="31">
        <v>2610</v>
      </c>
      <c r="F305" s="216">
        <v>41.8</v>
      </c>
      <c r="G305" s="31"/>
      <c r="H305" s="217"/>
    </row>
    <row r="306" spans="1:8" x14ac:dyDescent="0.2">
      <c r="A306" s="26"/>
      <c r="B306" s="26"/>
      <c r="C306" s="26" t="s">
        <v>5707</v>
      </c>
      <c r="D306" s="234" t="s">
        <v>5573</v>
      </c>
      <c r="E306" s="31">
        <v>999</v>
      </c>
      <c r="F306" s="216">
        <v>8.52</v>
      </c>
      <c r="G306" s="31"/>
      <c r="H306" s="217"/>
    </row>
    <row r="307" spans="1:8" x14ac:dyDescent="0.2">
      <c r="A307" s="26"/>
      <c r="B307" s="26"/>
      <c r="C307" s="26" t="s">
        <v>2318</v>
      </c>
      <c r="D307" s="234"/>
      <c r="E307" s="218">
        <v>14787</v>
      </c>
      <c r="F307" s="219">
        <f>SUM(F303:F306)</f>
        <v>100.02999999999999</v>
      </c>
      <c r="G307" s="218">
        <v>22953</v>
      </c>
      <c r="H307" s="220">
        <v>64.400000000000006</v>
      </c>
    </row>
    <row r="308" spans="1:8" x14ac:dyDescent="0.2">
      <c r="A308" s="26"/>
      <c r="B308" s="26"/>
      <c r="C308" s="26" t="s">
        <v>2318</v>
      </c>
      <c r="D308" s="234"/>
      <c r="E308" s="31"/>
      <c r="F308" s="216"/>
      <c r="G308" s="31"/>
      <c r="H308" s="217"/>
    </row>
    <row r="309" spans="1:8" x14ac:dyDescent="0.2">
      <c r="A309" s="26" t="s">
        <v>5378</v>
      </c>
      <c r="B309" s="26"/>
      <c r="C309" s="214" t="s">
        <v>5379</v>
      </c>
      <c r="D309" s="234" t="s">
        <v>1071</v>
      </c>
      <c r="E309" s="31">
        <v>3639</v>
      </c>
      <c r="F309" s="216">
        <v>46.47</v>
      </c>
      <c r="G309" s="31"/>
      <c r="H309" s="217"/>
    </row>
    <row r="310" spans="1:8" x14ac:dyDescent="0.2">
      <c r="A310" s="26"/>
      <c r="B310" s="26"/>
      <c r="C310" s="26" t="s">
        <v>5708</v>
      </c>
      <c r="D310" s="234" t="s">
        <v>1736</v>
      </c>
      <c r="E310" s="31">
        <v>2683</v>
      </c>
      <c r="F310" s="216">
        <v>3.24</v>
      </c>
      <c r="G310" s="31"/>
      <c r="H310" s="217"/>
    </row>
    <row r="311" spans="1:8" x14ac:dyDescent="0.2">
      <c r="A311" s="26"/>
      <c r="B311" s="26"/>
      <c r="C311" s="26" t="s">
        <v>5709</v>
      </c>
      <c r="D311" s="234" t="s">
        <v>1072</v>
      </c>
      <c r="E311" s="31">
        <v>1982</v>
      </c>
      <c r="F311" s="216">
        <v>41.8</v>
      </c>
      <c r="G311" s="31"/>
      <c r="H311" s="217"/>
    </row>
    <row r="312" spans="1:8" x14ac:dyDescent="0.2">
      <c r="A312" s="26"/>
      <c r="B312" s="26"/>
      <c r="C312" s="26" t="s">
        <v>5710</v>
      </c>
      <c r="D312" s="234" t="s">
        <v>5573</v>
      </c>
      <c r="E312" s="31">
        <v>423</v>
      </c>
      <c r="F312" s="216">
        <v>8.52</v>
      </c>
      <c r="G312" s="31"/>
      <c r="H312" s="217"/>
    </row>
    <row r="313" spans="1:8" x14ac:dyDescent="0.2">
      <c r="A313" s="26"/>
      <c r="B313" s="26"/>
      <c r="C313" s="26" t="s">
        <v>2318</v>
      </c>
      <c r="D313" s="234"/>
      <c r="E313" s="218">
        <v>8742</v>
      </c>
      <c r="F313" s="219">
        <f>SUM(F309:F312)</f>
        <v>100.02999999999999</v>
      </c>
      <c r="G313" s="218">
        <v>13355</v>
      </c>
      <c r="H313" s="220">
        <v>65.5</v>
      </c>
    </row>
    <row r="314" spans="1:8" x14ac:dyDescent="0.2">
      <c r="A314" s="26"/>
      <c r="B314" s="26"/>
      <c r="C314" s="26" t="s">
        <v>2318</v>
      </c>
      <c r="D314" s="234"/>
      <c r="E314" s="31"/>
      <c r="F314" s="216"/>
      <c r="G314" s="31"/>
      <c r="H314" s="217"/>
    </row>
    <row r="315" spans="1:8" x14ac:dyDescent="0.2">
      <c r="A315" s="26" t="s">
        <v>1198</v>
      </c>
      <c r="B315" s="26"/>
      <c r="C315" s="214" t="s">
        <v>5711</v>
      </c>
      <c r="D315" s="234" t="s">
        <v>1071</v>
      </c>
      <c r="E315" s="31">
        <v>3678</v>
      </c>
      <c r="F315" s="216"/>
      <c r="G315" s="31"/>
      <c r="H315" s="217"/>
    </row>
    <row r="316" spans="1:8" x14ac:dyDescent="0.2">
      <c r="A316" s="26"/>
      <c r="B316" s="26"/>
      <c r="C316" s="26" t="s">
        <v>5712</v>
      </c>
      <c r="D316" s="234" t="s">
        <v>1736</v>
      </c>
      <c r="E316" s="31">
        <v>1037</v>
      </c>
      <c r="F316" s="216"/>
      <c r="G316" s="31"/>
      <c r="H316" s="217"/>
    </row>
    <row r="317" spans="1:8" x14ac:dyDescent="0.2">
      <c r="A317" s="26"/>
      <c r="B317" s="26"/>
      <c r="C317" s="26" t="s">
        <v>2318</v>
      </c>
      <c r="D317" s="234"/>
      <c r="E317" s="218">
        <v>4737</v>
      </c>
      <c r="F317" s="219"/>
      <c r="G317" s="218">
        <v>7518</v>
      </c>
      <c r="H317" s="220">
        <v>63</v>
      </c>
    </row>
    <row r="318" spans="1:8" x14ac:dyDescent="0.2">
      <c r="A318" s="26"/>
      <c r="B318" s="26"/>
      <c r="C318" s="26" t="s">
        <v>2318</v>
      </c>
      <c r="D318" s="234"/>
      <c r="E318" s="31"/>
      <c r="F318" s="216"/>
      <c r="G318" s="31"/>
      <c r="H318" s="217"/>
    </row>
    <row r="319" spans="1:8" x14ac:dyDescent="0.2">
      <c r="A319" s="26" t="s">
        <v>1557</v>
      </c>
      <c r="B319" s="26"/>
      <c r="C319" s="214" t="s">
        <v>5389</v>
      </c>
      <c r="D319" s="234" t="s">
        <v>1071</v>
      </c>
      <c r="E319" s="31">
        <v>2248</v>
      </c>
      <c r="F319" s="216">
        <v>31.91</v>
      </c>
      <c r="G319" s="31"/>
      <c r="H319" s="217"/>
    </row>
    <row r="320" spans="1:8" x14ac:dyDescent="0.2">
      <c r="A320" s="26"/>
      <c r="B320" s="26"/>
      <c r="C320" s="26" t="s">
        <v>5713</v>
      </c>
      <c r="D320" s="234" t="s">
        <v>5573</v>
      </c>
      <c r="E320" s="31">
        <v>1253</v>
      </c>
      <c r="F320" s="216">
        <v>15.5</v>
      </c>
      <c r="G320" s="31"/>
      <c r="H320" s="217"/>
    </row>
    <row r="321" spans="1:8" x14ac:dyDescent="0.2">
      <c r="A321" s="26"/>
      <c r="B321" s="26"/>
      <c r="C321" s="26" t="s">
        <v>5714</v>
      </c>
      <c r="D321" s="234" t="s">
        <v>1736</v>
      </c>
      <c r="E321" s="31">
        <v>676</v>
      </c>
      <c r="F321" s="216"/>
      <c r="G321" s="31"/>
      <c r="H321" s="217"/>
    </row>
    <row r="322" spans="1:8" x14ac:dyDescent="0.2">
      <c r="A322" s="26"/>
      <c r="B322" s="26"/>
      <c r="C322" s="26" t="s">
        <v>5715</v>
      </c>
      <c r="D322" s="234" t="s">
        <v>655</v>
      </c>
      <c r="E322" s="31">
        <v>531</v>
      </c>
      <c r="F322" s="216"/>
      <c r="G322" s="31"/>
      <c r="H322" s="217"/>
    </row>
    <row r="323" spans="1:8" x14ac:dyDescent="0.2">
      <c r="A323" s="26"/>
      <c r="B323" s="26"/>
      <c r="C323" s="26" t="s">
        <v>2318</v>
      </c>
      <c r="D323" s="234"/>
      <c r="E323" s="218">
        <v>4720</v>
      </c>
      <c r="F323" s="219">
        <f>SUM(F319:F322)</f>
        <v>47.41</v>
      </c>
      <c r="G323" s="218">
        <v>6109</v>
      </c>
      <c r="H323" s="220">
        <v>77.3</v>
      </c>
    </row>
    <row r="324" spans="1:8" x14ac:dyDescent="0.2">
      <c r="A324" s="26"/>
      <c r="B324" s="26"/>
      <c r="C324" s="26" t="s">
        <v>2318</v>
      </c>
      <c r="D324" s="234"/>
      <c r="E324" s="31"/>
      <c r="F324" s="216"/>
      <c r="G324" s="31"/>
      <c r="H324" s="217"/>
    </row>
    <row r="325" spans="1:8" x14ac:dyDescent="0.2">
      <c r="A325" s="26" t="s">
        <v>1309</v>
      </c>
      <c r="B325" s="26"/>
      <c r="C325" s="214" t="s">
        <v>5393</v>
      </c>
      <c r="D325" s="234" t="s">
        <v>1071</v>
      </c>
      <c r="E325" s="31">
        <v>2204</v>
      </c>
      <c r="F325" s="216">
        <v>13.76</v>
      </c>
      <c r="G325" s="31"/>
      <c r="H325" s="217"/>
    </row>
    <row r="326" spans="1:8" x14ac:dyDescent="0.2">
      <c r="A326" s="26"/>
      <c r="B326" s="26"/>
      <c r="C326" s="26" t="s">
        <v>5716</v>
      </c>
      <c r="D326" s="234" t="s">
        <v>1072</v>
      </c>
      <c r="E326" s="31">
        <v>1224</v>
      </c>
      <c r="F326" s="216">
        <v>32.74</v>
      </c>
      <c r="G326" s="31"/>
      <c r="H326" s="217"/>
    </row>
    <row r="327" spans="1:8" x14ac:dyDescent="0.2">
      <c r="A327" s="26"/>
      <c r="B327" s="26"/>
      <c r="C327" s="26" t="s">
        <v>5718</v>
      </c>
      <c r="D327" s="234" t="s">
        <v>1736</v>
      </c>
      <c r="E327" s="31">
        <v>799</v>
      </c>
      <c r="F327" s="216"/>
      <c r="G327" s="31"/>
      <c r="H327" s="217"/>
    </row>
    <row r="328" spans="1:8" x14ac:dyDescent="0.2">
      <c r="A328" s="26"/>
      <c r="B328" s="26"/>
      <c r="C328" s="26" t="s">
        <v>5719</v>
      </c>
      <c r="D328" s="234" t="s">
        <v>5578</v>
      </c>
      <c r="E328" s="31">
        <v>227</v>
      </c>
      <c r="F328" s="216">
        <v>1.85</v>
      </c>
      <c r="G328" s="31"/>
      <c r="H328" s="217"/>
    </row>
    <row r="329" spans="1:8" x14ac:dyDescent="0.2">
      <c r="A329" s="26"/>
      <c r="B329" s="26"/>
      <c r="C329" s="26" t="s">
        <v>2318</v>
      </c>
      <c r="D329" s="234"/>
      <c r="E329" s="218">
        <v>4466</v>
      </c>
      <c r="F329" s="219">
        <f>SUM(F325:F328)</f>
        <v>48.35</v>
      </c>
      <c r="G329" s="218">
        <v>6162</v>
      </c>
      <c r="H329" s="220">
        <v>72.5</v>
      </c>
    </row>
    <row r="330" spans="1:8" x14ac:dyDescent="0.2">
      <c r="A330" s="26"/>
      <c r="B330" s="26"/>
      <c r="C330" s="26" t="s">
        <v>2318</v>
      </c>
      <c r="D330" s="234"/>
      <c r="E330" s="31"/>
      <c r="F330" s="216"/>
      <c r="G330" s="31"/>
      <c r="H330" s="217"/>
    </row>
    <row r="331" spans="1:8" x14ac:dyDescent="0.2">
      <c r="A331" s="26" t="s">
        <v>2564</v>
      </c>
      <c r="B331" s="26"/>
      <c r="C331" s="214" t="s">
        <v>5396</v>
      </c>
      <c r="D331" s="234" t="s">
        <v>1071</v>
      </c>
      <c r="E331" s="31">
        <v>3465</v>
      </c>
      <c r="F331" s="216">
        <v>34.04</v>
      </c>
      <c r="G331" s="31"/>
      <c r="H331" s="217"/>
    </row>
    <row r="332" spans="1:8" x14ac:dyDescent="0.2">
      <c r="A332" s="26"/>
      <c r="B332" s="26"/>
      <c r="C332" s="26" t="s">
        <v>5720</v>
      </c>
      <c r="D332" s="234" t="s">
        <v>1736</v>
      </c>
      <c r="E332" s="31">
        <v>668</v>
      </c>
      <c r="F332" s="216"/>
      <c r="G332" s="31"/>
      <c r="H332" s="217"/>
    </row>
    <row r="333" spans="1:8" x14ac:dyDescent="0.2">
      <c r="A333" s="26"/>
      <c r="B333" s="26"/>
      <c r="C333" s="26" t="s">
        <v>5717</v>
      </c>
      <c r="D333" s="234" t="s">
        <v>655</v>
      </c>
      <c r="E333" s="31">
        <v>387</v>
      </c>
      <c r="F333" s="216">
        <v>8.24</v>
      </c>
      <c r="G333" s="31"/>
      <c r="H333" s="217"/>
    </row>
    <row r="334" spans="1:8" x14ac:dyDescent="0.2">
      <c r="A334" s="26"/>
      <c r="B334" s="26"/>
      <c r="C334" s="26" t="s">
        <v>5721</v>
      </c>
      <c r="D334" s="234" t="s">
        <v>5573</v>
      </c>
      <c r="E334" s="31">
        <v>274</v>
      </c>
      <c r="F334" s="216"/>
      <c r="G334" s="31"/>
      <c r="H334" s="217"/>
    </row>
    <row r="335" spans="1:8" x14ac:dyDescent="0.2">
      <c r="A335" s="26"/>
      <c r="B335" s="26"/>
      <c r="C335" s="26" t="s">
        <v>2318</v>
      </c>
      <c r="D335" s="234"/>
      <c r="E335" s="218">
        <v>4804</v>
      </c>
      <c r="F335" s="219">
        <f>SUM(F331:F333)</f>
        <v>42.28</v>
      </c>
      <c r="G335" s="218">
        <v>7283</v>
      </c>
      <c r="H335" s="220">
        <v>66</v>
      </c>
    </row>
    <row r="336" spans="1:8" x14ac:dyDescent="0.2">
      <c r="A336" s="26"/>
      <c r="B336" s="26"/>
      <c r="C336" s="26"/>
      <c r="D336" s="234"/>
      <c r="E336" s="88"/>
      <c r="F336" s="84"/>
      <c r="G336" s="88"/>
      <c r="H336" s="235"/>
    </row>
    <row r="337" spans="1:8" x14ac:dyDescent="0.2">
      <c r="A337" s="26" t="s">
        <v>1199</v>
      </c>
      <c r="B337" s="26"/>
      <c r="C337" s="214" t="s">
        <v>5722</v>
      </c>
      <c r="D337" s="234" t="s">
        <v>1071</v>
      </c>
      <c r="E337" s="31">
        <v>2430</v>
      </c>
      <c r="F337" s="216">
        <v>13.76</v>
      </c>
      <c r="G337" s="31"/>
      <c r="H337" s="217"/>
    </row>
    <row r="338" spans="1:8" x14ac:dyDescent="0.2">
      <c r="A338" s="26"/>
      <c r="B338" s="26"/>
      <c r="C338" s="26" t="s">
        <v>5723</v>
      </c>
      <c r="D338" s="234" t="s">
        <v>1072</v>
      </c>
      <c r="E338" s="31">
        <v>915</v>
      </c>
      <c r="F338" s="216">
        <v>32.74</v>
      </c>
      <c r="G338" s="31"/>
      <c r="H338" s="217"/>
    </row>
    <row r="339" spans="1:8" x14ac:dyDescent="0.2">
      <c r="A339" s="26"/>
      <c r="B339" s="26"/>
      <c r="C339" s="26" t="s">
        <v>2318</v>
      </c>
      <c r="D339" s="234"/>
      <c r="E339" s="218">
        <v>3351</v>
      </c>
      <c r="F339" s="219">
        <f>SUM(F337:F338)</f>
        <v>46.5</v>
      </c>
      <c r="G339" s="218">
        <v>5335</v>
      </c>
      <c r="H339" s="220">
        <v>62.8</v>
      </c>
    </row>
    <row r="340" spans="1:8" x14ac:dyDescent="0.2">
      <c r="A340" s="26"/>
      <c r="B340" s="26"/>
      <c r="C340" s="26"/>
      <c r="D340" s="234"/>
      <c r="E340" s="88"/>
      <c r="F340" s="84"/>
      <c r="G340" s="88"/>
      <c r="H340" s="235"/>
    </row>
    <row r="341" spans="1:8" x14ac:dyDescent="0.2">
      <c r="A341" s="26" t="s">
        <v>1311</v>
      </c>
      <c r="B341" s="26"/>
      <c r="C341" s="214" t="s">
        <v>5724</v>
      </c>
      <c r="D341" s="234" t="s">
        <v>1071</v>
      </c>
      <c r="E341" s="31">
        <v>3352</v>
      </c>
      <c r="F341" s="216">
        <v>13.76</v>
      </c>
      <c r="G341" s="31"/>
      <c r="H341" s="217"/>
    </row>
    <row r="342" spans="1:8" x14ac:dyDescent="0.2">
      <c r="A342" s="26"/>
      <c r="B342" s="26"/>
      <c r="C342" s="26" t="s">
        <v>5725</v>
      </c>
      <c r="D342" s="234" t="s">
        <v>1736</v>
      </c>
      <c r="E342" s="31">
        <v>1298</v>
      </c>
      <c r="F342" s="216">
        <v>32.74</v>
      </c>
      <c r="G342" s="31"/>
      <c r="H342" s="217"/>
    </row>
    <row r="343" spans="1:8" x14ac:dyDescent="0.2">
      <c r="A343" s="26"/>
      <c r="B343" s="26"/>
      <c r="C343" s="26" t="s">
        <v>5726</v>
      </c>
      <c r="D343" s="234" t="s">
        <v>5573</v>
      </c>
      <c r="E343" s="31">
        <v>749</v>
      </c>
      <c r="F343" s="216"/>
      <c r="G343" s="31"/>
      <c r="H343" s="217"/>
    </row>
    <row r="344" spans="1:8" x14ac:dyDescent="0.2">
      <c r="A344" s="26"/>
      <c r="B344" s="26"/>
      <c r="C344" s="26" t="s">
        <v>5727</v>
      </c>
      <c r="D344" s="234" t="s">
        <v>655</v>
      </c>
      <c r="E344" s="31">
        <v>642</v>
      </c>
      <c r="F344" s="216">
        <v>1.85</v>
      </c>
      <c r="G344" s="31"/>
      <c r="H344" s="217"/>
    </row>
    <row r="345" spans="1:8" x14ac:dyDescent="0.2">
      <c r="A345" s="26"/>
      <c r="B345" s="26"/>
      <c r="C345" s="26" t="s">
        <v>2318</v>
      </c>
      <c r="D345" s="234"/>
      <c r="E345" s="218">
        <v>5767</v>
      </c>
      <c r="F345" s="219">
        <f>SUM(F341:F344)</f>
        <v>48.35</v>
      </c>
      <c r="G345" s="218">
        <v>8231</v>
      </c>
      <c r="H345" s="220">
        <v>70.099999999999994</v>
      </c>
    </row>
    <row r="346" spans="1:8" x14ac:dyDescent="0.2">
      <c r="A346" s="26"/>
      <c r="B346" s="26"/>
      <c r="C346" s="26" t="s">
        <v>2318</v>
      </c>
      <c r="D346" s="234"/>
      <c r="E346" s="31"/>
      <c r="F346" s="216"/>
      <c r="G346" s="31"/>
      <c r="H346" s="217"/>
    </row>
    <row r="347" spans="1:8" x14ac:dyDescent="0.2">
      <c r="A347" s="26" t="s">
        <v>5728</v>
      </c>
      <c r="B347" s="26"/>
      <c r="C347" s="214" t="s">
        <v>5399</v>
      </c>
      <c r="D347" s="234" t="s">
        <v>1071</v>
      </c>
      <c r="E347" s="31">
        <v>2421</v>
      </c>
      <c r="F347" s="216">
        <v>34.04</v>
      </c>
      <c r="G347" s="31"/>
      <c r="H347" s="217"/>
    </row>
    <row r="348" spans="1:8" x14ac:dyDescent="0.2">
      <c r="A348" s="26"/>
      <c r="B348" s="26"/>
      <c r="C348" s="26" t="s">
        <v>5729</v>
      </c>
      <c r="D348" s="234" t="s">
        <v>1736</v>
      </c>
      <c r="E348" s="31">
        <v>991</v>
      </c>
      <c r="F348" s="216"/>
      <c r="G348" s="31"/>
      <c r="H348" s="217"/>
    </row>
    <row r="349" spans="1:8" x14ac:dyDescent="0.2">
      <c r="A349" s="26"/>
      <c r="B349" s="26"/>
      <c r="C349" s="26" t="s">
        <v>5730</v>
      </c>
      <c r="D349" s="234" t="s">
        <v>5573</v>
      </c>
      <c r="E349" s="31">
        <v>392</v>
      </c>
      <c r="F349" s="216"/>
      <c r="G349" s="31"/>
      <c r="H349" s="217"/>
    </row>
    <row r="350" spans="1:8" x14ac:dyDescent="0.2">
      <c r="A350" s="26"/>
      <c r="B350" s="26"/>
      <c r="C350" s="26" t="s">
        <v>2318</v>
      </c>
      <c r="D350" s="234"/>
      <c r="E350" s="218">
        <v>3835</v>
      </c>
      <c r="F350" s="219">
        <f>SUM(F347:F348)</f>
        <v>34.04</v>
      </c>
      <c r="G350" s="218">
        <v>5111</v>
      </c>
      <c r="H350" s="220">
        <v>75</v>
      </c>
    </row>
    <row r="351" spans="1:8" x14ac:dyDescent="0.2">
      <c r="A351" s="26"/>
      <c r="B351" s="26"/>
      <c r="C351" s="234"/>
      <c r="D351" s="234"/>
      <c r="E351" s="223"/>
      <c r="F351" s="217"/>
      <c r="G351" s="223"/>
      <c r="H351" s="217"/>
    </row>
    <row r="352" spans="1:8" x14ac:dyDescent="0.2">
      <c r="A352" s="145" t="s">
        <v>1131</v>
      </c>
      <c r="B352" s="145"/>
      <c r="C352" s="145"/>
      <c r="D352" s="146"/>
      <c r="E352" s="147">
        <v>415113</v>
      </c>
      <c r="F352" s="148"/>
      <c r="G352" s="147">
        <v>649678</v>
      </c>
      <c r="H352" s="148">
        <v>63.9</v>
      </c>
    </row>
    <row r="353" spans="1:8" x14ac:dyDescent="0.2">
      <c r="A353" s="77"/>
      <c r="B353" s="77"/>
      <c r="C353" s="77"/>
      <c r="D353" s="78"/>
      <c r="E353" s="88"/>
      <c r="F353" s="84"/>
      <c r="G353" s="88"/>
      <c r="H353" s="84"/>
    </row>
    <row r="354" spans="1:8" x14ac:dyDescent="0.2">
      <c r="A354" s="227" t="s">
        <v>1289</v>
      </c>
      <c r="B354" s="227"/>
      <c r="C354" s="228"/>
      <c r="D354" s="228"/>
      <c r="E354" s="229"/>
      <c r="F354" s="230"/>
      <c r="G354" s="231"/>
      <c r="H354" s="232"/>
    </row>
    <row r="355" spans="1:8" x14ac:dyDescent="0.2">
      <c r="A355" s="276" t="s">
        <v>2934</v>
      </c>
      <c r="B355" s="276"/>
      <c r="C355" s="276"/>
      <c r="D355" s="276"/>
      <c r="E355" s="276"/>
      <c r="F355" s="276"/>
      <c r="G355" s="276"/>
      <c r="H355" s="276"/>
    </row>
    <row r="356" spans="1:8" x14ac:dyDescent="0.2">
      <c r="A356" s="276" t="s">
        <v>4764</v>
      </c>
      <c r="B356" s="276"/>
      <c r="C356" s="276"/>
      <c r="D356" s="276"/>
      <c r="E356" s="276"/>
      <c r="F356" s="276"/>
      <c r="G356" s="276"/>
      <c r="H356" s="276"/>
    </row>
    <row r="357" spans="1:8" x14ac:dyDescent="0.2">
      <c r="A357" s="26" t="s">
        <v>4774</v>
      </c>
      <c r="B357" s="26"/>
      <c r="C357" s="26"/>
      <c r="D357" s="234"/>
      <c r="E357" s="31"/>
      <c r="F357" s="216"/>
      <c r="G357" s="31"/>
      <c r="H357" s="217"/>
    </row>
  </sheetData>
  <mergeCells count="4">
    <mergeCell ref="A1:H1"/>
    <mergeCell ref="F2:H2"/>
    <mergeCell ref="A355:H355"/>
    <mergeCell ref="A356:H35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1"/>
  <sheetViews>
    <sheetView topLeftCell="A310" workbookViewId="0">
      <selection activeCell="K352" sqref="K352"/>
    </sheetView>
  </sheetViews>
  <sheetFormatPr defaultRowHeight="12.75" x14ac:dyDescent="0.2"/>
  <cols>
    <col min="1" max="1" width="11.85546875" style="209" customWidth="1"/>
    <col min="2" max="2" width="9.140625" style="209"/>
    <col min="3" max="3" width="23.140625" style="209" bestFit="1" customWidth="1"/>
    <col min="4" max="4" width="22.28515625" style="209" bestFit="1" customWidth="1"/>
    <col min="5" max="5" width="12.85546875" style="209" customWidth="1"/>
    <col min="6" max="16384" width="9.140625" style="209"/>
  </cols>
  <sheetData>
    <row r="1" spans="1:10" ht="15.75" x14ac:dyDescent="0.2">
      <c r="A1" s="270" t="s">
        <v>2332</v>
      </c>
      <c r="B1" s="270"/>
      <c r="C1" s="270"/>
      <c r="D1" s="270"/>
      <c r="E1" s="270"/>
      <c r="F1" s="270"/>
      <c r="G1" s="270"/>
      <c r="H1" s="270"/>
    </row>
    <row r="2" spans="1:10" ht="13.5" thickBot="1" x14ac:dyDescent="0.25">
      <c r="A2" s="210" t="s">
        <v>4782</v>
      </c>
      <c r="B2" s="210"/>
      <c r="C2" s="210" t="s">
        <v>5183</v>
      </c>
      <c r="D2" s="211" t="s">
        <v>5184</v>
      </c>
      <c r="E2" s="212"/>
      <c r="F2" s="275" t="s">
        <v>2933</v>
      </c>
      <c r="G2" s="275"/>
      <c r="H2" s="275"/>
    </row>
    <row r="3" spans="1:10" ht="39" thickBot="1" x14ac:dyDescent="0.25">
      <c r="A3" s="58" t="s">
        <v>1284</v>
      </c>
      <c r="B3" s="59"/>
      <c r="C3" s="59" t="s">
        <v>1300</v>
      </c>
      <c r="D3" s="59" t="s">
        <v>2652</v>
      </c>
      <c r="E3" s="73" t="s">
        <v>4765</v>
      </c>
      <c r="F3" s="74" t="s">
        <v>1286</v>
      </c>
      <c r="G3" s="73" t="s">
        <v>1287</v>
      </c>
      <c r="H3" s="74" t="s">
        <v>4766</v>
      </c>
      <c r="J3" s="213"/>
    </row>
    <row r="4" spans="1:10" x14ac:dyDescent="0.2">
      <c r="A4" s="60"/>
      <c r="B4" s="60"/>
      <c r="C4" s="61"/>
      <c r="D4" s="66"/>
      <c r="E4" s="87"/>
      <c r="F4" s="80"/>
      <c r="G4" s="87"/>
      <c r="H4" s="80"/>
    </row>
    <row r="5" spans="1:10" x14ac:dyDescent="0.2">
      <c r="A5" s="242" t="s">
        <v>3267</v>
      </c>
      <c r="B5" s="243"/>
      <c r="C5" s="244" t="s">
        <v>5185</v>
      </c>
      <c r="D5" s="242" t="s">
        <v>1071</v>
      </c>
      <c r="E5" s="245">
        <v>3284</v>
      </c>
      <c r="F5" s="246">
        <v>55.4</v>
      </c>
      <c r="G5" s="245"/>
      <c r="H5" s="246"/>
    </row>
    <row r="6" spans="1:10" x14ac:dyDescent="0.2">
      <c r="A6" s="243"/>
      <c r="B6" s="243"/>
      <c r="C6" s="241" t="s">
        <v>5404</v>
      </c>
      <c r="D6" s="234" t="s">
        <v>5405</v>
      </c>
      <c r="E6" s="245">
        <v>1134</v>
      </c>
      <c r="F6" s="246">
        <v>7.4</v>
      </c>
      <c r="G6" s="245"/>
      <c r="H6" s="246"/>
    </row>
    <row r="7" spans="1:10" x14ac:dyDescent="0.2">
      <c r="A7" s="243"/>
      <c r="B7" s="243"/>
      <c r="C7" s="241" t="s">
        <v>5406</v>
      </c>
      <c r="D7" s="234" t="s">
        <v>655</v>
      </c>
      <c r="E7" s="245">
        <v>529</v>
      </c>
      <c r="F7" s="246"/>
      <c r="G7" s="245"/>
      <c r="H7" s="246"/>
    </row>
    <row r="8" spans="1:10" x14ac:dyDescent="0.2">
      <c r="A8" s="243"/>
      <c r="B8" s="243"/>
      <c r="C8" s="241" t="s">
        <v>2318</v>
      </c>
      <c r="D8" s="242"/>
      <c r="E8" s="245">
        <v>4953</v>
      </c>
      <c r="F8" s="246">
        <v>100</v>
      </c>
      <c r="G8" s="245">
        <v>8305</v>
      </c>
      <c r="H8" s="246">
        <v>59.6</v>
      </c>
    </row>
    <row r="9" spans="1:10" x14ac:dyDescent="0.2">
      <c r="A9" s="237"/>
      <c r="B9" s="237"/>
      <c r="C9" s="76"/>
      <c r="D9" s="238"/>
      <c r="E9" s="239"/>
      <c r="F9" s="240"/>
      <c r="G9" s="239"/>
      <c r="H9" s="240"/>
    </row>
    <row r="10" spans="1:10" x14ac:dyDescent="0.2">
      <c r="A10" s="26" t="s">
        <v>2266</v>
      </c>
      <c r="B10" s="26"/>
      <c r="C10" s="214" t="s">
        <v>5189</v>
      </c>
      <c r="D10" s="234" t="s">
        <v>1071</v>
      </c>
      <c r="E10" s="31">
        <v>2241</v>
      </c>
      <c r="F10" s="216">
        <v>55.4</v>
      </c>
      <c r="G10" s="31"/>
      <c r="H10" s="217"/>
    </row>
    <row r="11" spans="1:10" x14ac:dyDescent="0.2">
      <c r="A11" s="26"/>
      <c r="B11" s="26"/>
      <c r="C11" s="26" t="s">
        <v>5191</v>
      </c>
      <c r="D11" s="234" t="s">
        <v>1072</v>
      </c>
      <c r="E11" s="31">
        <v>1827</v>
      </c>
      <c r="F11" s="216">
        <v>7.4</v>
      </c>
      <c r="G11" s="31"/>
      <c r="H11" s="217"/>
    </row>
    <row r="12" spans="1:10" x14ac:dyDescent="0.2">
      <c r="A12" s="26"/>
      <c r="B12" s="26"/>
      <c r="C12" s="26" t="s">
        <v>5407</v>
      </c>
      <c r="D12" s="234" t="s">
        <v>1547</v>
      </c>
      <c r="E12" s="31">
        <v>118</v>
      </c>
      <c r="F12" s="216"/>
      <c r="G12" s="31"/>
      <c r="H12" s="217"/>
    </row>
    <row r="13" spans="1:10" x14ac:dyDescent="0.2">
      <c r="A13" s="26"/>
      <c r="B13" s="26"/>
      <c r="C13" s="26" t="s">
        <v>5408</v>
      </c>
      <c r="D13" s="234" t="s">
        <v>655</v>
      </c>
      <c r="E13" s="31">
        <v>223</v>
      </c>
      <c r="F13" s="216">
        <v>13.2</v>
      </c>
      <c r="G13" s="31"/>
      <c r="H13" s="217"/>
    </row>
    <row r="14" spans="1:10" x14ac:dyDescent="0.2">
      <c r="A14" s="26"/>
      <c r="B14" s="26"/>
      <c r="C14" s="26" t="s">
        <v>2318</v>
      </c>
      <c r="D14" s="234"/>
      <c r="E14" s="218">
        <v>4444</v>
      </c>
      <c r="F14" s="219">
        <v>100</v>
      </c>
      <c r="G14" s="218">
        <v>6070</v>
      </c>
      <c r="H14" s="220">
        <v>73.2</v>
      </c>
    </row>
    <row r="15" spans="1:10" x14ac:dyDescent="0.2">
      <c r="A15" s="26"/>
      <c r="B15" s="26"/>
      <c r="C15" s="26" t="s">
        <v>2318</v>
      </c>
      <c r="D15" s="234"/>
      <c r="E15" s="31"/>
      <c r="F15" s="216"/>
      <c r="G15" s="31"/>
      <c r="H15" s="217"/>
    </row>
    <row r="16" spans="1:10" x14ac:dyDescent="0.2">
      <c r="A16" s="26" t="s">
        <v>1008</v>
      </c>
      <c r="B16" s="26"/>
      <c r="C16" s="26" t="s">
        <v>5409</v>
      </c>
      <c r="D16" s="234" t="s">
        <v>1071</v>
      </c>
      <c r="E16" s="31">
        <v>1878</v>
      </c>
      <c r="F16" s="216">
        <v>17.5</v>
      </c>
      <c r="G16" s="31"/>
      <c r="H16" s="217"/>
    </row>
    <row r="17" spans="1:8" x14ac:dyDescent="0.2">
      <c r="A17" s="26"/>
      <c r="B17" s="26"/>
      <c r="C17" s="26" t="s">
        <v>5410</v>
      </c>
      <c r="D17" s="234" t="s">
        <v>655</v>
      </c>
      <c r="E17" s="31">
        <v>331</v>
      </c>
      <c r="F17" s="216">
        <v>9.1</v>
      </c>
      <c r="G17" s="31"/>
      <c r="H17" s="217"/>
    </row>
    <row r="18" spans="1:8" x14ac:dyDescent="0.2">
      <c r="A18" s="26"/>
      <c r="B18" s="26"/>
      <c r="C18" s="214" t="s">
        <v>5411</v>
      </c>
      <c r="D18" s="234" t="s">
        <v>5195</v>
      </c>
      <c r="E18" s="31">
        <v>2179</v>
      </c>
      <c r="F18" s="216">
        <v>6.5</v>
      </c>
      <c r="G18" s="31"/>
      <c r="H18" s="217"/>
    </row>
    <row r="19" spans="1:8" x14ac:dyDescent="0.2">
      <c r="A19" s="26"/>
      <c r="B19" s="26"/>
      <c r="C19" s="26" t="s">
        <v>2318</v>
      </c>
      <c r="D19" s="234"/>
      <c r="E19" s="218">
        <v>4400</v>
      </c>
      <c r="F19" s="219">
        <f>SUM(F16:F18)</f>
        <v>33.1</v>
      </c>
      <c r="G19" s="218">
        <v>6921</v>
      </c>
      <c r="H19" s="220">
        <v>63.6</v>
      </c>
    </row>
    <row r="20" spans="1:8" x14ac:dyDescent="0.2">
      <c r="A20" s="26"/>
      <c r="B20" s="26"/>
      <c r="C20" s="26" t="s">
        <v>2318</v>
      </c>
      <c r="D20" s="234"/>
      <c r="E20" s="31"/>
      <c r="F20" s="216"/>
      <c r="G20" s="31"/>
      <c r="H20" s="217"/>
    </row>
    <row r="21" spans="1:8" x14ac:dyDescent="0.2">
      <c r="A21" s="26" t="s">
        <v>1974</v>
      </c>
      <c r="B21" s="26"/>
      <c r="C21" s="214" t="s">
        <v>5412</v>
      </c>
      <c r="D21" s="234" t="s">
        <v>1071</v>
      </c>
      <c r="E21" s="31">
        <v>2222</v>
      </c>
      <c r="F21" s="216">
        <v>3</v>
      </c>
      <c r="G21" s="31"/>
      <c r="H21" s="217"/>
    </row>
    <row r="22" spans="1:8" x14ac:dyDescent="0.2">
      <c r="A22" s="26"/>
      <c r="B22" s="26"/>
      <c r="C22" s="26" t="s">
        <v>5413</v>
      </c>
      <c r="D22" s="234" t="s">
        <v>1072</v>
      </c>
      <c r="E22" s="31">
        <v>1059</v>
      </c>
      <c r="F22" s="216">
        <v>49.8</v>
      </c>
      <c r="G22" s="31"/>
      <c r="H22" s="217"/>
    </row>
    <row r="23" spans="1:8" x14ac:dyDescent="0.2">
      <c r="A23" s="26"/>
      <c r="B23" s="26"/>
      <c r="C23" s="26" t="s">
        <v>5414</v>
      </c>
      <c r="D23" s="234" t="s">
        <v>1736</v>
      </c>
      <c r="E23" s="31">
        <v>1091</v>
      </c>
      <c r="F23" s="216"/>
      <c r="G23" s="31"/>
      <c r="H23" s="217"/>
    </row>
    <row r="24" spans="1:8" x14ac:dyDescent="0.2">
      <c r="A24" s="26"/>
      <c r="B24" s="26"/>
      <c r="C24" s="26" t="s">
        <v>5415</v>
      </c>
      <c r="D24" s="234" t="s">
        <v>655</v>
      </c>
      <c r="E24" s="31">
        <v>255</v>
      </c>
      <c r="F24" s="216">
        <v>18.3</v>
      </c>
      <c r="G24" s="31"/>
      <c r="H24" s="217"/>
    </row>
    <row r="25" spans="1:8" x14ac:dyDescent="0.2">
      <c r="A25" s="26"/>
      <c r="B25" s="26"/>
      <c r="C25" s="26" t="s">
        <v>2318</v>
      </c>
      <c r="D25" s="234"/>
      <c r="E25" s="218">
        <v>4638</v>
      </c>
      <c r="F25" s="219">
        <v>100</v>
      </c>
      <c r="G25" s="218">
        <v>8267</v>
      </c>
      <c r="H25" s="220">
        <v>56.1</v>
      </c>
    </row>
    <row r="26" spans="1:8" x14ac:dyDescent="0.2">
      <c r="A26" s="26"/>
      <c r="B26" s="26"/>
      <c r="C26" s="26" t="s">
        <v>2318</v>
      </c>
      <c r="D26" s="234"/>
      <c r="E26" s="31"/>
      <c r="F26" s="216"/>
      <c r="G26" s="31"/>
      <c r="H26" s="217"/>
    </row>
    <row r="27" spans="1:8" x14ac:dyDescent="0.2">
      <c r="A27" s="26" t="s">
        <v>5197</v>
      </c>
      <c r="B27" s="26"/>
      <c r="C27" s="214" t="s">
        <v>5416</v>
      </c>
      <c r="D27" s="234" t="s">
        <v>1071</v>
      </c>
      <c r="E27" s="31">
        <v>2871</v>
      </c>
      <c r="F27" s="216">
        <v>36</v>
      </c>
      <c r="G27" s="31"/>
      <c r="H27" s="217"/>
    </row>
    <row r="28" spans="1:8" x14ac:dyDescent="0.2">
      <c r="A28" s="26"/>
      <c r="B28" s="26"/>
      <c r="C28" s="26" t="s">
        <v>1238</v>
      </c>
      <c r="D28" s="234" t="s">
        <v>1072</v>
      </c>
      <c r="E28" s="31">
        <v>923</v>
      </c>
      <c r="F28" s="216">
        <v>59.8</v>
      </c>
      <c r="G28" s="31"/>
      <c r="H28" s="217"/>
    </row>
    <row r="29" spans="1:8" x14ac:dyDescent="0.2">
      <c r="A29" s="26"/>
      <c r="B29" s="26"/>
      <c r="C29" s="26" t="s">
        <v>5417</v>
      </c>
      <c r="D29" s="234" t="s">
        <v>1736</v>
      </c>
      <c r="E29" s="31">
        <v>972</v>
      </c>
      <c r="F29" s="216"/>
      <c r="G29" s="31"/>
      <c r="H29" s="217"/>
    </row>
    <row r="30" spans="1:8" x14ac:dyDescent="0.2">
      <c r="A30" s="26"/>
      <c r="B30" s="26"/>
      <c r="C30" s="26" t="s">
        <v>2318</v>
      </c>
      <c r="D30" s="234"/>
      <c r="E30" s="218">
        <v>4770</v>
      </c>
      <c r="F30" s="219">
        <v>100</v>
      </c>
      <c r="G30" s="218">
        <v>7088</v>
      </c>
      <c r="H30" s="220">
        <v>67.3</v>
      </c>
    </row>
    <row r="31" spans="1:8" x14ac:dyDescent="0.2">
      <c r="A31" s="26"/>
      <c r="B31" s="26"/>
      <c r="C31" s="26" t="s">
        <v>2318</v>
      </c>
      <c r="D31" s="234"/>
      <c r="E31" s="31"/>
      <c r="F31" s="216"/>
      <c r="G31" s="31"/>
      <c r="H31" s="217"/>
    </row>
    <row r="32" spans="1:8" x14ac:dyDescent="0.2">
      <c r="A32" s="26" t="s">
        <v>5201</v>
      </c>
      <c r="B32" s="26"/>
      <c r="C32" s="214" t="s">
        <v>5203</v>
      </c>
      <c r="D32" s="234" t="s">
        <v>1071</v>
      </c>
      <c r="E32" s="31">
        <v>5355</v>
      </c>
      <c r="F32" s="216">
        <v>16.7</v>
      </c>
      <c r="G32" s="31"/>
      <c r="H32" s="217"/>
    </row>
    <row r="33" spans="1:10" x14ac:dyDescent="0.2">
      <c r="B33" s="26"/>
      <c r="C33" s="26" t="s">
        <v>5418</v>
      </c>
      <c r="D33" s="234" t="s">
        <v>1072</v>
      </c>
      <c r="E33" s="31">
        <v>2456</v>
      </c>
      <c r="F33" s="216">
        <v>12.5</v>
      </c>
      <c r="G33" s="31"/>
      <c r="H33" s="217"/>
    </row>
    <row r="34" spans="1:10" x14ac:dyDescent="0.2">
      <c r="B34" s="26"/>
      <c r="C34" s="26" t="s">
        <v>5419</v>
      </c>
      <c r="D34" s="234" t="s">
        <v>1736</v>
      </c>
      <c r="E34" s="31">
        <v>1719</v>
      </c>
      <c r="F34" s="216"/>
      <c r="G34" s="31"/>
      <c r="H34" s="217"/>
    </row>
    <row r="35" spans="1:10" x14ac:dyDescent="0.2">
      <c r="A35" s="26"/>
      <c r="B35" s="26"/>
      <c r="C35" s="26" t="s">
        <v>5420</v>
      </c>
      <c r="D35" s="234" t="s">
        <v>655</v>
      </c>
      <c r="E35" s="31">
        <v>735</v>
      </c>
      <c r="F35" s="216">
        <v>0.4</v>
      </c>
      <c r="G35" s="31"/>
      <c r="H35" s="217"/>
    </row>
    <row r="36" spans="1:10" x14ac:dyDescent="0.2">
      <c r="A36" s="26"/>
      <c r="B36" s="26"/>
      <c r="C36" s="26" t="s">
        <v>2318</v>
      </c>
      <c r="D36" s="234"/>
      <c r="E36" s="218">
        <v>10276</v>
      </c>
      <c r="F36" s="219">
        <f>SUM(F32:F35)</f>
        <v>29.599999999999998</v>
      </c>
      <c r="G36" s="218">
        <v>19675</v>
      </c>
      <c r="H36" s="220">
        <v>52.2</v>
      </c>
    </row>
    <row r="37" spans="1:10" x14ac:dyDescent="0.2">
      <c r="A37" s="26"/>
      <c r="B37" s="26"/>
      <c r="C37" s="26" t="s">
        <v>2318</v>
      </c>
      <c r="D37" s="234"/>
      <c r="E37" s="31"/>
      <c r="F37" s="216"/>
      <c r="G37" s="31"/>
      <c r="H37" s="217"/>
    </row>
    <row r="38" spans="1:10" x14ac:dyDescent="0.2">
      <c r="A38" s="26" t="s">
        <v>5206</v>
      </c>
      <c r="B38" s="26"/>
      <c r="C38" s="214" t="s">
        <v>5421</v>
      </c>
      <c r="D38" s="234" t="s">
        <v>1071</v>
      </c>
      <c r="E38" s="31">
        <v>4395</v>
      </c>
      <c r="F38" s="216">
        <v>10.8</v>
      </c>
      <c r="G38" s="31"/>
      <c r="H38" s="217"/>
    </row>
    <row r="39" spans="1:10" x14ac:dyDescent="0.2">
      <c r="A39" s="26"/>
      <c r="B39" s="26"/>
      <c r="C39" s="26" t="s">
        <v>5422</v>
      </c>
      <c r="D39" s="234" t="s">
        <v>1072</v>
      </c>
      <c r="E39" s="31">
        <v>1878</v>
      </c>
      <c r="F39" s="216">
        <v>14.2</v>
      </c>
      <c r="G39" s="31"/>
      <c r="H39" s="217"/>
    </row>
    <row r="40" spans="1:10" x14ac:dyDescent="0.2">
      <c r="A40" s="26"/>
      <c r="B40" s="26"/>
      <c r="C40" s="26" t="s">
        <v>5423</v>
      </c>
      <c r="D40" s="234" t="s">
        <v>655</v>
      </c>
      <c r="E40" s="31">
        <v>757</v>
      </c>
      <c r="F40" s="216">
        <v>64</v>
      </c>
      <c r="G40" s="31"/>
      <c r="H40" s="217"/>
    </row>
    <row r="41" spans="1:10" x14ac:dyDescent="0.2">
      <c r="A41" s="26"/>
      <c r="B41" s="26"/>
      <c r="C41" s="26" t="s">
        <v>5424</v>
      </c>
      <c r="D41" s="234" t="s">
        <v>1547</v>
      </c>
      <c r="E41" s="31">
        <v>101</v>
      </c>
      <c r="F41" s="216"/>
      <c r="G41" s="31"/>
      <c r="H41" s="217"/>
    </row>
    <row r="42" spans="1:10" x14ac:dyDescent="0.2">
      <c r="A42" s="26"/>
      <c r="B42" s="26"/>
      <c r="C42" s="26" t="s">
        <v>2318</v>
      </c>
      <c r="D42" s="234"/>
      <c r="E42" s="218">
        <v>7179</v>
      </c>
      <c r="F42" s="219">
        <f>SUM(F38:F40)</f>
        <v>89</v>
      </c>
      <c r="G42" s="218">
        <v>17567</v>
      </c>
      <c r="H42" s="220">
        <v>40.9</v>
      </c>
    </row>
    <row r="43" spans="1:10" x14ac:dyDescent="0.2">
      <c r="A43" s="26"/>
      <c r="B43" s="26"/>
      <c r="C43" s="26" t="s">
        <v>2318</v>
      </c>
      <c r="D43" s="234"/>
      <c r="E43" s="31"/>
      <c r="F43" s="216"/>
      <c r="G43" s="31"/>
      <c r="H43" s="217"/>
    </row>
    <row r="44" spans="1:10" x14ac:dyDescent="0.2">
      <c r="A44" s="26" t="s">
        <v>3167</v>
      </c>
      <c r="B44" s="26"/>
      <c r="C44" s="214" t="s">
        <v>5210</v>
      </c>
      <c r="D44" s="234" t="s">
        <v>1071</v>
      </c>
      <c r="E44" s="31">
        <v>4763</v>
      </c>
      <c r="F44" s="216">
        <v>59.7</v>
      </c>
      <c r="G44" s="31"/>
      <c r="H44" s="217"/>
      <c r="J44" s="221"/>
    </row>
    <row r="45" spans="1:10" x14ac:dyDescent="0.2">
      <c r="A45" s="26"/>
      <c r="B45" s="26"/>
      <c r="C45" s="26" t="s">
        <v>5425</v>
      </c>
      <c r="D45" s="234" t="s">
        <v>1072</v>
      </c>
      <c r="E45" s="31">
        <v>677</v>
      </c>
      <c r="F45" s="216"/>
      <c r="G45" s="31"/>
      <c r="H45" s="217"/>
      <c r="J45" s="221"/>
    </row>
    <row r="46" spans="1:10" x14ac:dyDescent="0.2">
      <c r="A46" s="26"/>
      <c r="B46" s="26"/>
      <c r="C46" s="26" t="s">
        <v>5426</v>
      </c>
      <c r="D46" s="234" t="s">
        <v>1736</v>
      </c>
      <c r="E46" s="31">
        <v>1497</v>
      </c>
      <c r="F46" s="216">
        <v>6.8</v>
      </c>
      <c r="G46" s="31"/>
      <c r="H46" s="217"/>
      <c r="J46" s="221"/>
    </row>
    <row r="47" spans="1:10" x14ac:dyDescent="0.2">
      <c r="A47" s="26"/>
      <c r="B47" s="26"/>
      <c r="C47" s="26" t="s">
        <v>5427</v>
      </c>
      <c r="D47" s="234" t="s">
        <v>655</v>
      </c>
      <c r="E47" s="31">
        <v>374</v>
      </c>
      <c r="F47" s="216">
        <v>24.5</v>
      </c>
      <c r="G47" s="31"/>
      <c r="H47" s="217"/>
      <c r="J47" s="221"/>
    </row>
    <row r="48" spans="1:10" x14ac:dyDescent="0.2">
      <c r="A48" s="26"/>
      <c r="B48" s="26"/>
      <c r="C48" s="26" t="s">
        <v>2318</v>
      </c>
      <c r="D48" s="234"/>
      <c r="E48" s="218">
        <v>7908</v>
      </c>
      <c r="F48" s="219">
        <f>SUM(F44:F47)</f>
        <v>91</v>
      </c>
      <c r="G48" s="218">
        <v>17729</v>
      </c>
      <c r="H48" s="220">
        <v>44.6</v>
      </c>
    </row>
    <row r="49" spans="1:8" x14ac:dyDescent="0.2">
      <c r="A49" s="26"/>
      <c r="B49" s="26"/>
      <c r="C49" s="26" t="s">
        <v>2318</v>
      </c>
      <c r="D49" s="234"/>
      <c r="E49" s="31"/>
      <c r="F49" s="216"/>
      <c r="G49" s="31"/>
      <c r="H49" s="217"/>
    </row>
    <row r="50" spans="1:8" x14ac:dyDescent="0.2">
      <c r="A50" s="26" t="s">
        <v>3211</v>
      </c>
      <c r="B50" s="26"/>
      <c r="C50" s="26" t="s">
        <v>5428</v>
      </c>
      <c r="D50" s="234" t="s">
        <v>1071</v>
      </c>
      <c r="E50" s="31">
        <v>4268</v>
      </c>
      <c r="F50" s="216">
        <v>3</v>
      </c>
      <c r="G50" s="31"/>
      <c r="H50" s="217"/>
    </row>
    <row r="51" spans="1:8" x14ac:dyDescent="0.2">
      <c r="A51" s="26"/>
      <c r="B51" s="26"/>
      <c r="C51" s="214" t="s">
        <v>5429</v>
      </c>
      <c r="D51" s="234" t="s">
        <v>1072</v>
      </c>
      <c r="E51" s="31">
        <v>6037</v>
      </c>
      <c r="F51" s="216">
        <v>55.8</v>
      </c>
      <c r="G51" s="31"/>
      <c r="H51" s="217"/>
    </row>
    <row r="52" spans="1:8" x14ac:dyDescent="0.2">
      <c r="A52" s="26"/>
      <c r="B52" s="26"/>
      <c r="C52" s="26" t="s">
        <v>5430</v>
      </c>
      <c r="D52" s="234" t="s">
        <v>1736</v>
      </c>
      <c r="E52" s="31">
        <v>2891</v>
      </c>
      <c r="F52" s="216"/>
      <c r="G52" s="31"/>
      <c r="H52" s="217"/>
    </row>
    <row r="53" spans="1:8" x14ac:dyDescent="0.2">
      <c r="A53" s="26"/>
      <c r="B53" s="26"/>
      <c r="C53" s="26" t="s">
        <v>5431</v>
      </c>
      <c r="D53" s="234" t="s">
        <v>655</v>
      </c>
      <c r="E53" s="31">
        <v>374</v>
      </c>
      <c r="F53" s="216">
        <v>32.5</v>
      </c>
      <c r="G53" s="31"/>
      <c r="H53" s="217"/>
    </row>
    <row r="54" spans="1:8" x14ac:dyDescent="0.2">
      <c r="A54" s="26"/>
      <c r="B54" s="26"/>
      <c r="C54" s="26" t="s">
        <v>2318</v>
      </c>
      <c r="D54" s="234"/>
      <c r="E54" s="218">
        <v>13592</v>
      </c>
      <c r="F54" s="219">
        <f>SUM(F50:F53)</f>
        <v>91.3</v>
      </c>
      <c r="G54" s="218">
        <v>25327</v>
      </c>
      <c r="H54" s="220">
        <v>53.7</v>
      </c>
    </row>
    <row r="55" spans="1:8" x14ac:dyDescent="0.2">
      <c r="A55" s="26"/>
      <c r="B55" s="26"/>
      <c r="C55" s="26" t="s">
        <v>2318</v>
      </c>
      <c r="D55" s="234"/>
      <c r="E55" s="31"/>
      <c r="F55" s="216"/>
      <c r="G55" s="31"/>
      <c r="H55" s="217"/>
    </row>
    <row r="56" spans="1:8" x14ac:dyDescent="0.2">
      <c r="A56" s="26" t="s">
        <v>5216</v>
      </c>
      <c r="B56" s="26"/>
      <c r="C56" s="214" t="s">
        <v>4839</v>
      </c>
      <c r="D56" s="234" t="s">
        <v>1071</v>
      </c>
      <c r="E56" s="31">
        <v>4713</v>
      </c>
      <c r="F56" s="216">
        <v>6.2</v>
      </c>
      <c r="G56" s="31"/>
      <c r="H56" s="217"/>
    </row>
    <row r="57" spans="1:8" x14ac:dyDescent="0.2">
      <c r="A57" s="26"/>
      <c r="B57" s="26"/>
      <c r="C57" s="26" t="s">
        <v>5432</v>
      </c>
      <c r="D57" s="234" t="s">
        <v>1072</v>
      </c>
      <c r="E57" s="31">
        <v>794</v>
      </c>
      <c r="F57" s="216">
        <v>7.5</v>
      </c>
      <c r="G57" s="31"/>
      <c r="H57" s="217"/>
    </row>
    <row r="58" spans="1:8" x14ac:dyDescent="0.2">
      <c r="A58" s="26"/>
      <c r="B58" s="26"/>
      <c r="C58" s="26" t="s">
        <v>5433</v>
      </c>
      <c r="D58" s="234" t="s">
        <v>1736</v>
      </c>
      <c r="E58" s="31">
        <v>2123</v>
      </c>
      <c r="F58" s="216">
        <v>70.5</v>
      </c>
      <c r="G58" s="31"/>
      <c r="H58" s="217"/>
    </row>
    <row r="59" spans="1:8" x14ac:dyDescent="0.2">
      <c r="A59" s="26"/>
      <c r="B59" s="26"/>
      <c r="C59" s="26" t="s">
        <v>5434</v>
      </c>
      <c r="D59" s="234" t="s">
        <v>655</v>
      </c>
      <c r="E59" s="31">
        <v>647</v>
      </c>
      <c r="F59" s="216">
        <v>0.2</v>
      </c>
      <c r="G59" s="31"/>
      <c r="H59" s="217"/>
    </row>
    <row r="60" spans="1:8" x14ac:dyDescent="0.2">
      <c r="A60" s="26"/>
      <c r="B60" s="26"/>
      <c r="C60" s="26" t="s">
        <v>2318</v>
      </c>
      <c r="D60" s="234"/>
      <c r="E60" s="218">
        <v>8295</v>
      </c>
      <c r="F60" s="219">
        <v>100</v>
      </c>
      <c r="G60" s="218">
        <v>15804</v>
      </c>
      <c r="H60" s="220">
        <v>52.5</v>
      </c>
    </row>
    <row r="61" spans="1:8" x14ac:dyDescent="0.2">
      <c r="A61" s="26"/>
      <c r="B61" s="26"/>
      <c r="C61" s="26" t="s">
        <v>2318</v>
      </c>
      <c r="D61" s="234"/>
      <c r="E61" s="31"/>
      <c r="F61" s="216"/>
      <c r="G61" s="31"/>
      <c r="H61" s="217"/>
    </row>
    <row r="62" spans="1:8" x14ac:dyDescent="0.2">
      <c r="A62" s="26" t="s">
        <v>5221</v>
      </c>
      <c r="B62" s="26"/>
      <c r="C62" s="214" t="s">
        <v>5222</v>
      </c>
      <c r="D62" s="234" t="s">
        <v>1071</v>
      </c>
      <c r="E62" s="31">
        <v>4363</v>
      </c>
      <c r="F62" s="216">
        <v>9.4</v>
      </c>
      <c r="G62" s="31"/>
      <c r="H62" s="217"/>
    </row>
    <row r="63" spans="1:8" x14ac:dyDescent="0.2">
      <c r="A63" s="26"/>
      <c r="B63" s="26"/>
      <c r="C63" s="26" t="s">
        <v>4579</v>
      </c>
      <c r="D63" s="234" t="s">
        <v>1072</v>
      </c>
      <c r="E63" s="31">
        <v>794</v>
      </c>
      <c r="F63" s="216">
        <v>5.7</v>
      </c>
      <c r="G63" s="31"/>
      <c r="H63" s="217"/>
    </row>
    <row r="64" spans="1:8" x14ac:dyDescent="0.2">
      <c r="A64" s="26"/>
      <c r="B64" s="26"/>
      <c r="C64" s="26" t="s">
        <v>5435</v>
      </c>
      <c r="D64" s="234" t="s">
        <v>1736</v>
      </c>
      <c r="E64" s="31">
        <v>1597</v>
      </c>
      <c r="F64" s="216"/>
      <c r="G64" s="31"/>
      <c r="H64" s="217"/>
    </row>
    <row r="65" spans="1:8" x14ac:dyDescent="0.2">
      <c r="A65" s="26"/>
      <c r="B65" s="26"/>
      <c r="C65" s="26" t="s">
        <v>5436</v>
      </c>
      <c r="D65" s="234" t="s">
        <v>653</v>
      </c>
      <c r="E65" s="31">
        <v>1469</v>
      </c>
      <c r="F65" s="216"/>
      <c r="G65" s="31"/>
      <c r="H65" s="217"/>
    </row>
    <row r="66" spans="1:8" x14ac:dyDescent="0.2">
      <c r="A66" s="26"/>
      <c r="B66" s="26"/>
      <c r="C66" s="26" t="s">
        <v>5437</v>
      </c>
      <c r="D66" s="234" t="s">
        <v>655</v>
      </c>
      <c r="E66" s="31">
        <v>509</v>
      </c>
      <c r="F66" s="216">
        <v>23</v>
      </c>
      <c r="G66" s="31"/>
      <c r="H66" s="217"/>
    </row>
    <row r="67" spans="1:8" x14ac:dyDescent="0.2">
      <c r="A67" s="26"/>
      <c r="B67" s="26"/>
      <c r="C67" s="26" t="s">
        <v>5438</v>
      </c>
      <c r="D67" s="234" t="s">
        <v>4860</v>
      </c>
      <c r="E67" s="31">
        <v>126</v>
      </c>
      <c r="F67" s="216">
        <v>62</v>
      </c>
      <c r="G67" s="31"/>
      <c r="H67" s="217"/>
    </row>
    <row r="68" spans="1:8" x14ac:dyDescent="0.2">
      <c r="A68" s="26"/>
      <c r="B68" s="26"/>
      <c r="C68" s="26" t="s">
        <v>2318</v>
      </c>
      <c r="D68" s="234"/>
      <c r="E68" s="218">
        <v>9054</v>
      </c>
      <c r="F68" s="219">
        <f>SUM(F62:F67)</f>
        <v>100.1</v>
      </c>
      <c r="G68" s="218">
        <v>16569</v>
      </c>
      <c r="H68" s="220">
        <v>54.6</v>
      </c>
    </row>
    <row r="69" spans="1:8" x14ac:dyDescent="0.2">
      <c r="A69" s="26"/>
      <c r="B69" s="26"/>
      <c r="C69" s="26" t="s">
        <v>2318</v>
      </c>
      <c r="D69" s="234"/>
      <c r="E69" s="31"/>
      <c r="F69" s="216"/>
      <c r="G69" s="31"/>
      <c r="H69" s="217"/>
    </row>
    <row r="70" spans="1:8" x14ac:dyDescent="0.2">
      <c r="A70" s="26" t="s">
        <v>5225</v>
      </c>
      <c r="B70" s="26"/>
      <c r="C70" s="214" t="s">
        <v>5226</v>
      </c>
      <c r="D70" s="222" t="s">
        <v>1071</v>
      </c>
      <c r="E70" s="31">
        <v>5661</v>
      </c>
      <c r="F70" s="216">
        <v>62.1</v>
      </c>
      <c r="G70" s="31"/>
      <c r="H70" s="217"/>
    </row>
    <row r="71" spans="1:8" x14ac:dyDescent="0.2">
      <c r="A71" s="26"/>
      <c r="B71" s="26"/>
      <c r="C71" s="26" t="s">
        <v>5439</v>
      </c>
      <c r="D71" s="234" t="s">
        <v>1072</v>
      </c>
      <c r="E71" s="31">
        <v>2529</v>
      </c>
      <c r="F71" s="216"/>
      <c r="G71" s="31"/>
      <c r="H71" s="217"/>
    </row>
    <row r="72" spans="1:8" x14ac:dyDescent="0.2">
      <c r="A72" s="26"/>
      <c r="B72" s="26"/>
      <c r="C72" s="26" t="s">
        <v>5440</v>
      </c>
      <c r="D72" s="234" t="s">
        <v>655</v>
      </c>
      <c r="E72" s="31">
        <v>1123</v>
      </c>
      <c r="F72" s="216"/>
      <c r="G72" s="31"/>
      <c r="H72" s="217"/>
    </row>
    <row r="73" spans="1:8" x14ac:dyDescent="0.2">
      <c r="A73" s="26"/>
      <c r="B73" s="26"/>
      <c r="C73" s="26" t="s">
        <v>2318</v>
      </c>
      <c r="D73" s="26"/>
      <c r="E73" s="218">
        <v>9356</v>
      </c>
      <c r="F73" s="219">
        <v>100</v>
      </c>
      <c r="G73" s="218">
        <v>21575</v>
      </c>
      <c r="H73" s="220">
        <v>43.4</v>
      </c>
    </row>
    <row r="74" spans="1:8" x14ac:dyDescent="0.2">
      <c r="A74" s="26"/>
      <c r="B74" s="26"/>
      <c r="C74" s="26" t="s">
        <v>2318</v>
      </c>
      <c r="D74" s="234"/>
      <c r="E74" s="31"/>
      <c r="F74" s="216"/>
      <c r="G74" s="31"/>
      <c r="H74" s="217"/>
    </row>
    <row r="75" spans="1:8" x14ac:dyDescent="0.2">
      <c r="A75" s="26" t="s">
        <v>1188</v>
      </c>
      <c r="B75" s="26"/>
      <c r="C75" s="214" t="s">
        <v>5231</v>
      </c>
      <c r="D75" s="234" t="s">
        <v>1071</v>
      </c>
      <c r="E75" s="31">
        <v>5183</v>
      </c>
      <c r="F75" s="216">
        <v>3.8</v>
      </c>
      <c r="G75" s="31"/>
      <c r="H75" s="217"/>
    </row>
    <row r="76" spans="1:8" x14ac:dyDescent="0.2">
      <c r="A76" s="26"/>
      <c r="B76" s="26"/>
      <c r="C76" s="26" t="s">
        <v>5441</v>
      </c>
      <c r="D76" s="234" t="s">
        <v>1072</v>
      </c>
      <c r="E76" s="31">
        <v>2250</v>
      </c>
      <c r="F76" s="216">
        <v>8.6999999999999993</v>
      </c>
      <c r="G76" s="31"/>
      <c r="H76" s="217"/>
    </row>
    <row r="77" spans="1:8" x14ac:dyDescent="0.2">
      <c r="A77" s="26"/>
      <c r="B77" s="26"/>
      <c r="C77" s="26" t="s">
        <v>5442</v>
      </c>
      <c r="D77" s="234" t="s">
        <v>1736</v>
      </c>
      <c r="E77" s="31">
        <v>4109</v>
      </c>
      <c r="F77" s="216">
        <v>8.1</v>
      </c>
      <c r="G77" s="31"/>
      <c r="H77" s="217"/>
    </row>
    <row r="78" spans="1:8" x14ac:dyDescent="0.2">
      <c r="A78" s="26"/>
      <c r="B78" s="26"/>
      <c r="C78" s="26" t="s">
        <v>5443</v>
      </c>
      <c r="D78" s="234" t="s">
        <v>655</v>
      </c>
      <c r="E78" s="31">
        <v>568</v>
      </c>
      <c r="F78" s="216">
        <v>6.5</v>
      </c>
      <c r="G78" s="31"/>
      <c r="H78" s="217"/>
    </row>
    <row r="79" spans="1:8" x14ac:dyDescent="0.2">
      <c r="A79" s="26"/>
      <c r="B79" s="26"/>
      <c r="C79" s="26" t="s">
        <v>2318</v>
      </c>
      <c r="D79" s="234"/>
      <c r="E79" s="218">
        <v>12122</v>
      </c>
      <c r="F79" s="219">
        <f>SUM(F75:F78)</f>
        <v>27.1</v>
      </c>
      <c r="G79" s="218">
        <v>22540</v>
      </c>
      <c r="H79" s="220">
        <v>65.400000000000006</v>
      </c>
    </row>
    <row r="80" spans="1:8" x14ac:dyDescent="0.2">
      <c r="A80" s="26"/>
      <c r="B80" s="26"/>
      <c r="C80" s="26" t="s">
        <v>2318</v>
      </c>
      <c r="D80" s="234"/>
      <c r="E80" s="31"/>
      <c r="F80" s="216"/>
      <c r="G80" s="31"/>
      <c r="H80" s="217"/>
    </row>
    <row r="81" spans="1:10" x14ac:dyDescent="0.2">
      <c r="A81" s="26" t="s">
        <v>1125</v>
      </c>
      <c r="B81" s="26"/>
      <c r="C81" s="214" t="s">
        <v>5235</v>
      </c>
      <c r="D81" s="234" t="s">
        <v>1071</v>
      </c>
      <c r="E81" s="31">
        <v>3427</v>
      </c>
      <c r="F81" s="216">
        <v>14.2</v>
      </c>
      <c r="G81" s="31"/>
      <c r="H81" s="217"/>
    </row>
    <row r="82" spans="1:10" x14ac:dyDescent="0.2">
      <c r="A82" s="26"/>
      <c r="B82" s="26"/>
      <c r="C82" s="26" t="s">
        <v>5444</v>
      </c>
      <c r="D82" s="234" t="s">
        <v>1072</v>
      </c>
      <c r="E82" s="31">
        <v>746</v>
      </c>
      <c r="F82" s="216">
        <v>2.1</v>
      </c>
      <c r="G82" s="31"/>
      <c r="H82" s="217"/>
    </row>
    <row r="83" spans="1:10" x14ac:dyDescent="0.2">
      <c r="A83" s="26"/>
      <c r="B83" s="26"/>
      <c r="C83" s="26" t="s">
        <v>5445</v>
      </c>
      <c r="D83" s="234" t="s">
        <v>1736</v>
      </c>
      <c r="E83" s="31">
        <v>1519</v>
      </c>
      <c r="F83" s="216"/>
      <c r="G83" s="31"/>
      <c r="H83" s="217"/>
    </row>
    <row r="84" spans="1:10" x14ac:dyDescent="0.2">
      <c r="A84" s="26"/>
      <c r="B84" s="26"/>
      <c r="C84" s="26" t="s">
        <v>5446</v>
      </c>
      <c r="D84" s="234" t="s">
        <v>655</v>
      </c>
      <c r="E84" s="31">
        <v>356</v>
      </c>
      <c r="F84" s="216">
        <v>23.5</v>
      </c>
      <c r="G84" s="31"/>
      <c r="H84" s="217"/>
      <c r="J84" s="221"/>
    </row>
    <row r="85" spans="1:10" x14ac:dyDescent="0.2">
      <c r="A85" s="26"/>
      <c r="B85" s="26"/>
      <c r="C85" s="26" t="s">
        <v>2318</v>
      </c>
      <c r="D85" s="234"/>
      <c r="E85" s="218">
        <v>6058</v>
      </c>
      <c r="F85" s="219">
        <f>SUM(F81:F84)</f>
        <v>39.799999999999997</v>
      </c>
      <c r="G85" s="218">
        <v>9259</v>
      </c>
      <c r="H85" s="220">
        <v>65.400000000000006</v>
      </c>
    </row>
    <row r="86" spans="1:10" x14ac:dyDescent="0.2">
      <c r="A86" s="26"/>
      <c r="B86" s="26"/>
      <c r="C86" s="26" t="s">
        <v>2318</v>
      </c>
      <c r="D86" s="234"/>
      <c r="E86" s="31"/>
      <c r="F86" s="216"/>
      <c r="G86" s="31"/>
      <c r="H86" s="217"/>
    </row>
    <row r="87" spans="1:10" x14ac:dyDescent="0.2">
      <c r="A87" s="26" t="s">
        <v>1427</v>
      </c>
      <c r="B87" s="26"/>
      <c r="C87" s="214" t="s">
        <v>5447</v>
      </c>
      <c r="D87" s="234" t="s">
        <v>1071</v>
      </c>
      <c r="E87" s="31">
        <v>2527</v>
      </c>
      <c r="F87" s="216">
        <v>2</v>
      </c>
      <c r="G87" s="31"/>
      <c r="H87" s="217"/>
    </row>
    <row r="88" spans="1:10" x14ac:dyDescent="0.2">
      <c r="A88" s="26"/>
      <c r="B88" s="26"/>
      <c r="C88" s="26" t="s">
        <v>5448</v>
      </c>
      <c r="D88" s="234" t="s">
        <v>1072</v>
      </c>
      <c r="E88" s="31">
        <v>1035</v>
      </c>
      <c r="F88" s="216"/>
      <c r="G88" s="31"/>
      <c r="H88" s="217"/>
    </row>
    <row r="89" spans="1:10" x14ac:dyDescent="0.2">
      <c r="A89" s="26"/>
      <c r="B89" s="26"/>
      <c r="C89" s="26" t="s">
        <v>5449</v>
      </c>
      <c r="D89" s="234" t="s">
        <v>655</v>
      </c>
      <c r="E89" s="31">
        <v>150</v>
      </c>
      <c r="F89" s="216"/>
      <c r="G89" s="31"/>
      <c r="H89" s="217"/>
    </row>
    <row r="90" spans="1:10" x14ac:dyDescent="0.2">
      <c r="A90" s="26"/>
      <c r="B90" s="26"/>
      <c r="C90" s="26" t="s">
        <v>2318</v>
      </c>
      <c r="D90" s="234"/>
      <c r="E90" s="218">
        <v>3716</v>
      </c>
      <c r="F90" s="219">
        <v>100</v>
      </c>
      <c r="G90" s="218">
        <v>6623</v>
      </c>
      <c r="H90" s="220">
        <v>56.1</v>
      </c>
    </row>
    <row r="91" spans="1:10" x14ac:dyDescent="0.2">
      <c r="A91" s="26"/>
      <c r="B91" s="26"/>
      <c r="C91" s="26" t="s">
        <v>2318</v>
      </c>
      <c r="D91" s="234"/>
      <c r="E91" s="31"/>
      <c r="F91" s="216"/>
      <c r="G91" s="31"/>
      <c r="H91" s="217"/>
    </row>
    <row r="92" spans="1:10" x14ac:dyDescent="0.2">
      <c r="A92" s="26" t="s">
        <v>1430</v>
      </c>
      <c r="B92" s="26"/>
      <c r="C92" s="214" t="s">
        <v>5450</v>
      </c>
      <c r="D92" s="234" t="s">
        <v>1071</v>
      </c>
      <c r="E92" s="31">
        <v>3730</v>
      </c>
      <c r="F92" s="216">
        <v>53.4</v>
      </c>
      <c r="G92" s="31"/>
      <c r="H92" s="217"/>
    </row>
    <row r="93" spans="1:10" x14ac:dyDescent="0.2">
      <c r="A93" s="26"/>
      <c r="B93" s="26"/>
      <c r="C93" s="26" t="s">
        <v>5451</v>
      </c>
      <c r="D93" s="234" t="s">
        <v>1072</v>
      </c>
      <c r="E93" s="31">
        <v>791</v>
      </c>
      <c r="F93" s="216">
        <v>1.9</v>
      </c>
      <c r="G93" s="31"/>
      <c r="H93" s="217"/>
    </row>
    <row r="94" spans="1:10" x14ac:dyDescent="0.2">
      <c r="A94" s="26"/>
      <c r="B94" s="26"/>
      <c r="C94" s="26" t="s">
        <v>5452</v>
      </c>
      <c r="D94" s="234" t="s">
        <v>1736</v>
      </c>
      <c r="E94" s="31">
        <v>1407</v>
      </c>
      <c r="F94" s="216"/>
      <c r="G94" s="31"/>
      <c r="H94" s="217"/>
    </row>
    <row r="95" spans="1:10" x14ac:dyDescent="0.2">
      <c r="A95" s="26"/>
      <c r="B95" s="26"/>
      <c r="C95" s="26" t="s">
        <v>5453</v>
      </c>
      <c r="D95" s="234" t="s">
        <v>655</v>
      </c>
      <c r="E95" s="31">
        <v>535</v>
      </c>
      <c r="F95" s="216">
        <v>9.8000000000000007</v>
      </c>
      <c r="G95" s="31"/>
      <c r="H95" s="217"/>
    </row>
    <row r="96" spans="1:10" x14ac:dyDescent="0.2">
      <c r="A96" s="26"/>
      <c r="B96" s="26"/>
      <c r="C96" s="26" t="s">
        <v>2318</v>
      </c>
      <c r="D96" s="234"/>
      <c r="E96" s="218">
        <v>6470</v>
      </c>
      <c r="F96" s="219">
        <v>100</v>
      </c>
      <c r="G96" s="218">
        <v>10498</v>
      </c>
      <c r="H96" s="220">
        <v>61.6</v>
      </c>
    </row>
    <row r="97" spans="1:8" x14ac:dyDescent="0.2">
      <c r="A97" s="26"/>
      <c r="B97" s="26"/>
      <c r="C97" s="26" t="s">
        <v>2318</v>
      </c>
      <c r="D97" s="234"/>
      <c r="E97" s="31"/>
      <c r="F97" s="216"/>
      <c r="G97" s="31"/>
      <c r="H97" s="217"/>
    </row>
    <row r="98" spans="1:8" x14ac:dyDescent="0.2">
      <c r="A98" s="26" t="s">
        <v>2268</v>
      </c>
      <c r="B98" s="26"/>
      <c r="C98" s="214" t="s">
        <v>5454</v>
      </c>
      <c r="D98" s="234" t="s">
        <v>1071</v>
      </c>
      <c r="E98" s="31">
        <v>3030</v>
      </c>
      <c r="F98" s="216">
        <v>32.4</v>
      </c>
      <c r="G98" s="31"/>
      <c r="H98" s="217"/>
    </row>
    <row r="99" spans="1:8" x14ac:dyDescent="0.2">
      <c r="A99" s="26"/>
      <c r="B99" s="26"/>
      <c r="C99" s="26" t="s">
        <v>5455</v>
      </c>
      <c r="D99" s="234" t="s">
        <v>1072</v>
      </c>
      <c r="E99" s="31">
        <v>861</v>
      </c>
      <c r="F99" s="216">
        <v>57</v>
      </c>
      <c r="G99" s="31"/>
      <c r="H99" s="217"/>
    </row>
    <row r="100" spans="1:8" x14ac:dyDescent="0.2">
      <c r="A100" s="26"/>
      <c r="B100" s="26"/>
      <c r="C100" s="26" t="s">
        <v>2318</v>
      </c>
      <c r="D100" s="234"/>
      <c r="E100" s="218">
        <v>3899</v>
      </c>
      <c r="F100" s="219">
        <f>SUM(F98:F99)</f>
        <v>89.4</v>
      </c>
      <c r="G100" s="218">
        <v>5912</v>
      </c>
      <c r="H100" s="220">
        <v>65.900000000000006</v>
      </c>
    </row>
    <row r="101" spans="1:8" x14ac:dyDescent="0.2">
      <c r="A101" s="26"/>
      <c r="B101" s="26"/>
      <c r="C101" s="26" t="s">
        <v>2318</v>
      </c>
      <c r="D101" s="234"/>
      <c r="E101" s="31"/>
      <c r="F101" s="216"/>
      <c r="G101" s="31"/>
      <c r="H101" s="217"/>
    </row>
    <row r="102" spans="1:8" x14ac:dyDescent="0.2">
      <c r="A102" s="26" t="s">
        <v>5246</v>
      </c>
      <c r="B102" s="26"/>
      <c r="C102" s="214" t="s">
        <v>4859</v>
      </c>
      <c r="D102" s="234" t="s">
        <v>1071</v>
      </c>
      <c r="E102" s="31">
        <v>4565</v>
      </c>
      <c r="F102" s="216">
        <v>55</v>
      </c>
      <c r="G102" s="31"/>
      <c r="H102" s="217"/>
    </row>
    <row r="103" spans="1:8" x14ac:dyDescent="0.2">
      <c r="A103" s="26"/>
      <c r="B103" s="26"/>
      <c r="C103" s="26" t="s">
        <v>5456</v>
      </c>
      <c r="D103" s="234" t="s">
        <v>655</v>
      </c>
      <c r="E103" s="31">
        <v>720</v>
      </c>
      <c r="F103" s="216">
        <v>2.1</v>
      </c>
      <c r="G103" s="31"/>
      <c r="H103" s="217"/>
    </row>
    <row r="104" spans="1:8" x14ac:dyDescent="0.2">
      <c r="A104" s="26"/>
      <c r="B104" s="26"/>
      <c r="C104" s="26" t="s">
        <v>2318</v>
      </c>
      <c r="D104" s="234"/>
      <c r="E104" s="218">
        <v>5304</v>
      </c>
      <c r="F104" s="219">
        <v>100</v>
      </c>
      <c r="G104" s="218">
        <v>8334</v>
      </c>
      <c r="H104" s="220">
        <v>63.6</v>
      </c>
    </row>
    <row r="105" spans="1:8" x14ac:dyDescent="0.2">
      <c r="A105" s="26"/>
      <c r="B105" s="26"/>
      <c r="C105" s="26" t="s">
        <v>2318</v>
      </c>
      <c r="D105" s="234"/>
      <c r="E105" s="31"/>
      <c r="F105" s="216"/>
      <c r="G105" s="31"/>
      <c r="H105" s="217"/>
    </row>
    <row r="106" spans="1:8" x14ac:dyDescent="0.2">
      <c r="A106" s="26" t="s">
        <v>1350</v>
      </c>
      <c r="B106" s="26"/>
      <c r="C106" s="214" t="s">
        <v>5249</v>
      </c>
      <c r="D106" s="234" t="s">
        <v>1071</v>
      </c>
      <c r="E106" s="31">
        <v>1306</v>
      </c>
      <c r="F106" s="216">
        <v>55</v>
      </c>
      <c r="G106" s="31"/>
      <c r="H106" s="217"/>
    </row>
    <row r="107" spans="1:8" x14ac:dyDescent="0.2">
      <c r="A107" s="26"/>
      <c r="B107" s="26"/>
      <c r="C107" s="26" t="s">
        <v>5457</v>
      </c>
      <c r="D107" s="234" t="s">
        <v>1072</v>
      </c>
      <c r="E107" s="31">
        <v>849</v>
      </c>
      <c r="F107" s="216">
        <v>2.1</v>
      </c>
      <c r="G107" s="31"/>
      <c r="H107" s="217"/>
    </row>
    <row r="108" spans="1:8" x14ac:dyDescent="0.2">
      <c r="A108" s="26"/>
      <c r="B108" s="26"/>
      <c r="C108" s="26" t="s">
        <v>5436</v>
      </c>
      <c r="D108" s="234" t="s">
        <v>655</v>
      </c>
      <c r="E108" s="31">
        <v>325</v>
      </c>
      <c r="F108" s="216">
        <v>5.2</v>
      </c>
      <c r="G108" s="31"/>
      <c r="H108" s="217"/>
    </row>
    <row r="109" spans="1:8" x14ac:dyDescent="0.2">
      <c r="A109" s="26"/>
      <c r="B109" s="26"/>
      <c r="C109" s="26" t="s">
        <v>2318</v>
      </c>
      <c r="D109" s="234"/>
      <c r="E109" s="218">
        <v>2490</v>
      </c>
      <c r="F109" s="219">
        <v>100</v>
      </c>
      <c r="G109" s="218">
        <v>3790</v>
      </c>
      <c r="H109" s="220">
        <v>65.7</v>
      </c>
    </row>
    <row r="110" spans="1:8" x14ac:dyDescent="0.2">
      <c r="A110" s="26"/>
      <c r="B110" s="26"/>
      <c r="C110" s="26" t="s">
        <v>2318</v>
      </c>
      <c r="D110" s="234"/>
      <c r="E110" s="31"/>
      <c r="F110" s="216"/>
      <c r="G110" s="31"/>
      <c r="H110" s="217"/>
    </row>
    <row r="111" spans="1:8" x14ac:dyDescent="0.2">
      <c r="A111" s="26" t="s">
        <v>477</v>
      </c>
      <c r="B111" s="26"/>
      <c r="C111" s="214" t="s">
        <v>4890</v>
      </c>
      <c r="D111" s="234" t="s">
        <v>1071</v>
      </c>
      <c r="E111" s="31">
        <v>3378</v>
      </c>
      <c r="F111" s="216">
        <v>10</v>
      </c>
      <c r="G111" s="31"/>
      <c r="H111" s="217"/>
    </row>
    <row r="112" spans="1:8" x14ac:dyDescent="0.2">
      <c r="A112" s="26"/>
      <c r="B112" s="26"/>
      <c r="C112" s="26" t="s">
        <v>5458</v>
      </c>
      <c r="D112" s="234" t="s">
        <v>1072</v>
      </c>
      <c r="E112" s="31">
        <v>1219</v>
      </c>
      <c r="F112" s="216">
        <v>54.4</v>
      </c>
      <c r="G112" s="31"/>
      <c r="H112" s="217"/>
    </row>
    <row r="113" spans="1:8" x14ac:dyDescent="0.2">
      <c r="A113" s="26"/>
      <c r="B113" s="26"/>
      <c r="C113" s="26" t="s">
        <v>1762</v>
      </c>
      <c r="D113" s="234" t="s">
        <v>1736</v>
      </c>
      <c r="E113" s="31">
        <v>1492</v>
      </c>
      <c r="F113" s="216"/>
      <c r="G113" s="31"/>
      <c r="H113" s="217"/>
    </row>
    <row r="114" spans="1:8" x14ac:dyDescent="0.2">
      <c r="A114" s="26"/>
      <c r="B114" s="26"/>
      <c r="C114" s="26" t="s">
        <v>5459</v>
      </c>
      <c r="D114" s="234" t="s">
        <v>655</v>
      </c>
      <c r="E114" s="31">
        <v>993</v>
      </c>
      <c r="F114" s="216">
        <v>27.2</v>
      </c>
      <c r="G114" s="31"/>
      <c r="H114" s="217"/>
    </row>
    <row r="115" spans="1:8" x14ac:dyDescent="0.2">
      <c r="A115" s="26"/>
      <c r="B115" s="26"/>
      <c r="C115" s="26" t="s">
        <v>2318</v>
      </c>
      <c r="D115" s="234"/>
      <c r="E115" s="218">
        <v>7103</v>
      </c>
      <c r="F115" s="219">
        <f>SUM(F111:F114)</f>
        <v>91.600000000000009</v>
      </c>
      <c r="G115" s="218">
        <v>15211</v>
      </c>
      <c r="H115" s="220">
        <v>46.7</v>
      </c>
    </row>
    <row r="116" spans="1:8" x14ac:dyDescent="0.2">
      <c r="A116" s="26"/>
      <c r="B116" s="26"/>
      <c r="C116" s="26" t="s">
        <v>2318</v>
      </c>
      <c r="D116" s="234"/>
      <c r="E116" s="31"/>
      <c r="F116" s="216"/>
      <c r="G116" s="31"/>
      <c r="H116" s="217"/>
    </row>
    <row r="117" spans="1:8" x14ac:dyDescent="0.2">
      <c r="A117" s="26" t="s">
        <v>772</v>
      </c>
      <c r="B117" s="26"/>
      <c r="C117" s="214" t="s">
        <v>5460</v>
      </c>
      <c r="D117" s="234" t="s">
        <v>1071</v>
      </c>
      <c r="E117" s="31">
        <v>3639</v>
      </c>
      <c r="F117" s="216">
        <v>6.6</v>
      </c>
      <c r="G117" s="31"/>
      <c r="H117" s="217"/>
    </row>
    <row r="118" spans="1:8" x14ac:dyDescent="0.2">
      <c r="A118" s="26"/>
      <c r="B118" s="26"/>
      <c r="C118" s="26" t="s">
        <v>5461</v>
      </c>
      <c r="D118" s="234" t="s">
        <v>1072</v>
      </c>
      <c r="E118" s="31">
        <v>2234</v>
      </c>
      <c r="F118" s="216">
        <v>12.4</v>
      </c>
      <c r="G118" s="31"/>
      <c r="H118" s="217"/>
    </row>
    <row r="119" spans="1:8" x14ac:dyDescent="0.2">
      <c r="A119" s="26"/>
      <c r="B119" s="26"/>
      <c r="C119" s="26" t="s">
        <v>5462</v>
      </c>
      <c r="D119" s="234" t="s">
        <v>1736</v>
      </c>
      <c r="E119" s="31">
        <v>1034</v>
      </c>
      <c r="F119" s="216"/>
      <c r="G119" s="31"/>
      <c r="H119" s="217"/>
    </row>
    <row r="120" spans="1:8" x14ac:dyDescent="0.2">
      <c r="A120" s="26"/>
      <c r="B120" s="26"/>
      <c r="C120" s="26" t="s">
        <v>5463</v>
      </c>
      <c r="D120" s="234" t="s">
        <v>655</v>
      </c>
      <c r="E120" s="31">
        <v>1128</v>
      </c>
      <c r="F120" s="216">
        <v>20.7</v>
      </c>
      <c r="G120" s="31"/>
      <c r="H120" s="217"/>
    </row>
    <row r="121" spans="1:8" x14ac:dyDescent="0.2">
      <c r="A121" s="26"/>
      <c r="B121" s="26"/>
      <c r="C121" s="26" t="s">
        <v>2318</v>
      </c>
      <c r="D121" s="234"/>
      <c r="E121" s="218">
        <v>8061</v>
      </c>
      <c r="F121" s="219">
        <f>SUM(F117:F120)</f>
        <v>39.700000000000003</v>
      </c>
      <c r="G121" s="218">
        <v>16721</v>
      </c>
      <c r="H121" s="220">
        <v>48.2</v>
      </c>
    </row>
    <row r="122" spans="1:8" x14ac:dyDescent="0.2">
      <c r="A122" s="26"/>
      <c r="B122" s="26"/>
      <c r="C122" s="26" t="s">
        <v>2318</v>
      </c>
      <c r="D122" s="234"/>
      <c r="E122" s="31"/>
      <c r="F122" s="216"/>
      <c r="G122" s="31"/>
      <c r="H122" s="217"/>
    </row>
    <row r="123" spans="1:8" x14ac:dyDescent="0.2">
      <c r="A123" s="26" t="s">
        <v>5253</v>
      </c>
      <c r="B123" s="26"/>
      <c r="C123" s="214" t="s">
        <v>5263</v>
      </c>
      <c r="D123" s="234" t="s">
        <v>1071</v>
      </c>
      <c r="E123" s="31">
        <v>4655</v>
      </c>
      <c r="F123" s="216">
        <v>11.3</v>
      </c>
      <c r="G123" s="31"/>
      <c r="H123" s="217"/>
    </row>
    <row r="124" spans="1:8" x14ac:dyDescent="0.2">
      <c r="A124" s="26"/>
      <c r="B124" s="26"/>
      <c r="C124" s="26" t="s">
        <v>5464</v>
      </c>
      <c r="D124" s="234" t="s">
        <v>1072</v>
      </c>
      <c r="E124" s="31">
        <v>2489</v>
      </c>
      <c r="F124" s="216">
        <v>0.6</v>
      </c>
      <c r="G124" s="31"/>
      <c r="H124" s="217"/>
    </row>
    <row r="125" spans="1:8" x14ac:dyDescent="0.2">
      <c r="A125" s="26"/>
      <c r="B125" s="26"/>
      <c r="C125" s="26" t="s">
        <v>5465</v>
      </c>
      <c r="D125" s="234" t="s">
        <v>655</v>
      </c>
      <c r="E125" s="31">
        <v>1743</v>
      </c>
      <c r="F125" s="216">
        <v>29.6</v>
      </c>
      <c r="G125" s="31"/>
      <c r="H125" s="217"/>
    </row>
    <row r="126" spans="1:8" x14ac:dyDescent="0.2">
      <c r="A126" s="26"/>
      <c r="B126" s="26"/>
      <c r="C126" s="26" t="s">
        <v>2318</v>
      </c>
      <c r="D126" s="234"/>
      <c r="E126" s="218">
        <v>8922</v>
      </c>
      <c r="F126" s="219">
        <v>100</v>
      </c>
      <c r="G126" s="218">
        <v>19022</v>
      </c>
      <c r="H126" s="220">
        <v>46.9</v>
      </c>
    </row>
    <row r="127" spans="1:8" x14ac:dyDescent="0.2">
      <c r="A127" s="26"/>
      <c r="B127" s="26"/>
      <c r="C127" s="26" t="s">
        <v>2318</v>
      </c>
      <c r="D127" s="234"/>
      <c r="E127" s="31"/>
      <c r="F127" s="216"/>
      <c r="G127" s="31"/>
      <c r="H127" s="217"/>
    </row>
    <row r="128" spans="1:8" x14ac:dyDescent="0.2">
      <c r="A128" s="26" t="s">
        <v>5254</v>
      </c>
      <c r="B128" s="26"/>
      <c r="C128" s="214" t="s">
        <v>5266</v>
      </c>
      <c r="D128" s="234" t="s">
        <v>1071</v>
      </c>
      <c r="E128" s="31">
        <v>4023</v>
      </c>
      <c r="F128" s="216">
        <v>60.2</v>
      </c>
      <c r="G128" s="31"/>
      <c r="H128" s="217"/>
    </row>
    <row r="129" spans="1:8" x14ac:dyDescent="0.2">
      <c r="A129" s="26"/>
      <c r="B129" s="26"/>
      <c r="C129" s="26" t="s">
        <v>5466</v>
      </c>
      <c r="D129" s="234" t="s">
        <v>1072</v>
      </c>
      <c r="E129" s="31">
        <v>1295</v>
      </c>
      <c r="F129" s="216">
        <v>17.8</v>
      </c>
      <c r="G129" s="31"/>
      <c r="H129" s="217"/>
    </row>
    <row r="130" spans="1:8" x14ac:dyDescent="0.2">
      <c r="A130" s="26"/>
      <c r="B130" s="26"/>
      <c r="C130" s="26" t="s">
        <v>5467</v>
      </c>
      <c r="D130" s="234" t="s">
        <v>1736</v>
      </c>
      <c r="E130" s="31">
        <v>1510</v>
      </c>
      <c r="F130" s="216"/>
      <c r="G130" s="31"/>
      <c r="H130" s="217"/>
    </row>
    <row r="131" spans="1:8" x14ac:dyDescent="0.2">
      <c r="A131" s="26"/>
      <c r="B131" s="26"/>
      <c r="C131" s="26" t="s">
        <v>5468</v>
      </c>
      <c r="D131" s="234" t="s">
        <v>655</v>
      </c>
      <c r="E131" s="31">
        <v>2589</v>
      </c>
      <c r="F131" s="216">
        <v>7.7</v>
      </c>
      <c r="G131" s="31"/>
      <c r="H131" s="217"/>
    </row>
    <row r="132" spans="1:8" x14ac:dyDescent="0.2">
      <c r="A132" s="26"/>
      <c r="B132" s="26"/>
      <c r="C132" s="26" t="s">
        <v>2318</v>
      </c>
      <c r="D132" s="234"/>
      <c r="E132" s="218">
        <v>9430</v>
      </c>
      <c r="F132" s="219">
        <f>SUM(F128:F131)</f>
        <v>85.7</v>
      </c>
      <c r="G132" s="218">
        <v>19640</v>
      </c>
      <c r="H132" s="220">
        <v>48</v>
      </c>
    </row>
    <row r="133" spans="1:8" x14ac:dyDescent="0.2">
      <c r="A133" s="26"/>
      <c r="B133" s="26"/>
      <c r="C133" s="26"/>
      <c r="D133" s="234"/>
      <c r="E133" s="88"/>
      <c r="F133" s="84"/>
      <c r="G133" s="88"/>
      <c r="H133" s="235"/>
    </row>
    <row r="134" spans="1:8" x14ac:dyDescent="0.2">
      <c r="A134" s="26" t="s">
        <v>5270</v>
      </c>
      <c r="B134" s="26"/>
      <c r="C134" s="214" t="s">
        <v>5271</v>
      </c>
      <c r="D134" s="234" t="s">
        <v>1071</v>
      </c>
      <c r="E134" s="31">
        <v>4674</v>
      </c>
      <c r="F134" s="216">
        <v>60.2</v>
      </c>
      <c r="G134" s="31"/>
      <c r="H134" s="217"/>
    </row>
    <row r="135" spans="1:8" x14ac:dyDescent="0.2">
      <c r="A135" s="26"/>
      <c r="B135" s="26"/>
      <c r="C135" s="26" t="s">
        <v>5381</v>
      </c>
      <c r="D135" s="234" t="s">
        <v>1072</v>
      </c>
      <c r="E135" s="31">
        <v>1854</v>
      </c>
      <c r="F135" s="216">
        <v>17.8</v>
      </c>
      <c r="G135" s="31"/>
      <c r="H135" s="217"/>
    </row>
    <row r="136" spans="1:8" x14ac:dyDescent="0.2">
      <c r="A136" s="26"/>
      <c r="B136" s="26"/>
      <c r="C136" s="26" t="s">
        <v>5469</v>
      </c>
      <c r="D136" s="234" t="s">
        <v>1736</v>
      </c>
      <c r="E136" s="31">
        <v>1878</v>
      </c>
      <c r="F136" s="216"/>
      <c r="G136" s="31"/>
      <c r="H136" s="217"/>
    </row>
    <row r="137" spans="1:8" x14ac:dyDescent="0.2">
      <c r="A137" s="26"/>
      <c r="B137" s="26"/>
      <c r="C137" s="26" t="s">
        <v>3081</v>
      </c>
      <c r="D137" s="234" t="s">
        <v>655</v>
      </c>
      <c r="E137" s="31">
        <v>1391</v>
      </c>
      <c r="F137" s="216"/>
      <c r="G137" s="31"/>
      <c r="H137" s="217"/>
    </row>
    <row r="138" spans="1:8" x14ac:dyDescent="0.2">
      <c r="A138" s="26"/>
      <c r="B138" s="26"/>
      <c r="C138" s="26" t="s">
        <v>2318</v>
      </c>
      <c r="D138" s="234"/>
      <c r="E138" s="218">
        <v>9504</v>
      </c>
      <c r="F138" s="219">
        <f>SUM(F134:F137)</f>
        <v>78</v>
      </c>
      <c r="G138" s="218">
        <v>19695</v>
      </c>
      <c r="H138" s="220">
        <v>48.3</v>
      </c>
    </row>
    <row r="139" spans="1:8" x14ac:dyDescent="0.2">
      <c r="A139" s="26"/>
      <c r="B139" s="26"/>
      <c r="C139" s="26" t="s">
        <v>2318</v>
      </c>
      <c r="D139" s="234"/>
      <c r="E139" s="31"/>
      <c r="F139" s="216"/>
      <c r="G139" s="31"/>
      <c r="H139" s="217"/>
    </row>
    <row r="140" spans="1:8" x14ac:dyDescent="0.2">
      <c r="A140" s="26" t="s">
        <v>981</v>
      </c>
      <c r="B140" s="26"/>
      <c r="C140" s="214" t="s">
        <v>5276</v>
      </c>
      <c r="D140" s="234" t="s">
        <v>1071</v>
      </c>
      <c r="E140" s="31">
        <v>3905</v>
      </c>
      <c r="F140" s="216">
        <v>0.5</v>
      </c>
      <c r="G140" s="31"/>
      <c r="H140" s="217"/>
    </row>
    <row r="141" spans="1:8" x14ac:dyDescent="0.2">
      <c r="A141" s="26"/>
      <c r="B141" s="26"/>
      <c r="C141" s="26" t="s">
        <v>5470</v>
      </c>
      <c r="D141" s="234" t="s">
        <v>655</v>
      </c>
      <c r="E141" s="31">
        <v>1628</v>
      </c>
      <c r="F141" s="216">
        <v>47.2</v>
      </c>
      <c r="G141" s="31"/>
      <c r="H141" s="217"/>
    </row>
    <row r="142" spans="1:8" x14ac:dyDescent="0.2">
      <c r="A142" s="26"/>
      <c r="B142" s="26"/>
      <c r="C142" s="26" t="s">
        <v>5471</v>
      </c>
      <c r="D142" s="234" t="s">
        <v>1736</v>
      </c>
      <c r="E142" s="31">
        <v>1190</v>
      </c>
      <c r="F142" s="216"/>
      <c r="G142" s="31"/>
      <c r="H142" s="217"/>
    </row>
    <row r="143" spans="1:8" x14ac:dyDescent="0.2">
      <c r="A143" s="26"/>
      <c r="B143" s="26"/>
      <c r="C143" s="26" t="s">
        <v>5278</v>
      </c>
      <c r="D143" s="234" t="s">
        <v>655</v>
      </c>
      <c r="E143" s="31">
        <v>1330</v>
      </c>
      <c r="F143" s="216">
        <v>5.8</v>
      </c>
      <c r="G143" s="31"/>
      <c r="H143" s="217"/>
    </row>
    <row r="144" spans="1:8" x14ac:dyDescent="0.2">
      <c r="A144" s="26"/>
      <c r="B144" s="26"/>
      <c r="C144" s="26" t="s">
        <v>5472</v>
      </c>
      <c r="D144" s="234" t="s">
        <v>1547</v>
      </c>
      <c r="E144" s="31">
        <v>93</v>
      </c>
      <c r="F144" s="216"/>
      <c r="G144" s="31"/>
      <c r="H144" s="217"/>
    </row>
    <row r="145" spans="1:8" x14ac:dyDescent="0.2">
      <c r="A145" s="26"/>
      <c r="B145" s="26"/>
      <c r="C145" s="26" t="s">
        <v>2318</v>
      </c>
      <c r="D145" s="234"/>
      <c r="E145" s="218">
        <v>8160</v>
      </c>
      <c r="F145" s="219">
        <f>SUM(F140:F143)</f>
        <v>53.5</v>
      </c>
      <c r="G145" s="218">
        <v>16027</v>
      </c>
      <c r="H145" s="220">
        <v>50.9</v>
      </c>
    </row>
    <row r="146" spans="1:8" x14ac:dyDescent="0.2">
      <c r="A146" s="26"/>
      <c r="B146" s="26"/>
      <c r="C146" s="26" t="s">
        <v>2318</v>
      </c>
      <c r="D146" s="234"/>
      <c r="E146" s="31"/>
      <c r="F146" s="216"/>
      <c r="G146" s="31"/>
      <c r="H146" s="217"/>
    </row>
    <row r="147" spans="1:8" x14ac:dyDescent="0.2">
      <c r="A147" s="26" t="s">
        <v>5255</v>
      </c>
      <c r="B147" s="26"/>
      <c r="C147" s="214" t="s">
        <v>5473</v>
      </c>
      <c r="D147" s="234" t="s">
        <v>1071</v>
      </c>
      <c r="E147" s="31">
        <v>3733</v>
      </c>
      <c r="F147" s="216">
        <v>7.9</v>
      </c>
      <c r="G147" s="31"/>
      <c r="H147" s="217"/>
    </row>
    <row r="148" spans="1:8" x14ac:dyDescent="0.2">
      <c r="A148" s="26"/>
      <c r="B148" s="26"/>
      <c r="C148" s="26" t="s">
        <v>5474</v>
      </c>
      <c r="D148" s="234" t="s">
        <v>1072</v>
      </c>
      <c r="E148" s="31">
        <v>2572</v>
      </c>
      <c r="F148" s="216">
        <v>57.6</v>
      </c>
      <c r="G148" s="31"/>
      <c r="H148" s="217"/>
    </row>
    <row r="149" spans="1:8" x14ac:dyDescent="0.2">
      <c r="A149" s="26"/>
      <c r="B149" s="26"/>
      <c r="C149" s="26" t="s">
        <v>5475</v>
      </c>
      <c r="D149" s="234" t="s">
        <v>1736</v>
      </c>
      <c r="E149" s="31">
        <v>2019</v>
      </c>
      <c r="F149" s="216">
        <v>16.600000000000001</v>
      </c>
      <c r="G149" s="31"/>
      <c r="H149" s="217"/>
    </row>
    <row r="150" spans="1:8" x14ac:dyDescent="0.2">
      <c r="A150" s="26"/>
      <c r="B150" s="26"/>
      <c r="C150" s="26" t="s">
        <v>5476</v>
      </c>
      <c r="D150" s="234" t="s">
        <v>655</v>
      </c>
      <c r="E150" s="31">
        <v>585</v>
      </c>
      <c r="F150" s="216">
        <v>17.899999999999999</v>
      </c>
      <c r="G150" s="31"/>
      <c r="H150" s="217"/>
    </row>
    <row r="151" spans="1:8" x14ac:dyDescent="0.2">
      <c r="A151" s="26"/>
      <c r="B151" s="26"/>
      <c r="C151" s="26" t="s">
        <v>2318</v>
      </c>
      <c r="D151" s="234"/>
      <c r="E151" s="218">
        <v>8925</v>
      </c>
      <c r="F151" s="219">
        <f>SUM(F147:F150)</f>
        <v>100</v>
      </c>
      <c r="G151" s="218">
        <v>15780</v>
      </c>
      <c r="H151" s="220">
        <v>56.6</v>
      </c>
    </row>
    <row r="152" spans="1:8" x14ac:dyDescent="0.2">
      <c r="A152" s="26"/>
      <c r="B152" s="26"/>
      <c r="C152" s="26" t="s">
        <v>2318</v>
      </c>
      <c r="D152" s="234"/>
      <c r="E152" s="31"/>
      <c r="F152" s="216"/>
      <c r="G152" s="31"/>
      <c r="H152" s="217"/>
    </row>
    <row r="153" spans="1:8" x14ac:dyDescent="0.2">
      <c r="A153" s="26" t="s">
        <v>2269</v>
      </c>
      <c r="B153" s="26"/>
      <c r="C153" s="214" t="s">
        <v>5477</v>
      </c>
      <c r="D153" s="234" t="s">
        <v>1071</v>
      </c>
      <c r="E153" s="31">
        <v>2668</v>
      </c>
      <c r="F153" s="216">
        <v>35.200000000000003</v>
      </c>
      <c r="G153" s="31"/>
      <c r="H153" s="217"/>
    </row>
    <row r="154" spans="1:8" x14ac:dyDescent="0.2">
      <c r="A154" s="26"/>
      <c r="B154" s="26"/>
      <c r="C154" s="26" t="s">
        <v>5478</v>
      </c>
      <c r="D154" s="234" t="s">
        <v>1072</v>
      </c>
      <c r="E154" s="31">
        <v>1371</v>
      </c>
      <c r="F154" s="216">
        <v>8</v>
      </c>
      <c r="G154" s="31"/>
      <c r="H154" s="217"/>
    </row>
    <row r="155" spans="1:8" x14ac:dyDescent="0.2">
      <c r="A155" s="26"/>
      <c r="B155" s="26"/>
      <c r="C155" s="26" t="s">
        <v>5479</v>
      </c>
      <c r="D155" s="234" t="s">
        <v>655</v>
      </c>
      <c r="E155" s="31">
        <v>701</v>
      </c>
      <c r="F155" s="216">
        <v>3.1</v>
      </c>
      <c r="G155" s="31"/>
      <c r="H155" s="217"/>
    </row>
    <row r="156" spans="1:8" x14ac:dyDescent="0.2">
      <c r="A156" s="26"/>
      <c r="B156" s="26"/>
      <c r="C156" s="26" t="s">
        <v>2318</v>
      </c>
      <c r="D156" s="234"/>
      <c r="E156" s="218">
        <v>4751</v>
      </c>
      <c r="F156" s="219">
        <f>SUM(F153:F155)</f>
        <v>46.300000000000004</v>
      </c>
      <c r="G156" s="218">
        <v>8647</v>
      </c>
      <c r="H156" s="220">
        <v>54.9</v>
      </c>
    </row>
    <row r="157" spans="1:8" x14ac:dyDescent="0.2">
      <c r="A157" s="26"/>
      <c r="B157" s="26"/>
      <c r="C157" s="26" t="s">
        <v>2318</v>
      </c>
      <c r="D157" s="234"/>
      <c r="E157" s="31"/>
      <c r="F157" s="216"/>
      <c r="G157" s="31"/>
      <c r="H157" s="217"/>
    </row>
    <row r="158" spans="1:8" x14ac:dyDescent="0.2">
      <c r="A158" s="26" t="s">
        <v>1920</v>
      </c>
      <c r="B158" s="26"/>
      <c r="C158" s="214" t="s">
        <v>5285</v>
      </c>
      <c r="D158" s="234" t="s">
        <v>1071</v>
      </c>
      <c r="E158" s="31">
        <v>4763</v>
      </c>
      <c r="F158" s="216">
        <v>50.3</v>
      </c>
      <c r="G158" s="31"/>
      <c r="H158" s="217"/>
    </row>
    <row r="159" spans="1:8" x14ac:dyDescent="0.2">
      <c r="A159" s="26"/>
      <c r="B159" s="26"/>
      <c r="C159" s="26" t="s">
        <v>5480</v>
      </c>
      <c r="D159" s="234" t="s">
        <v>1072</v>
      </c>
      <c r="E159" s="31">
        <v>997</v>
      </c>
      <c r="F159" s="216">
        <v>4.8</v>
      </c>
      <c r="G159" s="31"/>
      <c r="H159" s="217"/>
    </row>
    <row r="160" spans="1:8" x14ac:dyDescent="0.2">
      <c r="A160" s="26"/>
      <c r="B160" s="26"/>
      <c r="C160" s="26" t="s">
        <v>5481</v>
      </c>
      <c r="D160" s="234" t="s">
        <v>655</v>
      </c>
      <c r="E160" s="31">
        <v>762</v>
      </c>
      <c r="F160" s="216">
        <v>18</v>
      </c>
      <c r="G160" s="31"/>
      <c r="H160" s="217"/>
    </row>
    <row r="161" spans="1:8" x14ac:dyDescent="0.2">
      <c r="A161" s="26"/>
      <c r="B161" s="26"/>
      <c r="C161" s="26" t="s">
        <v>2318</v>
      </c>
      <c r="D161" s="234"/>
      <c r="E161" s="218">
        <v>6530</v>
      </c>
      <c r="F161" s="219">
        <f>SUM(F158:F160)</f>
        <v>73.099999999999994</v>
      </c>
      <c r="G161" s="218">
        <v>11368</v>
      </c>
      <c r="H161" s="220">
        <v>57.4</v>
      </c>
    </row>
    <row r="162" spans="1:8" ht="12.75" customHeight="1" x14ac:dyDescent="0.2">
      <c r="A162" s="26"/>
      <c r="B162" s="26"/>
      <c r="C162" s="26"/>
      <c r="D162" s="234"/>
      <c r="E162" s="88"/>
      <c r="F162" s="84"/>
      <c r="G162" s="88"/>
      <c r="H162" s="235"/>
    </row>
    <row r="163" spans="1:8" x14ac:dyDescent="0.2">
      <c r="A163" s="26" t="s">
        <v>0</v>
      </c>
      <c r="B163" s="26"/>
      <c r="C163" s="214" t="s">
        <v>5291</v>
      </c>
      <c r="D163" s="234" t="s">
        <v>1071</v>
      </c>
      <c r="E163" s="31">
        <v>3832</v>
      </c>
      <c r="F163" s="216">
        <v>50.3</v>
      </c>
      <c r="G163" s="31"/>
      <c r="H163" s="217"/>
    </row>
    <row r="164" spans="1:8" x14ac:dyDescent="0.2">
      <c r="A164" s="26"/>
      <c r="B164" s="26"/>
      <c r="C164" s="26" t="s">
        <v>5292</v>
      </c>
      <c r="D164" s="234" t="s">
        <v>1072</v>
      </c>
      <c r="E164" s="31">
        <v>1595</v>
      </c>
      <c r="F164" s="216">
        <v>4.8</v>
      </c>
      <c r="G164" s="31"/>
      <c r="H164" s="217"/>
    </row>
    <row r="165" spans="1:8" x14ac:dyDescent="0.2">
      <c r="A165" s="26"/>
      <c r="B165" s="26"/>
      <c r="C165" s="26" t="s">
        <v>5482</v>
      </c>
      <c r="D165" s="234" t="s">
        <v>655</v>
      </c>
      <c r="E165" s="31">
        <v>674</v>
      </c>
      <c r="F165" s="216">
        <v>18</v>
      </c>
      <c r="G165" s="31"/>
      <c r="H165" s="217"/>
    </row>
    <row r="166" spans="1:8" x14ac:dyDescent="0.2">
      <c r="A166" s="26"/>
      <c r="B166" s="26"/>
      <c r="C166" s="26" t="s">
        <v>2318</v>
      </c>
      <c r="D166" s="234"/>
      <c r="E166" s="218">
        <v>6143</v>
      </c>
      <c r="F166" s="219">
        <f>SUM(F163:F165)</f>
        <v>73.099999999999994</v>
      </c>
      <c r="G166" s="218">
        <v>9169</v>
      </c>
      <c r="H166" s="220">
        <v>67</v>
      </c>
    </row>
    <row r="167" spans="1:8" x14ac:dyDescent="0.2">
      <c r="A167" s="26"/>
      <c r="B167" s="26"/>
      <c r="C167" s="26" t="s">
        <v>2318</v>
      </c>
      <c r="D167" s="234"/>
      <c r="E167" s="31"/>
      <c r="F167" s="216"/>
      <c r="G167" s="31"/>
      <c r="H167" s="217"/>
    </row>
    <row r="168" spans="1:8" x14ac:dyDescent="0.2">
      <c r="A168" s="26" t="s">
        <v>5288</v>
      </c>
      <c r="B168" s="26"/>
      <c r="C168" s="214" t="s">
        <v>5483</v>
      </c>
      <c r="D168" s="234" t="s">
        <v>1071</v>
      </c>
      <c r="E168" s="31">
        <v>3215</v>
      </c>
      <c r="F168" s="216">
        <v>50.3</v>
      </c>
      <c r="G168" s="31"/>
      <c r="H168" s="217"/>
    </row>
    <row r="169" spans="1:8" x14ac:dyDescent="0.2">
      <c r="A169" s="26"/>
      <c r="B169" s="26"/>
      <c r="C169" s="26" t="s">
        <v>5484</v>
      </c>
      <c r="D169" s="234" t="s">
        <v>4877</v>
      </c>
      <c r="E169" s="31">
        <v>1972</v>
      </c>
      <c r="F169" s="216">
        <v>4.8</v>
      </c>
      <c r="G169" s="31"/>
      <c r="H169" s="217"/>
    </row>
    <row r="170" spans="1:8" x14ac:dyDescent="0.2">
      <c r="A170" s="26"/>
      <c r="B170" s="26"/>
      <c r="C170" s="26" t="s">
        <v>2318</v>
      </c>
      <c r="D170" s="234"/>
      <c r="E170" s="218">
        <v>5205</v>
      </c>
      <c r="F170" s="219">
        <f>SUM(F168:F169)</f>
        <v>55.099999999999994</v>
      </c>
      <c r="G170" s="218">
        <v>7410</v>
      </c>
      <c r="H170" s="220">
        <v>70.2</v>
      </c>
    </row>
    <row r="171" spans="1:8" x14ac:dyDescent="0.2">
      <c r="A171" s="26"/>
      <c r="B171" s="26"/>
      <c r="C171" s="26" t="s">
        <v>2318</v>
      </c>
      <c r="D171" s="234"/>
      <c r="E171" s="31"/>
      <c r="F171" s="216"/>
      <c r="G171" s="31"/>
      <c r="H171" s="217"/>
    </row>
    <row r="172" spans="1:8" x14ac:dyDescent="0.2">
      <c r="A172" s="26" t="s">
        <v>5293</v>
      </c>
      <c r="B172" s="26"/>
      <c r="C172" s="26" t="s">
        <v>5485</v>
      </c>
      <c r="D172" s="234" t="s">
        <v>1071</v>
      </c>
      <c r="E172" s="31">
        <v>1479</v>
      </c>
      <c r="F172" s="216">
        <v>64.34</v>
      </c>
      <c r="G172" s="31"/>
      <c r="H172" s="217"/>
    </row>
    <row r="173" spans="1:8" x14ac:dyDescent="0.2">
      <c r="A173" s="26"/>
      <c r="B173" s="26"/>
      <c r="C173" s="214" t="s">
        <v>5294</v>
      </c>
      <c r="D173" s="234" t="s">
        <v>1072</v>
      </c>
      <c r="E173" s="31">
        <v>1809</v>
      </c>
      <c r="F173" s="216">
        <v>1.23</v>
      </c>
      <c r="G173" s="31"/>
      <c r="H173" s="217"/>
    </row>
    <row r="174" spans="1:8" x14ac:dyDescent="0.2">
      <c r="A174" s="26"/>
      <c r="B174" s="26"/>
      <c r="C174" s="26" t="s">
        <v>5486</v>
      </c>
      <c r="D174" s="234" t="s">
        <v>1736</v>
      </c>
      <c r="E174" s="31">
        <v>260</v>
      </c>
      <c r="F174" s="216"/>
      <c r="G174" s="31"/>
      <c r="H174" s="217"/>
    </row>
    <row r="175" spans="1:8" x14ac:dyDescent="0.2">
      <c r="A175" s="26"/>
      <c r="B175" s="26"/>
      <c r="C175" s="26" t="s">
        <v>5257</v>
      </c>
      <c r="D175" s="234" t="s">
        <v>655</v>
      </c>
      <c r="E175" s="31">
        <v>297</v>
      </c>
      <c r="F175" s="216"/>
      <c r="G175" s="31"/>
      <c r="H175" s="217"/>
    </row>
    <row r="176" spans="1:8" x14ac:dyDescent="0.2">
      <c r="A176" s="26"/>
      <c r="B176" s="26"/>
      <c r="C176" s="26" t="s">
        <v>5487</v>
      </c>
      <c r="D176" s="234" t="s">
        <v>5488</v>
      </c>
      <c r="E176" s="31">
        <v>246</v>
      </c>
      <c r="F176" s="216">
        <v>3.75</v>
      </c>
      <c r="G176" s="31"/>
      <c r="H176" s="217"/>
    </row>
    <row r="177" spans="1:8" x14ac:dyDescent="0.2">
      <c r="A177" s="26"/>
      <c r="B177" s="26"/>
      <c r="C177" s="26" t="s">
        <v>2318</v>
      </c>
      <c r="D177" s="234"/>
      <c r="E177" s="218">
        <v>4096</v>
      </c>
      <c r="F177" s="219">
        <v>100</v>
      </c>
      <c r="G177" s="218">
        <v>5235</v>
      </c>
      <c r="H177" s="220">
        <v>78.2</v>
      </c>
    </row>
    <row r="178" spans="1:8" x14ac:dyDescent="0.2">
      <c r="A178" s="26"/>
      <c r="B178" s="26"/>
      <c r="C178" s="26" t="s">
        <v>2318</v>
      </c>
      <c r="D178" s="234"/>
      <c r="E178" s="31"/>
      <c r="F178" s="216"/>
      <c r="G178" s="31"/>
      <c r="H178" s="217"/>
    </row>
    <row r="179" spans="1:8" x14ac:dyDescent="0.2">
      <c r="A179" s="26" t="s">
        <v>1744</v>
      </c>
      <c r="B179" s="26"/>
      <c r="C179" s="214" t="s">
        <v>5300</v>
      </c>
      <c r="D179" s="234" t="s">
        <v>1071</v>
      </c>
      <c r="E179" s="31">
        <v>3405</v>
      </c>
      <c r="F179" s="216">
        <v>4.6500000000000004</v>
      </c>
      <c r="G179" s="31"/>
      <c r="H179" s="217"/>
    </row>
    <row r="180" spans="1:8" x14ac:dyDescent="0.2">
      <c r="A180" s="26"/>
      <c r="B180" s="26"/>
      <c r="C180" s="26" t="s">
        <v>5489</v>
      </c>
      <c r="D180" s="234" t="s">
        <v>1072</v>
      </c>
      <c r="E180" s="31">
        <v>776</v>
      </c>
      <c r="F180" s="216">
        <v>19.59</v>
      </c>
      <c r="G180" s="31"/>
      <c r="H180" s="217"/>
    </row>
    <row r="181" spans="1:8" x14ac:dyDescent="0.2">
      <c r="A181" s="26"/>
      <c r="B181" s="26"/>
      <c r="C181" s="26" t="s">
        <v>5490</v>
      </c>
      <c r="D181" s="234" t="s">
        <v>655</v>
      </c>
      <c r="E181" s="31">
        <v>732</v>
      </c>
      <c r="F181" s="216">
        <v>49.91</v>
      </c>
      <c r="G181" s="31"/>
      <c r="H181" s="217"/>
    </row>
    <row r="182" spans="1:8" x14ac:dyDescent="0.2">
      <c r="A182" s="26"/>
      <c r="B182" s="26"/>
      <c r="C182" s="26" t="s">
        <v>2318</v>
      </c>
      <c r="D182" s="234"/>
      <c r="E182" s="218">
        <v>4919</v>
      </c>
      <c r="F182" s="219">
        <f>SUM(F179:F181)</f>
        <v>74.150000000000006</v>
      </c>
      <c r="G182" s="218">
        <v>7998</v>
      </c>
      <c r="H182" s="220">
        <v>61.5</v>
      </c>
    </row>
    <row r="183" spans="1:8" x14ac:dyDescent="0.2">
      <c r="A183" s="26"/>
      <c r="B183" s="26"/>
      <c r="C183" s="26"/>
      <c r="D183" s="234"/>
      <c r="E183" s="88"/>
      <c r="F183" s="84"/>
      <c r="G183" s="88"/>
      <c r="H183" s="235"/>
    </row>
    <row r="184" spans="1:8" x14ac:dyDescent="0.2">
      <c r="A184" s="26" t="s">
        <v>1</v>
      </c>
      <c r="B184" s="26"/>
      <c r="C184" s="214" t="s">
        <v>5297</v>
      </c>
      <c r="D184" s="234" t="s">
        <v>1071</v>
      </c>
      <c r="E184" s="31">
        <v>2777</v>
      </c>
      <c r="F184" s="216">
        <v>4.6500000000000004</v>
      </c>
      <c r="G184" s="31"/>
      <c r="H184" s="217"/>
    </row>
    <row r="185" spans="1:8" x14ac:dyDescent="0.2">
      <c r="A185" s="26"/>
      <c r="B185" s="26"/>
      <c r="C185" s="26" t="s">
        <v>5491</v>
      </c>
      <c r="D185" s="234" t="s">
        <v>1072</v>
      </c>
      <c r="E185" s="31">
        <v>1794</v>
      </c>
      <c r="F185" s="216"/>
      <c r="G185" s="31"/>
      <c r="H185" s="217"/>
    </row>
    <row r="186" spans="1:8" x14ac:dyDescent="0.2">
      <c r="A186" s="26"/>
      <c r="B186" s="26"/>
      <c r="C186" s="26" t="s">
        <v>5490</v>
      </c>
      <c r="D186" s="234" t="s">
        <v>655</v>
      </c>
      <c r="E186" s="31">
        <v>742</v>
      </c>
      <c r="F186" s="216">
        <v>49.91</v>
      </c>
      <c r="G186" s="31"/>
      <c r="H186" s="217"/>
    </row>
    <row r="187" spans="1:8" x14ac:dyDescent="0.2">
      <c r="A187" s="26"/>
      <c r="B187" s="26"/>
      <c r="C187" s="26" t="s">
        <v>2318</v>
      </c>
      <c r="D187" s="234"/>
      <c r="E187" s="218">
        <v>5347</v>
      </c>
      <c r="F187" s="219">
        <f>SUM(F184:F186)</f>
        <v>54.559999999999995</v>
      </c>
      <c r="G187" s="218">
        <v>8179</v>
      </c>
      <c r="H187" s="220">
        <v>63.7</v>
      </c>
    </row>
    <row r="188" spans="1:8" x14ac:dyDescent="0.2">
      <c r="A188" s="26"/>
      <c r="B188" s="26"/>
      <c r="C188" s="26"/>
      <c r="D188" s="234"/>
      <c r="E188" s="88"/>
      <c r="F188" s="84"/>
      <c r="G188" s="88"/>
      <c r="H188" s="235"/>
    </row>
    <row r="189" spans="1:8" x14ac:dyDescent="0.2">
      <c r="A189" s="26" t="s">
        <v>1931</v>
      </c>
      <c r="B189" s="26"/>
      <c r="C189" s="214" t="s">
        <v>5179</v>
      </c>
      <c r="D189" s="234" t="s">
        <v>1071</v>
      </c>
      <c r="E189" s="31">
        <v>1898</v>
      </c>
      <c r="F189" s="216">
        <v>59.7</v>
      </c>
      <c r="G189" s="31"/>
      <c r="H189" s="217"/>
    </row>
    <row r="190" spans="1:8" x14ac:dyDescent="0.2">
      <c r="A190" s="26"/>
      <c r="B190" s="26"/>
      <c r="C190" s="26" t="s">
        <v>4627</v>
      </c>
      <c r="D190" s="234" t="s">
        <v>1072</v>
      </c>
      <c r="E190" s="31">
        <v>461</v>
      </c>
      <c r="F190" s="216">
        <v>13.99</v>
      </c>
      <c r="G190" s="31"/>
      <c r="H190" s="217"/>
    </row>
    <row r="191" spans="1:8" x14ac:dyDescent="0.2">
      <c r="A191" s="26"/>
      <c r="B191" s="26"/>
      <c r="C191" s="26" t="s">
        <v>5492</v>
      </c>
      <c r="D191" s="234" t="s">
        <v>1736</v>
      </c>
      <c r="E191" s="31">
        <v>971</v>
      </c>
      <c r="F191" s="216"/>
      <c r="G191" s="31"/>
      <c r="H191" s="217"/>
    </row>
    <row r="192" spans="1:8" x14ac:dyDescent="0.2">
      <c r="A192" s="26"/>
      <c r="B192" s="26"/>
      <c r="C192" s="26" t="s">
        <v>5493</v>
      </c>
      <c r="D192" s="234" t="s">
        <v>655</v>
      </c>
      <c r="E192" s="31">
        <v>613</v>
      </c>
      <c r="F192" s="216"/>
      <c r="G192" s="31"/>
      <c r="H192" s="217"/>
    </row>
    <row r="193" spans="1:8" x14ac:dyDescent="0.2">
      <c r="A193" s="26"/>
      <c r="B193" s="26"/>
      <c r="C193" s="26" t="s">
        <v>5494</v>
      </c>
      <c r="D193" s="234" t="s">
        <v>4860</v>
      </c>
      <c r="E193" s="31">
        <v>731</v>
      </c>
      <c r="F193" s="216"/>
      <c r="G193" s="31"/>
      <c r="H193" s="217"/>
    </row>
    <row r="194" spans="1:8" x14ac:dyDescent="0.2">
      <c r="A194" s="26"/>
      <c r="B194" s="26"/>
      <c r="C194" s="26" t="s">
        <v>5495</v>
      </c>
      <c r="D194" s="234" t="s">
        <v>5496</v>
      </c>
      <c r="E194" s="31">
        <v>88</v>
      </c>
      <c r="F194" s="216">
        <v>12.45</v>
      </c>
      <c r="G194" s="31"/>
      <c r="H194" s="217"/>
    </row>
    <row r="195" spans="1:8" x14ac:dyDescent="0.2">
      <c r="A195" s="26"/>
      <c r="B195" s="26"/>
      <c r="C195" s="26" t="s">
        <v>2318</v>
      </c>
      <c r="D195" s="234"/>
      <c r="E195" s="218">
        <v>4776</v>
      </c>
      <c r="F195" s="219">
        <f>SUM(F189:F194)</f>
        <v>86.14</v>
      </c>
      <c r="G195" s="218">
        <v>7574</v>
      </c>
      <c r="H195" s="220">
        <v>63.1</v>
      </c>
    </row>
    <row r="196" spans="1:8" x14ac:dyDescent="0.2">
      <c r="A196" s="26"/>
      <c r="B196" s="26"/>
      <c r="C196" s="26" t="s">
        <v>2318</v>
      </c>
      <c r="D196" s="234"/>
      <c r="E196" s="31"/>
      <c r="F196" s="216"/>
      <c r="G196" s="31"/>
      <c r="H196" s="217"/>
    </row>
    <row r="197" spans="1:8" x14ac:dyDescent="0.2">
      <c r="A197" s="26" t="s">
        <v>3</v>
      </c>
      <c r="B197" s="26"/>
      <c r="C197" s="214" t="s">
        <v>5302</v>
      </c>
      <c r="D197" s="234" t="s">
        <v>1071</v>
      </c>
      <c r="E197" s="31">
        <v>6975</v>
      </c>
      <c r="F197" s="216">
        <v>59.7</v>
      </c>
      <c r="G197" s="31"/>
      <c r="H197" s="217"/>
    </row>
    <row r="198" spans="1:8" x14ac:dyDescent="0.2">
      <c r="A198" s="26"/>
      <c r="B198" s="26"/>
      <c r="C198" s="26" t="s">
        <v>5497</v>
      </c>
      <c r="D198" s="234" t="s">
        <v>1072</v>
      </c>
      <c r="E198" s="31">
        <v>3786</v>
      </c>
      <c r="F198" s="216">
        <v>13.99</v>
      </c>
      <c r="G198" s="31"/>
      <c r="H198" s="217"/>
    </row>
    <row r="199" spans="1:8" x14ac:dyDescent="0.2">
      <c r="A199" s="26"/>
      <c r="B199" s="26"/>
      <c r="C199" s="26" t="s">
        <v>5498</v>
      </c>
      <c r="D199" s="234" t="s">
        <v>655</v>
      </c>
      <c r="E199" s="31">
        <v>820</v>
      </c>
      <c r="F199" s="216"/>
      <c r="G199" s="31"/>
      <c r="H199" s="217"/>
    </row>
    <row r="200" spans="1:8" x14ac:dyDescent="0.2">
      <c r="A200" s="26"/>
      <c r="B200" s="26"/>
      <c r="C200" s="26" t="s">
        <v>2318</v>
      </c>
      <c r="D200" s="234"/>
      <c r="E200" s="218">
        <v>11615</v>
      </c>
      <c r="F200" s="219">
        <f>SUM(F197:F198)</f>
        <v>73.69</v>
      </c>
      <c r="G200" s="218">
        <v>20117</v>
      </c>
      <c r="H200" s="220">
        <v>57.7</v>
      </c>
    </row>
    <row r="201" spans="1:8" x14ac:dyDescent="0.2">
      <c r="A201" s="26"/>
      <c r="B201" s="26"/>
      <c r="C201" s="26" t="s">
        <v>2318</v>
      </c>
      <c r="D201" s="234"/>
      <c r="E201" s="31"/>
      <c r="F201" s="216"/>
      <c r="G201" s="31"/>
      <c r="H201" s="217"/>
    </row>
    <row r="202" spans="1:8" x14ac:dyDescent="0.2">
      <c r="A202" s="26" t="s">
        <v>3185</v>
      </c>
      <c r="B202" s="26"/>
      <c r="C202" s="214" t="s">
        <v>4944</v>
      </c>
      <c r="D202" s="234" t="s">
        <v>1071</v>
      </c>
      <c r="E202" s="31">
        <v>3368</v>
      </c>
      <c r="F202" s="216">
        <v>0.75</v>
      </c>
      <c r="G202" s="31"/>
      <c r="H202" s="217"/>
    </row>
    <row r="203" spans="1:8" x14ac:dyDescent="0.2">
      <c r="A203" s="26"/>
      <c r="B203" s="26"/>
      <c r="C203" s="26" t="s">
        <v>5308</v>
      </c>
      <c r="D203" s="234" t="s">
        <v>1072</v>
      </c>
      <c r="E203" s="31">
        <v>649</v>
      </c>
      <c r="F203" s="216">
        <v>4.13</v>
      </c>
      <c r="G203" s="31"/>
      <c r="H203" s="217"/>
    </row>
    <row r="204" spans="1:8" x14ac:dyDescent="0.2">
      <c r="C204" s="26" t="s">
        <v>5499</v>
      </c>
      <c r="D204" s="234" t="s">
        <v>1736</v>
      </c>
      <c r="E204" s="31">
        <v>1245</v>
      </c>
      <c r="F204" s="216">
        <v>29.49</v>
      </c>
    </row>
    <row r="205" spans="1:8" x14ac:dyDescent="0.2">
      <c r="A205" s="26"/>
      <c r="B205" s="26"/>
      <c r="C205" s="26" t="s">
        <v>2318</v>
      </c>
      <c r="D205" s="234"/>
      <c r="E205" s="218">
        <v>5286</v>
      </c>
      <c r="F205" s="219">
        <f>SUM(F202:F204)</f>
        <v>34.369999999999997</v>
      </c>
      <c r="G205" s="218">
        <v>7582</v>
      </c>
      <c r="H205" s="220">
        <v>69.7</v>
      </c>
    </row>
    <row r="206" spans="1:8" x14ac:dyDescent="0.2">
      <c r="A206" s="26"/>
      <c r="B206" s="26"/>
      <c r="C206" s="26" t="s">
        <v>2318</v>
      </c>
      <c r="D206" s="234"/>
      <c r="E206" s="31"/>
      <c r="F206" s="216"/>
      <c r="G206" s="31"/>
      <c r="H206" s="217"/>
    </row>
    <row r="207" spans="1:8" x14ac:dyDescent="0.2">
      <c r="A207" s="26" t="s">
        <v>1752</v>
      </c>
      <c r="B207" s="26"/>
      <c r="C207" s="214" t="s">
        <v>5500</v>
      </c>
      <c r="D207" s="234" t="s">
        <v>1071</v>
      </c>
      <c r="E207" s="31">
        <v>3127</v>
      </c>
      <c r="F207" s="216">
        <v>5.4</v>
      </c>
      <c r="G207" s="31"/>
      <c r="H207" s="217"/>
    </row>
    <row r="208" spans="1:8" x14ac:dyDescent="0.2">
      <c r="A208" s="26"/>
      <c r="B208" s="26"/>
      <c r="C208" s="26" t="s">
        <v>5501</v>
      </c>
      <c r="D208" s="234" t="s">
        <v>1736</v>
      </c>
      <c r="E208" s="31">
        <v>1466</v>
      </c>
      <c r="F208" s="216">
        <v>58.9</v>
      </c>
      <c r="G208" s="31"/>
      <c r="H208" s="217"/>
    </row>
    <row r="209" spans="1:8" x14ac:dyDescent="0.2">
      <c r="A209" s="26"/>
      <c r="B209" s="26"/>
      <c r="C209" s="26" t="s">
        <v>5502</v>
      </c>
      <c r="D209" s="234" t="s">
        <v>655</v>
      </c>
      <c r="E209" s="31">
        <v>238</v>
      </c>
      <c r="F209" s="216"/>
      <c r="G209" s="31"/>
      <c r="H209" s="217"/>
    </row>
    <row r="210" spans="1:8" x14ac:dyDescent="0.2">
      <c r="A210" s="26"/>
      <c r="B210" s="26"/>
      <c r="C210" s="26" t="s">
        <v>2318</v>
      </c>
      <c r="D210" s="234"/>
      <c r="E210" s="218">
        <v>4843</v>
      </c>
      <c r="F210" s="219">
        <v>100</v>
      </c>
      <c r="G210" s="218">
        <v>7377</v>
      </c>
      <c r="H210" s="220">
        <v>65.7</v>
      </c>
    </row>
    <row r="211" spans="1:8" x14ac:dyDescent="0.2">
      <c r="A211" s="26"/>
      <c r="B211" s="26"/>
      <c r="C211" s="26" t="s">
        <v>2318</v>
      </c>
      <c r="D211" s="234"/>
      <c r="E211" s="31"/>
      <c r="F211" s="216"/>
      <c r="G211" s="31"/>
      <c r="H211" s="217"/>
    </row>
    <row r="212" spans="1:8" x14ac:dyDescent="0.2">
      <c r="A212" s="26" t="s">
        <v>3195</v>
      </c>
      <c r="B212" s="26"/>
      <c r="C212" s="214" t="s">
        <v>5314</v>
      </c>
      <c r="D212" s="234" t="s">
        <v>1071</v>
      </c>
      <c r="E212" s="31">
        <v>4954</v>
      </c>
      <c r="F212" s="216">
        <v>13.72</v>
      </c>
      <c r="G212" s="31"/>
      <c r="H212" s="217"/>
    </row>
    <row r="213" spans="1:8" x14ac:dyDescent="0.2">
      <c r="A213" s="26"/>
      <c r="B213" s="26"/>
      <c r="C213" s="26" t="s">
        <v>5503</v>
      </c>
      <c r="D213" s="234" t="s">
        <v>1072</v>
      </c>
      <c r="E213" s="31">
        <v>2259</v>
      </c>
      <c r="F213" s="216">
        <v>72.849999999999994</v>
      </c>
      <c r="G213" s="31"/>
      <c r="H213" s="217"/>
    </row>
    <row r="214" spans="1:8" x14ac:dyDescent="0.2">
      <c r="A214" s="26"/>
      <c r="B214" s="26"/>
      <c r="C214" s="26" t="s">
        <v>5504</v>
      </c>
      <c r="D214" s="234" t="s">
        <v>1736</v>
      </c>
      <c r="E214" s="31">
        <v>1485</v>
      </c>
      <c r="F214" s="216">
        <v>5.25</v>
      </c>
      <c r="G214" s="31"/>
      <c r="H214" s="217"/>
    </row>
    <row r="215" spans="1:8" x14ac:dyDescent="0.2">
      <c r="A215" s="26"/>
      <c r="B215" s="26"/>
      <c r="C215" s="26" t="s">
        <v>5505</v>
      </c>
      <c r="D215" s="234" t="s">
        <v>655</v>
      </c>
      <c r="E215" s="31">
        <v>841</v>
      </c>
      <c r="F215" s="216"/>
      <c r="G215" s="31"/>
      <c r="H215" s="217"/>
    </row>
    <row r="216" spans="1:8" x14ac:dyDescent="0.2">
      <c r="A216" s="26"/>
      <c r="B216" s="26"/>
      <c r="C216" s="26" t="s">
        <v>2318</v>
      </c>
      <c r="D216" s="234"/>
      <c r="E216" s="218">
        <v>9570</v>
      </c>
      <c r="F216" s="219">
        <f>SUM(F212:F215)</f>
        <v>91.82</v>
      </c>
      <c r="G216" s="218">
        <v>15921</v>
      </c>
      <c r="H216" s="220">
        <v>60.1</v>
      </c>
    </row>
    <row r="217" spans="1:8" x14ac:dyDescent="0.2">
      <c r="A217" s="26"/>
      <c r="B217" s="26"/>
      <c r="C217" s="26"/>
      <c r="D217" s="234"/>
      <c r="E217" s="88"/>
      <c r="F217" s="84"/>
      <c r="G217" s="88"/>
      <c r="H217" s="235"/>
    </row>
    <row r="218" spans="1:8" x14ac:dyDescent="0.2">
      <c r="A218" s="26" t="s">
        <v>716</v>
      </c>
      <c r="B218" s="26"/>
      <c r="C218" s="214" t="s">
        <v>5112</v>
      </c>
      <c r="D218" s="234" t="s">
        <v>1071</v>
      </c>
      <c r="E218" s="31">
        <v>2361</v>
      </c>
      <c r="F218" s="216">
        <v>70.16</v>
      </c>
      <c r="G218" s="31"/>
      <c r="H218" s="217"/>
    </row>
    <row r="219" spans="1:8" x14ac:dyDescent="0.2">
      <c r="A219" s="26"/>
      <c r="B219" s="26"/>
      <c r="C219" s="26" t="s">
        <v>5506</v>
      </c>
      <c r="D219" s="234" t="s">
        <v>1072</v>
      </c>
      <c r="E219" s="31">
        <v>448</v>
      </c>
      <c r="F219" s="216">
        <v>27.57</v>
      </c>
      <c r="G219" s="31"/>
      <c r="H219" s="217"/>
    </row>
    <row r="220" spans="1:8" x14ac:dyDescent="0.2">
      <c r="A220" s="26"/>
      <c r="B220" s="26"/>
      <c r="C220" s="26" t="s">
        <v>5507</v>
      </c>
      <c r="D220" s="234" t="s">
        <v>1736</v>
      </c>
      <c r="E220" s="31">
        <v>1585</v>
      </c>
      <c r="F220" s="216"/>
      <c r="G220" s="31"/>
      <c r="H220" s="217"/>
    </row>
    <row r="221" spans="1:8" x14ac:dyDescent="0.2">
      <c r="A221" s="26"/>
      <c r="B221" s="26"/>
      <c r="C221" s="26" t="s">
        <v>5508</v>
      </c>
      <c r="D221" s="234" t="s">
        <v>1072</v>
      </c>
      <c r="E221" s="31">
        <v>86</v>
      </c>
      <c r="F221" s="216">
        <v>1.67</v>
      </c>
      <c r="G221" s="31"/>
      <c r="H221" s="217"/>
    </row>
    <row r="222" spans="1:8" x14ac:dyDescent="0.2">
      <c r="A222" s="26"/>
      <c r="B222" s="26"/>
      <c r="C222" s="26" t="s">
        <v>2318</v>
      </c>
      <c r="D222" s="234"/>
      <c r="E222" s="218">
        <v>4493</v>
      </c>
      <c r="F222" s="219">
        <f>SUM(F218:F221)</f>
        <v>99.399999999999991</v>
      </c>
      <c r="G222" s="218">
        <v>6842</v>
      </c>
      <c r="H222" s="220">
        <v>65.7</v>
      </c>
    </row>
    <row r="223" spans="1:8" x14ac:dyDescent="0.2">
      <c r="A223" s="26"/>
      <c r="B223" s="26"/>
      <c r="C223" s="26" t="s">
        <v>2318</v>
      </c>
      <c r="D223" s="234"/>
      <c r="E223" s="31"/>
      <c r="F223" s="216"/>
      <c r="G223" s="31"/>
      <c r="H223" s="217"/>
    </row>
    <row r="224" spans="1:8" x14ac:dyDescent="0.2">
      <c r="A224" s="26" t="s">
        <v>1978</v>
      </c>
      <c r="B224" s="26"/>
      <c r="C224" s="214" t="s">
        <v>5139</v>
      </c>
      <c r="D224" s="234" t="s">
        <v>1071</v>
      </c>
      <c r="E224" s="31">
        <v>3950</v>
      </c>
      <c r="F224" s="216">
        <v>70.16</v>
      </c>
      <c r="G224" s="31"/>
      <c r="H224" s="217"/>
    </row>
    <row r="225" spans="1:8" x14ac:dyDescent="0.2">
      <c r="A225" s="26"/>
      <c r="B225" s="26"/>
      <c r="C225" s="26" t="s">
        <v>5320</v>
      </c>
      <c r="D225" s="234" t="s">
        <v>655</v>
      </c>
      <c r="E225" s="31">
        <v>400</v>
      </c>
      <c r="F225" s="216">
        <v>27.57</v>
      </c>
      <c r="G225" s="31"/>
      <c r="H225" s="217"/>
    </row>
    <row r="226" spans="1:8" x14ac:dyDescent="0.2">
      <c r="A226" s="26"/>
      <c r="B226" s="26"/>
      <c r="C226" s="26" t="s">
        <v>5509</v>
      </c>
      <c r="D226" s="234" t="s">
        <v>5496</v>
      </c>
      <c r="E226" s="31">
        <v>1550</v>
      </c>
      <c r="F226" s="216"/>
      <c r="G226" s="31"/>
      <c r="H226" s="217"/>
    </row>
    <row r="227" spans="1:8" x14ac:dyDescent="0.2">
      <c r="A227" s="26"/>
      <c r="B227" s="26"/>
      <c r="C227" s="26" t="s">
        <v>2318</v>
      </c>
      <c r="D227" s="234"/>
      <c r="E227" s="218">
        <v>5914</v>
      </c>
      <c r="F227" s="219">
        <f>SUM(F224:F226)</f>
        <v>97.72999999999999</v>
      </c>
      <c r="G227" s="218">
        <v>9177</v>
      </c>
      <c r="H227" s="220">
        <v>64.400000000000006</v>
      </c>
    </row>
    <row r="228" spans="1:8" x14ac:dyDescent="0.2">
      <c r="A228" s="26"/>
      <c r="B228" s="26"/>
      <c r="C228" s="26" t="s">
        <v>2318</v>
      </c>
      <c r="D228" s="234"/>
      <c r="E228" s="31"/>
      <c r="F228" s="216"/>
      <c r="G228" s="31"/>
      <c r="H228" s="217"/>
    </row>
    <row r="229" spans="1:8" x14ac:dyDescent="0.2">
      <c r="A229" s="26" t="s">
        <v>415</v>
      </c>
      <c r="B229" s="26"/>
      <c r="C229" s="214" t="s">
        <v>5510</v>
      </c>
      <c r="D229" s="234" t="s">
        <v>1071</v>
      </c>
      <c r="E229" s="31">
        <v>2361</v>
      </c>
      <c r="F229" s="216">
        <v>59.8</v>
      </c>
      <c r="G229" s="31"/>
      <c r="H229" s="217"/>
    </row>
    <row r="230" spans="1:8" x14ac:dyDescent="0.2">
      <c r="A230" s="26"/>
      <c r="B230" s="26"/>
      <c r="C230" s="26" t="s">
        <v>5511</v>
      </c>
      <c r="D230" s="234" t="s">
        <v>1072</v>
      </c>
      <c r="E230" s="31">
        <v>980</v>
      </c>
      <c r="F230" s="216">
        <v>24.59</v>
      </c>
      <c r="G230" s="31"/>
      <c r="H230" s="217"/>
    </row>
    <row r="231" spans="1:8" x14ac:dyDescent="0.2">
      <c r="A231" s="26"/>
      <c r="B231" s="26"/>
      <c r="C231" s="26" t="s">
        <v>5512</v>
      </c>
      <c r="D231" s="234" t="s">
        <v>1736</v>
      </c>
      <c r="E231" s="31">
        <v>842</v>
      </c>
      <c r="F231" s="216"/>
      <c r="G231" s="31"/>
      <c r="H231" s="217"/>
    </row>
    <row r="232" spans="1:8" x14ac:dyDescent="0.2">
      <c r="A232" s="26"/>
      <c r="B232" s="26"/>
      <c r="C232" s="26" t="s">
        <v>2318</v>
      </c>
      <c r="D232" s="234"/>
      <c r="E232" s="218">
        <v>4612</v>
      </c>
      <c r="F232" s="219">
        <f>SUM(F229:F231)</f>
        <v>84.39</v>
      </c>
      <c r="G232" s="218">
        <v>8278</v>
      </c>
      <c r="H232" s="220">
        <v>55.7</v>
      </c>
    </row>
    <row r="233" spans="1:8" x14ac:dyDescent="0.2">
      <c r="A233" s="26"/>
      <c r="B233" s="26"/>
      <c r="C233" s="26" t="s">
        <v>2318</v>
      </c>
      <c r="D233" s="234"/>
      <c r="E233" s="31"/>
      <c r="F233" s="216"/>
      <c r="G233" s="31"/>
      <c r="H233" s="217"/>
    </row>
    <row r="234" spans="1:8" x14ac:dyDescent="0.2">
      <c r="A234" s="26" t="s">
        <v>718</v>
      </c>
      <c r="B234" s="26"/>
      <c r="C234" s="214" t="s">
        <v>5513</v>
      </c>
      <c r="D234" s="234" t="s">
        <v>1071</v>
      </c>
      <c r="E234" s="31">
        <v>3067</v>
      </c>
      <c r="F234" s="216">
        <v>59.8</v>
      </c>
      <c r="G234" s="31"/>
      <c r="H234" s="217"/>
    </row>
    <row r="235" spans="1:8" x14ac:dyDescent="0.2">
      <c r="A235" s="26"/>
      <c r="B235" s="26"/>
      <c r="C235" s="26" t="s">
        <v>5514</v>
      </c>
      <c r="D235" s="234" t="s">
        <v>1072</v>
      </c>
      <c r="E235" s="31">
        <v>842</v>
      </c>
      <c r="F235" s="216">
        <v>24.59</v>
      </c>
      <c r="G235" s="31"/>
      <c r="H235" s="217"/>
    </row>
    <row r="236" spans="1:8" x14ac:dyDescent="0.2">
      <c r="A236" s="26"/>
      <c r="B236" s="26"/>
      <c r="C236" s="26" t="s">
        <v>5515</v>
      </c>
      <c r="D236" s="234" t="s">
        <v>1736</v>
      </c>
      <c r="E236" s="31">
        <v>823</v>
      </c>
      <c r="F236" s="216"/>
      <c r="G236" s="31"/>
      <c r="H236" s="217"/>
    </row>
    <row r="237" spans="1:8" x14ac:dyDescent="0.2">
      <c r="A237" s="26"/>
      <c r="B237" s="26"/>
      <c r="C237" s="26" t="s">
        <v>5516</v>
      </c>
      <c r="D237" s="234" t="s">
        <v>655</v>
      </c>
      <c r="E237" s="31">
        <v>562</v>
      </c>
      <c r="F237" s="216"/>
      <c r="G237" s="31"/>
      <c r="H237" s="217"/>
    </row>
    <row r="238" spans="1:8" x14ac:dyDescent="0.2">
      <c r="A238" s="26"/>
      <c r="B238" s="26"/>
      <c r="C238" s="26" t="s">
        <v>5517</v>
      </c>
      <c r="D238" s="234" t="s">
        <v>5488</v>
      </c>
      <c r="E238" s="31">
        <v>165</v>
      </c>
      <c r="F238" s="216">
        <v>3.59</v>
      </c>
      <c r="G238" s="31"/>
      <c r="H238" s="217"/>
    </row>
    <row r="239" spans="1:8" x14ac:dyDescent="0.2">
      <c r="A239" s="26"/>
      <c r="B239" s="26"/>
      <c r="C239" s="26" t="s">
        <v>2318</v>
      </c>
      <c r="D239" s="234"/>
      <c r="E239" s="218">
        <v>5498</v>
      </c>
      <c r="F239" s="219">
        <f>SUM(F234:F238)</f>
        <v>87.98</v>
      </c>
      <c r="G239" s="218">
        <v>8850</v>
      </c>
      <c r="H239" s="220">
        <v>62.1</v>
      </c>
    </row>
    <row r="240" spans="1:8" x14ac:dyDescent="0.2">
      <c r="A240" s="26"/>
      <c r="B240" s="26"/>
      <c r="C240" s="26" t="s">
        <v>2318</v>
      </c>
      <c r="D240" s="234"/>
      <c r="E240" s="31"/>
      <c r="F240" s="216"/>
      <c r="G240" s="31"/>
      <c r="H240" s="217"/>
    </row>
    <row r="241" spans="1:8" x14ac:dyDescent="0.2">
      <c r="A241" s="26" t="s">
        <v>584</v>
      </c>
      <c r="B241" s="26"/>
      <c r="C241" s="214" t="s">
        <v>5518</v>
      </c>
      <c r="D241" s="234" t="s">
        <v>1071</v>
      </c>
      <c r="E241" s="31">
        <v>2524</v>
      </c>
      <c r="F241" s="216">
        <v>60.67</v>
      </c>
      <c r="G241" s="31"/>
      <c r="H241" s="217"/>
    </row>
    <row r="242" spans="1:8" x14ac:dyDescent="0.2">
      <c r="A242" s="26"/>
      <c r="B242" s="26"/>
      <c r="C242" s="26" t="s">
        <v>5519</v>
      </c>
      <c r="D242" s="234" t="s">
        <v>1072</v>
      </c>
      <c r="E242" s="31">
        <v>539</v>
      </c>
      <c r="F242" s="216">
        <v>10.68</v>
      </c>
      <c r="G242" s="31"/>
      <c r="H242" s="217"/>
    </row>
    <row r="243" spans="1:8" x14ac:dyDescent="0.2">
      <c r="A243" s="26"/>
      <c r="B243" s="26"/>
      <c r="C243" s="26" t="s">
        <v>5520</v>
      </c>
      <c r="D243" s="234" t="s">
        <v>1736</v>
      </c>
      <c r="E243" s="31">
        <v>953</v>
      </c>
      <c r="F243" s="216">
        <v>3.08</v>
      </c>
      <c r="G243" s="31"/>
      <c r="H243" s="217"/>
    </row>
    <row r="244" spans="1:8" x14ac:dyDescent="0.2">
      <c r="A244" s="26"/>
      <c r="B244" s="26"/>
      <c r="C244" s="26" t="s">
        <v>5521</v>
      </c>
      <c r="D244" s="234" t="s">
        <v>655</v>
      </c>
      <c r="E244" s="31">
        <v>621</v>
      </c>
      <c r="F244" s="216">
        <v>3.08</v>
      </c>
      <c r="G244" s="31"/>
      <c r="H244" s="217"/>
    </row>
    <row r="245" spans="1:8" x14ac:dyDescent="0.2">
      <c r="A245" s="26"/>
      <c r="B245" s="26"/>
      <c r="C245" s="26" t="s">
        <v>2318</v>
      </c>
      <c r="D245" s="234"/>
      <c r="E245" s="218">
        <v>4648</v>
      </c>
      <c r="F245" s="219">
        <f>SUM(F241:F244)</f>
        <v>77.509999999999991</v>
      </c>
      <c r="G245" s="218">
        <v>6847</v>
      </c>
      <c r="H245" s="220">
        <v>67.900000000000006</v>
      </c>
    </row>
    <row r="246" spans="1:8" x14ac:dyDescent="0.2">
      <c r="A246" s="26"/>
      <c r="B246" s="26"/>
      <c r="C246" s="26" t="s">
        <v>2318</v>
      </c>
      <c r="D246" s="234"/>
      <c r="E246" s="31"/>
      <c r="F246" s="216"/>
      <c r="G246" s="31"/>
      <c r="H246" s="217"/>
    </row>
    <row r="247" spans="1:8" x14ac:dyDescent="0.2">
      <c r="A247" s="26" t="s">
        <v>2340</v>
      </c>
      <c r="B247" s="26"/>
      <c r="C247" s="214" t="s">
        <v>5522</v>
      </c>
      <c r="D247" s="234" t="s">
        <v>1071</v>
      </c>
      <c r="E247" s="31">
        <v>1830</v>
      </c>
      <c r="F247" s="216">
        <v>19.48</v>
      </c>
      <c r="G247" s="31"/>
      <c r="H247" s="217"/>
    </row>
    <row r="248" spans="1:8" x14ac:dyDescent="0.2">
      <c r="A248" s="26"/>
      <c r="B248" s="26"/>
      <c r="C248" s="26" t="s">
        <v>5523</v>
      </c>
      <c r="D248" s="234" t="s">
        <v>4877</v>
      </c>
      <c r="E248" s="31">
        <v>525</v>
      </c>
      <c r="F248" s="216">
        <v>1.72</v>
      </c>
      <c r="G248" s="31"/>
      <c r="H248" s="217"/>
    </row>
    <row r="249" spans="1:8" x14ac:dyDescent="0.2">
      <c r="A249" s="26"/>
      <c r="B249" s="26"/>
      <c r="C249" s="26" t="s">
        <v>5334</v>
      </c>
      <c r="D249" s="234" t="s">
        <v>1071</v>
      </c>
      <c r="E249" s="224">
        <v>1721</v>
      </c>
      <c r="F249" s="216">
        <v>28.27</v>
      </c>
      <c r="G249" s="31"/>
      <c r="H249" s="217"/>
    </row>
    <row r="250" spans="1:8" x14ac:dyDescent="0.2">
      <c r="A250" s="26"/>
      <c r="B250" s="26"/>
      <c r="C250" s="26" t="s">
        <v>2318</v>
      </c>
      <c r="D250" s="234"/>
      <c r="E250" s="218">
        <v>4107</v>
      </c>
      <c r="F250" s="219">
        <f>SUM(F247:F249)</f>
        <v>49.47</v>
      </c>
      <c r="G250" s="218">
        <v>7563</v>
      </c>
      <c r="H250" s="220">
        <v>64.7</v>
      </c>
    </row>
    <row r="251" spans="1:8" x14ac:dyDescent="0.2">
      <c r="A251" s="26"/>
      <c r="B251" s="26"/>
      <c r="C251" s="26" t="s">
        <v>2318</v>
      </c>
      <c r="D251" s="234"/>
      <c r="E251" s="31"/>
      <c r="F251" s="216"/>
      <c r="G251" s="31"/>
      <c r="H251" s="217"/>
    </row>
    <row r="252" spans="1:8" x14ac:dyDescent="0.2">
      <c r="A252" s="26" t="s">
        <v>2341</v>
      </c>
      <c r="B252" s="26"/>
      <c r="C252" s="214" t="s">
        <v>5336</v>
      </c>
      <c r="D252" s="234" t="s">
        <v>1071</v>
      </c>
      <c r="E252" s="31">
        <v>6016</v>
      </c>
      <c r="F252" s="216">
        <v>1.95</v>
      </c>
      <c r="G252" s="31"/>
      <c r="H252" s="217"/>
    </row>
    <row r="253" spans="1:8" x14ac:dyDescent="0.2">
      <c r="A253" s="26"/>
      <c r="B253" s="26"/>
      <c r="C253" s="26" t="s">
        <v>5524</v>
      </c>
      <c r="D253" s="234" t="s">
        <v>1072</v>
      </c>
      <c r="E253" s="31">
        <v>609</v>
      </c>
      <c r="F253" s="216">
        <v>43.22</v>
      </c>
      <c r="G253" s="31"/>
      <c r="H253" s="217"/>
    </row>
    <row r="254" spans="1:8" x14ac:dyDescent="0.2">
      <c r="A254" s="26"/>
      <c r="B254" s="26"/>
      <c r="C254" s="26" t="s">
        <v>5525</v>
      </c>
      <c r="D254" s="234" t="s">
        <v>1736</v>
      </c>
      <c r="E254" s="31">
        <v>3323</v>
      </c>
      <c r="F254" s="216">
        <v>40.79</v>
      </c>
      <c r="G254" s="31"/>
      <c r="H254" s="217"/>
    </row>
    <row r="255" spans="1:8" x14ac:dyDescent="0.2">
      <c r="A255" s="26"/>
      <c r="B255" s="26"/>
      <c r="C255" s="26" t="s">
        <v>5152</v>
      </c>
      <c r="D255" s="234" t="s">
        <v>1072</v>
      </c>
      <c r="E255" s="31">
        <v>446</v>
      </c>
      <c r="F255" s="216">
        <v>14.04</v>
      </c>
      <c r="G255" s="31"/>
      <c r="H255" s="217"/>
    </row>
    <row r="256" spans="1:8" x14ac:dyDescent="0.2">
      <c r="A256" s="26"/>
      <c r="B256" s="26"/>
      <c r="C256" s="26" t="s">
        <v>2318</v>
      </c>
      <c r="D256" s="234"/>
      <c r="E256" s="218">
        <v>10449</v>
      </c>
      <c r="F256" s="219">
        <f>SUM(F252:F255)</f>
        <v>100</v>
      </c>
      <c r="G256" s="218">
        <v>18625</v>
      </c>
      <c r="H256" s="220">
        <v>56.1</v>
      </c>
    </row>
    <row r="257" spans="1:8" x14ac:dyDescent="0.2">
      <c r="A257" s="26"/>
      <c r="B257" s="26"/>
      <c r="C257" s="26" t="s">
        <v>2318</v>
      </c>
      <c r="D257" s="234"/>
      <c r="E257" s="31"/>
      <c r="F257" s="216"/>
      <c r="G257" s="31"/>
      <c r="H257" s="217"/>
    </row>
    <row r="258" spans="1:8" x14ac:dyDescent="0.2">
      <c r="A258" s="26" t="s">
        <v>436</v>
      </c>
      <c r="B258" s="26"/>
      <c r="C258" s="214" t="s">
        <v>813</v>
      </c>
      <c r="D258" s="234" t="s">
        <v>1071</v>
      </c>
      <c r="E258" s="31">
        <v>1670</v>
      </c>
      <c r="F258" s="216">
        <v>7.28</v>
      </c>
      <c r="G258" s="31"/>
      <c r="H258" s="217"/>
    </row>
    <row r="259" spans="1:8" x14ac:dyDescent="0.2">
      <c r="A259" s="26"/>
      <c r="B259" s="26"/>
      <c r="C259" s="26" t="s">
        <v>5526</v>
      </c>
      <c r="D259" s="234" t="s">
        <v>1072</v>
      </c>
      <c r="E259" s="31">
        <v>755</v>
      </c>
      <c r="F259" s="216">
        <v>38.22</v>
      </c>
      <c r="G259" s="31"/>
      <c r="H259" s="217"/>
    </row>
    <row r="260" spans="1:8" x14ac:dyDescent="0.2">
      <c r="A260" s="26"/>
      <c r="B260" s="26"/>
      <c r="C260" s="26" t="s">
        <v>5527</v>
      </c>
      <c r="D260" s="234" t="s">
        <v>1736</v>
      </c>
      <c r="E260" s="31">
        <v>1362</v>
      </c>
      <c r="F260" s="216"/>
      <c r="G260" s="31"/>
      <c r="H260" s="217"/>
    </row>
    <row r="261" spans="1:8" x14ac:dyDescent="0.2">
      <c r="A261" s="26"/>
      <c r="B261" s="26"/>
      <c r="C261" s="26" t="s">
        <v>5528</v>
      </c>
      <c r="D261" s="234" t="s">
        <v>655</v>
      </c>
      <c r="E261" s="31">
        <v>216</v>
      </c>
      <c r="F261" s="216">
        <v>1.97</v>
      </c>
      <c r="G261" s="31"/>
      <c r="H261" s="217"/>
    </row>
    <row r="262" spans="1:8" x14ac:dyDescent="0.2">
      <c r="A262" s="26"/>
      <c r="B262" s="26"/>
      <c r="C262" s="26" t="s">
        <v>2318</v>
      </c>
      <c r="D262" s="234"/>
      <c r="E262" s="218">
        <v>4013</v>
      </c>
      <c r="F262" s="219">
        <f>SUM(F258:F261)</f>
        <v>47.47</v>
      </c>
      <c r="G262" s="218">
        <v>5767</v>
      </c>
      <c r="H262" s="220">
        <v>69.599999999999994</v>
      </c>
    </row>
    <row r="263" spans="1:8" x14ac:dyDescent="0.2">
      <c r="A263" s="26"/>
      <c r="B263" s="26"/>
      <c r="C263" s="26" t="s">
        <v>2318</v>
      </c>
      <c r="D263" s="234"/>
      <c r="E263" s="31"/>
      <c r="F263" s="216"/>
      <c r="G263" s="31"/>
      <c r="H263" s="217"/>
    </row>
    <row r="264" spans="1:8" ht="12.75" customHeight="1" x14ac:dyDescent="0.2">
      <c r="A264" s="26" t="s">
        <v>441</v>
      </c>
      <c r="B264" s="26"/>
      <c r="C264" s="214" t="s">
        <v>5341</v>
      </c>
      <c r="D264" s="234" t="s">
        <v>1071</v>
      </c>
      <c r="E264" s="31">
        <v>3175</v>
      </c>
      <c r="F264" s="216">
        <v>34.21</v>
      </c>
      <c r="G264" s="31"/>
      <c r="H264" s="217"/>
    </row>
    <row r="265" spans="1:8" x14ac:dyDescent="0.2">
      <c r="A265" s="26"/>
      <c r="B265" s="26"/>
      <c r="C265" s="26" t="s">
        <v>5529</v>
      </c>
      <c r="D265" s="234" t="s">
        <v>1072</v>
      </c>
      <c r="E265" s="31">
        <v>591</v>
      </c>
      <c r="F265" s="216">
        <v>53.1</v>
      </c>
      <c r="G265" s="31"/>
      <c r="H265" s="217"/>
    </row>
    <row r="266" spans="1:8" x14ac:dyDescent="0.2">
      <c r="A266" s="26"/>
      <c r="B266" s="26"/>
      <c r="C266" s="26" t="s">
        <v>5530</v>
      </c>
      <c r="D266" s="234" t="s">
        <v>655</v>
      </c>
      <c r="E266" s="31">
        <v>599</v>
      </c>
      <c r="F266" s="216">
        <v>1.35</v>
      </c>
      <c r="G266" s="31"/>
      <c r="H266" s="217"/>
    </row>
    <row r="267" spans="1:8" x14ac:dyDescent="0.2">
      <c r="A267" s="26"/>
      <c r="B267" s="26"/>
      <c r="C267" s="26" t="s">
        <v>2318</v>
      </c>
      <c r="D267" s="234"/>
      <c r="E267" s="218">
        <v>4390</v>
      </c>
      <c r="F267" s="219">
        <f>SUM(F264:F266)</f>
        <v>88.66</v>
      </c>
      <c r="G267" s="218">
        <v>7311</v>
      </c>
      <c r="H267" s="220">
        <v>60</v>
      </c>
    </row>
    <row r="268" spans="1:8" x14ac:dyDescent="0.2">
      <c r="A268" s="26"/>
      <c r="B268" s="26"/>
      <c r="C268" s="26" t="s">
        <v>2318</v>
      </c>
      <c r="D268" s="234"/>
      <c r="E268" s="31"/>
      <c r="F268" s="216"/>
      <c r="G268" s="31"/>
      <c r="H268" s="217"/>
    </row>
    <row r="269" spans="1:8" x14ac:dyDescent="0.2">
      <c r="A269" s="26" t="s">
        <v>5352</v>
      </c>
      <c r="B269" s="26"/>
      <c r="C269" s="214" t="s">
        <v>5353</v>
      </c>
      <c r="D269" s="234" t="s">
        <v>1071</v>
      </c>
      <c r="E269" s="31">
        <v>3999</v>
      </c>
      <c r="F269" s="216">
        <v>1</v>
      </c>
      <c r="G269" s="31"/>
      <c r="H269" s="217"/>
    </row>
    <row r="270" spans="1:8" x14ac:dyDescent="0.2">
      <c r="A270" s="26"/>
      <c r="B270" s="26"/>
      <c r="C270" s="26" t="s">
        <v>5531</v>
      </c>
      <c r="D270" s="234" t="s">
        <v>1072</v>
      </c>
      <c r="E270" s="31">
        <v>1368</v>
      </c>
      <c r="F270" s="216"/>
      <c r="G270" s="31"/>
      <c r="H270" s="217"/>
    </row>
    <row r="271" spans="1:8" x14ac:dyDescent="0.2">
      <c r="A271" s="26"/>
      <c r="B271" s="26"/>
      <c r="C271" s="26" t="s">
        <v>5532</v>
      </c>
      <c r="D271" s="234" t="s">
        <v>655</v>
      </c>
      <c r="E271" s="31">
        <v>529</v>
      </c>
      <c r="F271" s="216"/>
      <c r="G271" s="31"/>
      <c r="H271" s="217"/>
    </row>
    <row r="272" spans="1:8" x14ac:dyDescent="0.2">
      <c r="A272" s="26"/>
      <c r="B272" s="26"/>
      <c r="C272" s="26"/>
      <c r="D272" s="234"/>
      <c r="E272" s="218">
        <v>5905</v>
      </c>
      <c r="F272" s="219">
        <f>SUM(F269:F271)</f>
        <v>1</v>
      </c>
      <c r="G272" s="218">
        <v>8860</v>
      </c>
      <c r="H272" s="220">
        <v>66.599999999999994</v>
      </c>
    </row>
    <row r="273" spans="1:8" x14ac:dyDescent="0.2">
      <c r="A273" s="26"/>
      <c r="B273" s="26"/>
      <c r="C273" s="26" t="s">
        <v>2318</v>
      </c>
      <c r="D273" s="234"/>
      <c r="E273" s="31"/>
      <c r="F273" s="216"/>
      <c r="G273" s="31"/>
      <c r="H273" s="217"/>
    </row>
    <row r="274" spans="1:8" x14ac:dyDescent="0.2">
      <c r="A274" s="26" t="s">
        <v>5356</v>
      </c>
      <c r="B274" s="26"/>
      <c r="C274" s="214" t="s">
        <v>5357</v>
      </c>
      <c r="D274" s="234" t="s">
        <v>1071</v>
      </c>
      <c r="E274" s="31">
        <v>3077</v>
      </c>
      <c r="F274" s="216">
        <v>1</v>
      </c>
      <c r="G274" s="31"/>
      <c r="H274" s="217"/>
    </row>
    <row r="275" spans="1:8" x14ac:dyDescent="0.2">
      <c r="A275" s="26"/>
      <c r="B275" s="26"/>
      <c r="C275" s="26" t="s">
        <v>2337</v>
      </c>
      <c r="D275" s="234" t="s">
        <v>1072</v>
      </c>
      <c r="E275" s="31">
        <v>383</v>
      </c>
      <c r="F275" s="216"/>
      <c r="G275" s="31"/>
      <c r="H275" s="217"/>
    </row>
    <row r="276" spans="1:8" x14ac:dyDescent="0.2">
      <c r="A276" s="26"/>
      <c r="B276" s="26"/>
      <c r="C276" s="26" t="s">
        <v>5533</v>
      </c>
      <c r="D276" s="234" t="s">
        <v>655</v>
      </c>
      <c r="E276" s="31">
        <v>948</v>
      </c>
      <c r="F276" s="216"/>
      <c r="G276" s="31"/>
      <c r="H276" s="217"/>
    </row>
    <row r="277" spans="1:8" x14ac:dyDescent="0.2">
      <c r="A277" s="26"/>
      <c r="B277" s="26"/>
      <c r="C277" s="26"/>
      <c r="D277" s="234"/>
      <c r="E277" s="218">
        <v>4413</v>
      </c>
      <c r="F277" s="219">
        <f>SUM(F274:F276)</f>
        <v>1</v>
      </c>
      <c r="G277" s="218">
        <v>6478</v>
      </c>
      <c r="H277" s="220">
        <v>68.099999999999994</v>
      </c>
    </row>
    <row r="278" spans="1:8" x14ac:dyDescent="0.2">
      <c r="A278" s="26"/>
      <c r="B278" s="26"/>
      <c r="C278" s="26" t="s">
        <v>2318</v>
      </c>
      <c r="D278" s="234"/>
      <c r="E278" s="31"/>
      <c r="F278" s="216"/>
      <c r="G278" s="31"/>
      <c r="H278" s="217"/>
    </row>
    <row r="279" spans="1:8" x14ac:dyDescent="0.2">
      <c r="A279" s="26" t="s">
        <v>446</v>
      </c>
      <c r="B279" s="26"/>
      <c r="C279" s="214" t="s">
        <v>4980</v>
      </c>
      <c r="D279" s="234" t="s">
        <v>1071</v>
      </c>
      <c r="E279" s="31">
        <v>2540</v>
      </c>
      <c r="F279" s="216">
        <v>19.98</v>
      </c>
      <c r="G279" s="31"/>
      <c r="H279" s="217"/>
    </row>
    <row r="280" spans="1:8" x14ac:dyDescent="0.2">
      <c r="A280" s="26"/>
      <c r="B280" s="26"/>
      <c r="C280" s="26" t="s">
        <v>5534</v>
      </c>
      <c r="D280" s="234" t="s">
        <v>1072</v>
      </c>
      <c r="E280" s="31">
        <v>2030</v>
      </c>
      <c r="F280" s="216">
        <v>58.85</v>
      </c>
      <c r="G280" s="31"/>
      <c r="H280" s="217"/>
    </row>
    <row r="281" spans="1:8" x14ac:dyDescent="0.2">
      <c r="A281" s="26"/>
      <c r="B281" s="26"/>
      <c r="C281" s="26" t="s">
        <v>5535</v>
      </c>
      <c r="D281" s="234" t="s">
        <v>1736</v>
      </c>
      <c r="E281" s="31">
        <v>1332</v>
      </c>
      <c r="F281" s="216">
        <v>10.6</v>
      </c>
      <c r="G281" s="31"/>
      <c r="H281" s="217"/>
    </row>
    <row r="282" spans="1:8" x14ac:dyDescent="0.2">
      <c r="A282" s="26"/>
      <c r="B282" s="26"/>
      <c r="C282" s="26" t="s">
        <v>5536</v>
      </c>
      <c r="D282" s="234" t="s">
        <v>655</v>
      </c>
      <c r="E282" s="31">
        <v>451</v>
      </c>
      <c r="F282" s="216">
        <v>10.57</v>
      </c>
      <c r="G282" s="31"/>
      <c r="H282" s="217"/>
    </row>
    <row r="283" spans="1:8" x14ac:dyDescent="0.2">
      <c r="A283" s="26"/>
      <c r="B283" s="26"/>
      <c r="C283" s="26" t="s">
        <v>2318</v>
      </c>
      <c r="D283" s="234"/>
      <c r="E283" s="218">
        <v>6374</v>
      </c>
      <c r="F283" s="219">
        <f>SUM(F279:F282)</f>
        <v>100</v>
      </c>
      <c r="G283" s="218">
        <v>11511</v>
      </c>
      <c r="H283" s="220">
        <v>55.4</v>
      </c>
    </row>
    <row r="284" spans="1:8" x14ac:dyDescent="0.2">
      <c r="A284" s="26"/>
      <c r="B284" s="26"/>
      <c r="C284" s="26" t="s">
        <v>2318</v>
      </c>
      <c r="D284" s="234"/>
      <c r="E284" s="31"/>
      <c r="F284" s="216"/>
      <c r="G284" s="31"/>
      <c r="H284" s="217"/>
    </row>
    <row r="285" spans="1:8" x14ac:dyDescent="0.2">
      <c r="A285" s="26" t="s">
        <v>715</v>
      </c>
      <c r="B285" s="26"/>
      <c r="C285" s="214" t="s">
        <v>5360</v>
      </c>
      <c r="D285" s="234" t="s">
        <v>1071</v>
      </c>
      <c r="E285" s="31">
        <v>3076</v>
      </c>
      <c r="F285" s="216">
        <v>1.81</v>
      </c>
      <c r="G285" s="31"/>
      <c r="H285" s="217"/>
    </row>
    <row r="286" spans="1:8" x14ac:dyDescent="0.2">
      <c r="A286" s="26"/>
      <c r="B286" s="26"/>
      <c r="C286" s="26" t="s">
        <v>5537</v>
      </c>
      <c r="D286" s="234" t="s">
        <v>1072</v>
      </c>
      <c r="E286" s="31">
        <v>1065</v>
      </c>
      <c r="F286" s="216">
        <v>8.2899999999999991</v>
      </c>
      <c r="G286" s="31"/>
      <c r="H286" s="217"/>
    </row>
    <row r="287" spans="1:8" x14ac:dyDescent="0.2">
      <c r="A287" s="26"/>
      <c r="B287" s="26"/>
      <c r="C287" s="26" t="s">
        <v>5538</v>
      </c>
      <c r="D287" s="234" t="s">
        <v>655</v>
      </c>
      <c r="E287" s="31">
        <v>369</v>
      </c>
      <c r="F287" s="216"/>
      <c r="G287" s="31"/>
      <c r="H287" s="217"/>
    </row>
    <row r="288" spans="1:8" x14ac:dyDescent="0.2">
      <c r="A288" s="26"/>
      <c r="B288" s="26"/>
      <c r="C288" s="26" t="s">
        <v>2318</v>
      </c>
      <c r="D288" s="234"/>
      <c r="E288" s="218">
        <v>4522</v>
      </c>
      <c r="F288" s="219">
        <f>SUM(F285:F286)</f>
        <v>10.1</v>
      </c>
      <c r="G288" s="218">
        <v>7186</v>
      </c>
      <c r="H288" s="220">
        <v>62.9</v>
      </c>
    </row>
    <row r="289" spans="1:8" x14ac:dyDescent="0.2">
      <c r="A289" s="26"/>
      <c r="B289" s="26"/>
      <c r="C289" s="26" t="s">
        <v>2318</v>
      </c>
      <c r="D289" s="234"/>
      <c r="E289" s="31"/>
      <c r="F289" s="216"/>
      <c r="G289" s="31"/>
      <c r="H289" s="217"/>
    </row>
    <row r="290" spans="1:8" x14ac:dyDescent="0.2">
      <c r="A290" s="26" t="s">
        <v>2545</v>
      </c>
      <c r="B290" s="26"/>
      <c r="C290" s="214" t="s">
        <v>5365</v>
      </c>
      <c r="D290" s="234" t="s">
        <v>1071</v>
      </c>
      <c r="E290" s="31">
        <v>2716</v>
      </c>
      <c r="F290" s="216">
        <v>10.36</v>
      </c>
      <c r="G290" s="31"/>
      <c r="H290" s="217"/>
    </row>
    <row r="291" spans="1:8" x14ac:dyDescent="0.2">
      <c r="A291" s="26"/>
      <c r="B291" s="26"/>
      <c r="C291" s="26" t="s">
        <v>5539</v>
      </c>
      <c r="D291" s="234" t="s">
        <v>1072</v>
      </c>
      <c r="E291" s="31">
        <v>1065</v>
      </c>
      <c r="F291" s="216">
        <v>0.71</v>
      </c>
      <c r="G291" s="31"/>
      <c r="H291" s="217"/>
    </row>
    <row r="292" spans="1:8" x14ac:dyDescent="0.2">
      <c r="A292" s="26"/>
      <c r="B292" s="26"/>
      <c r="C292" s="26" t="s">
        <v>5540</v>
      </c>
      <c r="D292" s="234" t="s">
        <v>1736</v>
      </c>
      <c r="E292" s="31">
        <v>903</v>
      </c>
      <c r="F292" s="216"/>
      <c r="G292" s="31"/>
      <c r="H292" s="217"/>
    </row>
    <row r="293" spans="1:8" x14ac:dyDescent="0.2">
      <c r="A293" s="26"/>
      <c r="B293" s="26"/>
      <c r="C293" s="26" t="s">
        <v>5541</v>
      </c>
      <c r="D293" s="234" t="s">
        <v>655</v>
      </c>
      <c r="E293" s="31">
        <v>358</v>
      </c>
      <c r="F293" s="216"/>
      <c r="G293" s="31"/>
      <c r="H293" s="217"/>
    </row>
    <row r="294" spans="1:8" x14ac:dyDescent="0.2">
      <c r="A294" s="26"/>
      <c r="B294" s="26"/>
      <c r="C294" s="26" t="s">
        <v>5542</v>
      </c>
      <c r="D294" s="234" t="s">
        <v>5496</v>
      </c>
      <c r="E294" s="31">
        <v>595</v>
      </c>
      <c r="F294" s="216">
        <v>10.64</v>
      </c>
      <c r="G294" s="31"/>
      <c r="H294" s="217"/>
    </row>
    <row r="295" spans="1:8" x14ac:dyDescent="0.2">
      <c r="A295" s="26"/>
      <c r="B295" s="26"/>
      <c r="C295" s="26" t="s">
        <v>2318</v>
      </c>
      <c r="D295" s="234"/>
      <c r="E295" s="218">
        <v>6505</v>
      </c>
      <c r="F295" s="219">
        <f>SUM(F290:F294)</f>
        <v>21.71</v>
      </c>
      <c r="G295" s="218">
        <v>10445</v>
      </c>
      <c r="H295" s="220">
        <v>62.3</v>
      </c>
    </row>
    <row r="296" spans="1:8" x14ac:dyDescent="0.2">
      <c r="A296" s="26"/>
      <c r="B296" s="26"/>
      <c r="C296" s="26"/>
      <c r="D296" s="234"/>
      <c r="E296" s="88"/>
      <c r="F296" s="84"/>
      <c r="G296" s="88"/>
      <c r="H296" s="235"/>
    </row>
    <row r="297" spans="1:8" x14ac:dyDescent="0.2">
      <c r="A297" s="26" t="s">
        <v>3262</v>
      </c>
      <c r="B297" s="26"/>
      <c r="C297" s="214" t="s">
        <v>5347</v>
      </c>
      <c r="D297" s="234" t="s">
        <v>1071</v>
      </c>
      <c r="E297" s="31">
        <v>2889</v>
      </c>
      <c r="F297" s="216">
        <v>29.83</v>
      </c>
      <c r="G297" s="31"/>
      <c r="H297" s="217"/>
    </row>
    <row r="298" spans="1:8" x14ac:dyDescent="0.2">
      <c r="A298" s="26"/>
      <c r="B298" s="26"/>
      <c r="C298" s="26" t="s">
        <v>5543</v>
      </c>
      <c r="D298" s="234" t="s">
        <v>1072</v>
      </c>
      <c r="E298" s="31">
        <v>1363</v>
      </c>
      <c r="F298" s="216">
        <v>14.62</v>
      </c>
      <c r="G298" s="31"/>
      <c r="H298" s="217"/>
    </row>
    <row r="299" spans="1:8" x14ac:dyDescent="0.2">
      <c r="A299" s="26"/>
      <c r="B299" s="26"/>
      <c r="C299" s="26" t="s">
        <v>5544</v>
      </c>
      <c r="D299" s="234" t="s">
        <v>655</v>
      </c>
      <c r="E299" s="31">
        <v>265</v>
      </c>
      <c r="F299" s="216"/>
      <c r="G299" s="31"/>
      <c r="H299" s="217"/>
    </row>
    <row r="300" spans="1:8" x14ac:dyDescent="0.2">
      <c r="A300" s="26"/>
      <c r="B300" s="26"/>
      <c r="C300" s="26" t="s">
        <v>5545</v>
      </c>
      <c r="D300" s="234" t="s">
        <v>1547</v>
      </c>
      <c r="E300" s="31">
        <v>215</v>
      </c>
      <c r="F300" s="216">
        <v>3.66</v>
      </c>
      <c r="G300" s="31"/>
      <c r="H300" s="217"/>
    </row>
    <row r="301" spans="1:8" x14ac:dyDescent="0.2">
      <c r="A301" s="26"/>
      <c r="B301" s="26"/>
      <c r="C301" s="26" t="s">
        <v>2318</v>
      </c>
      <c r="D301" s="234"/>
      <c r="E301" s="218">
        <v>4744</v>
      </c>
      <c r="F301" s="219">
        <f>SUM(F297:F300)</f>
        <v>48.11</v>
      </c>
      <c r="G301" s="218">
        <v>7027</v>
      </c>
      <c r="H301" s="220">
        <v>67.5</v>
      </c>
    </row>
    <row r="302" spans="1:8" x14ac:dyDescent="0.2">
      <c r="A302" s="26"/>
      <c r="B302" s="26"/>
      <c r="C302" s="26" t="s">
        <v>2318</v>
      </c>
      <c r="D302" s="234"/>
      <c r="E302" s="31"/>
      <c r="F302" s="216"/>
      <c r="G302" s="31"/>
      <c r="H302" s="217"/>
    </row>
    <row r="303" spans="1:8" x14ac:dyDescent="0.2">
      <c r="A303" s="26" t="s">
        <v>5366</v>
      </c>
      <c r="B303" s="26"/>
      <c r="C303" s="214" t="s">
        <v>5097</v>
      </c>
      <c r="D303" s="234" t="s">
        <v>1071</v>
      </c>
      <c r="E303" s="31">
        <v>5232</v>
      </c>
      <c r="F303" s="216">
        <v>46.47</v>
      </c>
      <c r="G303" s="31"/>
      <c r="H303" s="217"/>
    </row>
    <row r="304" spans="1:8" x14ac:dyDescent="0.2">
      <c r="A304" s="26"/>
      <c r="B304" s="26"/>
      <c r="C304" s="26" t="s">
        <v>5368</v>
      </c>
      <c r="D304" s="234" t="s">
        <v>1072</v>
      </c>
      <c r="E304" s="31">
        <v>2418</v>
      </c>
      <c r="F304" s="216">
        <v>3.24</v>
      </c>
      <c r="G304" s="31"/>
      <c r="H304" s="217"/>
    </row>
    <row r="305" spans="1:8" x14ac:dyDescent="0.2">
      <c r="A305" s="26"/>
      <c r="B305" s="26"/>
      <c r="C305" s="26" t="s">
        <v>5546</v>
      </c>
      <c r="D305" s="234" t="s">
        <v>655</v>
      </c>
      <c r="E305" s="31">
        <v>1262</v>
      </c>
      <c r="F305" s="216">
        <v>41.8</v>
      </c>
      <c r="G305" s="31"/>
      <c r="H305" s="217"/>
    </row>
    <row r="306" spans="1:8" x14ac:dyDescent="0.2">
      <c r="A306" s="26"/>
      <c r="B306" s="26"/>
      <c r="C306" s="26" t="s">
        <v>2318</v>
      </c>
      <c r="D306" s="234"/>
      <c r="E306" s="218">
        <v>8960</v>
      </c>
      <c r="F306" s="219">
        <f>SUM(F303:F305)</f>
        <v>91.509999999999991</v>
      </c>
      <c r="G306" s="218">
        <v>17345</v>
      </c>
      <c r="H306" s="220">
        <v>51.7</v>
      </c>
    </row>
    <row r="307" spans="1:8" x14ac:dyDescent="0.2">
      <c r="A307" s="26"/>
      <c r="B307" s="26"/>
      <c r="C307" s="26" t="s">
        <v>2318</v>
      </c>
      <c r="D307" s="234"/>
      <c r="E307" s="31"/>
      <c r="F307" s="216"/>
      <c r="G307" s="31"/>
      <c r="H307" s="217"/>
    </row>
    <row r="308" spans="1:8" x14ac:dyDescent="0.2">
      <c r="A308" s="26" t="s">
        <v>5370</v>
      </c>
      <c r="B308" s="26"/>
      <c r="C308" s="214" t="s">
        <v>5371</v>
      </c>
      <c r="D308" s="234" t="s">
        <v>1071</v>
      </c>
      <c r="E308" s="31">
        <v>6842</v>
      </c>
      <c r="F308" s="216">
        <v>46.47</v>
      </c>
      <c r="G308" s="31"/>
      <c r="H308" s="217"/>
    </row>
    <row r="309" spans="1:8" x14ac:dyDescent="0.2">
      <c r="A309" s="26"/>
      <c r="B309" s="26"/>
      <c r="C309" s="26" t="s">
        <v>5547</v>
      </c>
      <c r="D309" s="234" t="s">
        <v>1072</v>
      </c>
      <c r="E309" s="31">
        <v>1890</v>
      </c>
      <c r="F309" s="216">
        <v>3.24</v>
      </c>
      <c r="G309" s="31"/>
      <c r="H309" s="217"/>
    </row>
    <row r="310" spans="1:8" x14ac:dyDescent="0.2">
      <c r="A310" s="26"/>
      <c r="B310" s="26"/>
      <c r="C310" s="26" t="s">
        <v>5548</v>
      </c>
      <c r="D310" s="234" t="s">
        <v>1736</v>
      </c>
      <c r="E310" s="31">
        <v>2630</v>
      </c>
      <c r="F310" s="216">
        <v>41.8</v>
      </c>
      <c r="G310" s="31"/>
      <c r="H310" s="217"/>
    </row>
    <row r="311" spans="1:8" x14ac:dyDescent="0.2">
      <c r="A311" s="26"/>
      <c r="B311" s="26"/>
      <c r="C311" s="26" t="s">
        <v>5549</v>
      </c>
      <c r="D311" s="234" t="s">
        <v>655</v>
      </c>
      <c r="E311" s="31">
        <v>1457</v>
      </c>
      <c r="F311" s="216">
        <v>8.52</v>
      </c>
      <c r="G311" s="31"/>
      <c r="H311" s="217"/>
    </row>
    <row r="312" spans="1:8" x14ac:dyDescent="0.2">
      <c r="A312" s="26"/>
      <c r="B312" s="26"/>
      <c r="C312" s="26" t="s">
        <v>2318</v>
      </c>
      <c r="D312" s="234"/>
      <c r="E312" s="218">
        <v>12856</v>
      </c>
      <c r="F312" s="219">
        <f>SUM(F308:F311)</f>
        <v>100.02999999999999</v>
      </c>
      <c r="G312" s="218">
        <v>24017</v>
      </c>
      <c r="H312" s="220">
        <v>53.5</v>
      </c>
    </row>
    <row r="313" spans="1:8" x14ac:dyDescent="0.2">
      <c r="A313" s="26"/>
      <c r="B313" s="26"/>
      <c r="C313" s="26" t="s">
        <v>2318</v>
      </c>
      <c r="D313" s="234"/>
      <c r="E313" s="31"/>
      <c r="F313" s="216"/>
      <c r="G313" s="31"/>
      <c r="H313" s="217"/>
    </row>
    <row r="314" spans="1:8" x14ac:dyDescent="0.2">
      <c r="A314" s="26" t="s">
        <v>5378</v>
      </c>
      <c r="B314" s="26"/>
      <c r="C314" s="214" t="s">
        <v>5379</v>
      </c>
      <c r="D314" s="234" t="s">
        <v>1071</v>
      </c>
      <c r="E314" s="31">
        <v>5029</v>
      </c>
      <c r="F314" s="216">
        <v>46.47</v>
      </c>
      <c r="G314" s="31"/>
      <c r="H314" s="217"/>
    </row>
    <row r="315" spans="1:8" x14ac:dyDescent="0.2">
      <c r="A315" s="26"/>
      <c r="B315" s="26"/>
      <c r="C315" s="26" t="s">
        <v>5550</v>
      </c>
      <c r="D315" s="234" t="s">
        <v>1072</v>
      </c>
      <c r="E315" s="31">
        <v>2557</v>
      </c>
      <c r="F315" s="216">
        <v>3.24</v>
      </c>
      <c r="G315" s="31"/>
      <c r="H315" s="217"/>
    </row>
    <row r="316" spans="1:8" x14ac:dyDescent="0.2">
      <c r="A316" s="26"/>
      <c r="B316" s="26"/>
      <c r="C316" s="26" t="s">
        <v>5551</v>
      </c>
      <c r="D316" s="234" t="s">
        <v>1736</v>
      </c>
      <c r="E316" s="31">
        <v>1863</v>
      </c>
      <c r="F316" s="216">
        <v>41.8</v>
      </c>
      <c r="G316" s="31"/>
      <c r="H316" s="217"/>
    </row>
    <row r="317" spans="1:8" x14ac:dyDescent="0.2">
      <c r="A317" s="26"/>
      <c r="B317" s="26"/>
      <c r="C317" s="26" t="s">
        <v>5552</v>
      </c>
      <c r="D317" s="234" t="s">
        <v>655</v>
      </c>
      <c r="E317" s="31">
        <v>936</v>
      </c>
      <c r="F317" s="216">
        <v>8.52</v>
      </c>
      <c r="G317" s="31"/>
      <c r="H317" s="217"/>
    </row>
    <row r="318" spans="1:8" x14ac:dyDescent="0.2">
      <c r="A318" s="26"/>
      <c r="B318" s="26"/>
      <c r="C318" s="26" t="s">
        <v>2318</v>
      </c>
      <c r="D318" s="234"/>
      <c r="E318" s="218">
        <v>10594</v>
      </c>
      <c r="F318" s="219">
        <f>SUM(F314:F317)</f>
        <v>100.02999999999999</v>
      </c>
      <c r="G318" s="218">
        <v>17738</v>
      </c>
      <c r="H318" s="220">
        <v>59.7</v>
      </c>
    </row>
    <row r="319" spans="1:8" x14ac:dyDescent="0.2">
      <c r="A319" s="26"/>
      <c r="B319" s="26"/>
      <c r="C319" s="26" t="s">
        <v>2318</v>
      </c>
      <c r="D319" s="234"/>
      <c r="E319" s="31"/>
      <c r="F319" s="216"/>
      <c r="G319" s="31"/>
      <c r="H319" s="217"/>
    </row>
    <row r="320" spans="1:8" x14ac:dyDescent="0.2">
      <c r="A320" s="26" t="s">
        <v>1979</v>
      </c>
      <c r="B320" s="26"/>
      <c r="C320" s="214" t="s">
        <v>5553</v>
      </c>
      <c r="D320" s="234" t="s">
        <v>1071</v>
      </c>
      <c r="E320" s="31" t="s">
        <v>5554</v>
      </c>
      <c r="F320" s="216"/>
      <c r="G320" s="31"/>
      <c r="H320" s="217"/>
    </row>
    <row r="321" spans="1:8" x14ac:dyDescent="0.2">
      <c r="A321" s="26"/>
      <c r="B321" s="26"/>
      <c r="C321" s="26" t="s">
        <v>2318</v>
      </c>
      <c r="D321" s="234"/>
      <c r="E321" s="218" t="s">
        <v>5555</v>
      </c>
      <c r="F321" s="219"/>
      <c r="G321" s="218">
        <v>8765</v>
      </c>
      <c r="H321" s="220"/>
    </row>
    <row r="322" spans="1:8" x14ac:dyDescent="0.2">
      <c r="A322" s="26"/>
      <c r="B322" s="26"/>
      <c r="C322" s="26" t="s">
        <v>2318</v>
      </c>
      <c r="D322" s="234"/>
      <c r="E322" s="31"/>
      <c r="F322" s="216"/>
      <c r="G322" s="31"/>
      <c r="H322" s="217"/>
    </row>
    <row r="323" spans="1:8" x14ac:dyDescent="0.2">
      <c r="A323" s="26" t="s">
        <v>3087</v>
      </c>
      <c r="B323" s="26"/>
      <c r="C323" s="214" t="s">
        <v>5556</v>
      </c>
      <c r="D323" s="234" t="s">
        <v>1071</v>
      </c>
      <c r="E323" s="31">
        <v>3385</v>
      </c>
      <c r="F323" s="216">
        <v>35.909999999999997</v>
      </c>
      <c r="G323" s="31"/>
      <c r="H323" s="217"/>
    </row>
    <row r="324" spans="1:8" x14ac:dyDescent="0.2">
      <c r="A324" s="26"/>
      <c r="B324" s="26"/>
      <c r="C324" s="26" t="s">
        <v>5385</v>
      </c>
      <c r="D324" s="234" t="s">
        <v>1072</v>
      </c>
      <c r="E324" s="31">
        <v>1728</v>
      </c>
      <c r="F324" s="216">
        <v>59.42</v>
      </c>
      <c r="G324" s="31"/>
      <c r="H324" s="217"/>
    </row>
    <row r="325" spans="1:8" x14ac:dyDescent="0.2">
      <c r="A325" s="26"/>
      <c r="B325" s="26"/>
      <c r="C325" s="26" t="s">
        <v>5557</v>
      </c>
      <c r="D325" s="234" t="s">
        <v>655</v>
      </c>
      <c r="E325" s="31">
        <v>257</v>
      </c>
      <c r="F325" s="216"/>
      <c r="G325" s="31"/>
      <c r="H325" s="217"/>
    </row>
    <row r="326" spans="1:8" x14ac:dyDescent="0.2">
      <c r="A326" s="26"/>
      <c r="B326" s="26"/>
      <c r="C326" s="26" t="s">
        <v>2318</v>
      </c>
      <c r="D326" s="234"/>
      <c r="E326" s="218">
        <v>5399</v>
      </c>
      <c r="F326" s="219">
        <f>SUM(F323:F325)</f>
        <v>95.33</v>
      </c>
      <c r="G326" s="218">
        <v>7887</v>
      </c>
      <c r="H326" s="220">
        <v>68.400000000000006</v>
      </c>
    </row>
    <row r="327" spans="1:8" x14ac:dyDescent="0.2">
      <c r="A327" s="26"/>
      <c r="B327" s="26"/>
      <c r="C327" s="26" t="s">
        <v>2318</v>
      </c>
      <c r="D327" s="234"/>
      <c r="E327" s="31"/>
      <c r="F327" s="216"/>
      <c r="G327" s="31"/>
      <c r="H327" s="217"/>
    </row>
    <row r="328" spans="1:8" x14ac:dyDescent="0.2">
      <c r="A328" s="26" t="s">
        <v>5388</v>
      </c>
      <c r="B328" s="26"/>
      <c r="C328" s="214" t="s">
        <v>5389</v>
      </c>
      <c r="D328" s="234" t="s">
        <v>1071</v>
      </c>
      <c r="E328" s="31">
        <v>2925</v>
      </c>
      <c r="F328" s="216">
        <v>31.91</v>
      </c>
      <c r="G328" s="31"/>
      <c r="H328" s="217"/>
    </row>
    <row r="329" spans="1:8" x14ac:dyDescent="0.2">
      <c r="A329" s="26"/>
      <c r="B329" s="26"/>
      <c r="C329" s="26" t="s">
        <v>5558</v>
      </c>
      <c r="D329" s="234" t="s">
        <v>1072</v>
      </c>
      <c r="E329" s="31">
        <v>675</v>
      </c>
      <c r="F329" s="216">
        <v>15.5</v>
      </c>
      <c r="G329" s="31"/>
      <c r="H329" s="217"/>
    </row>
    <row r="330" spans="1:8" x14ac:dyDescent="0.2">
      <c r="A330" s="26"/>
      <c r="B330" s="26"/>
      <c r="C330" s="26" t="s">
        <v>5559</v>
      </c>
      <c r="D330" s="234" t="s">
        <v>1736</v>
      </c>
      <c r="E330" s="31">
        <v>1194</v>
      </c>
      <c r="F330" s="216"/>
      <c r="G330" s="31"/>
      <c r="H330" s="217"/>
    </row>
    <row r="331" spans="1:8" x14ac:dyDescent="0.2">
      <c r="A331" s="26"/>
      <c r="B331" s="26"/>
      <c r="C331" s="26" t="s">
        <v>5391</v>
      </c>
      <c r="D331" s="234" t="s">
        <v>655</v>
      </c>
      <c r="E331" s="31">
        <v>851</v>
      </c>
      <c r="F331" s="216"/>
      <c r="G331" s="31"/>
      <c r="H331" s="217"/>
    </row>
    <row r="332" spans="1:8" x14ac:dyDescent="0.2">
      <c r="A332" s="26"/>
      <c r="B332" s="26"/>
      <c r="C332" s="26" t="s">
        <v>5560</v>
      </c>
      <c r="D332" s="234" t="s">
        <v>4860</v>
      </c>
      <c r="E332" s="31">
        <v>189</v>
      </c>
      <c r="F332" s="216">
        <v>3.45</v>
      </c>
      <c r="G332" s="31"/>
      <c r="H332" s="217"/>
    </row>
    <row r="333" spans="1:8" x14ac:dyDescent="0.2">
      <c r="A333" s="26"/>
      <c r="B333" s="26"/>
      <c r="C333" s="26" t="s">
        <v>2318</v>
      </c>
      <c r="D333" s="234"/>
      <c r="E333" s="218">
        <v>5846</v>
      </c>
      <c r="F333" s="219">
        <f>SUM(F328:F332)</f>
        <v>50.86</v>
      </c>
      <c r="G333" s="218">
        <v>9153</v>
      </c>
      <c r="H333" s="220">
        <v>63.9</v>
      </c>
    </row>
    <row r="334" spans="1:8" x14ac:dyDescent="0.2">
      <c r="A334" s="26"/>
      <c r="B334" s="26"/>
      <c r="C334" s="26" t="s">
        <v>2318</v>
      </c>
      <c r="D334" s="234"/>
      <c r="E334" s="31"/>
      <c r="F334" s="216"/>
      <c r="G334" s="31"/>
      <c r="H334" s="217"/>
    </row>
    <row r="335" spans="1:8" x14ac:dyDescent="0.2">
      <c r="A335" s="26" t="s">
        <v>1309</v>
      </c>
      <c r="B335" s="26"/>
      <c r="C335" s="214" t="s">
        <v>5393</v>
      </c>
      <c r="D335" s="234" t="s">
        <v>1071</v>
      </c>
      <c r="E335" s="31">
        <v>2964</v>
      </c>
      <c r="F335" s="216">
        <v>13.76</v>
      </c>
      <c r="G335" s="31"/>
      <c r="H335" s="217"/>
    </row>
    <row r="336" spans="1:8" x14ac:dyDescent="0.2">
      <c r="A336" s="26"/>
      <c r="B336" s="26"/>
      <c r="C336" s="26" t="s">
        <v>5561</v>
      </c>
      <c r="D336" s="234" t="s">
        <v>1072</v>
      </c>
      <c r="E336" s="31">
        <v>837</v>
      </c>
      <c r="F336" s="216">
        <v>32.74</v>
      </c>
      <c r="G336" s="31"/>
      <c r="H336" s="217"/>
    </row>
    <row r="337" spans="1:8" x14ac:dyDescent="0.2">
      <c r="A337" s="26"/>
      <c r="B337" s="26"/>
      <c r="C337" s="26" t="s">
        <v>5562</v>
      </c>
      <c r="D337" s="234" t="s">
        <v>655</v>
      </c>
      <c r="E337" s="31">
        <v>545</v>
      </c>
      <c r="F337" s="216">
        <v>1.85</v>
      </c>
      <c r="G337" s="31"/>
      <c r="H337" s="217"/>
    </row>
    <row r="338" spans="1:8" x14ac:dyDescent="0.2">
      <c r="A338" s="26"/>
      <c r="B338" s="26"/>
      <c r="C338" s="26" t="s">
        <v>2318</v>
      </c>
      <c r="D338" s="234"/>
      <c r="E338" s="218">
        <v>4354</v>
      </c>
      <c r="F338" s="219">
        <f>SUM(F335:F337)</f>
        <v>48.35</v>
      </c>
      <c r="G338" s="218">
        <v>6605</v>
      </c>
      <c r="H338" s="220">
        <v>65.900000000000006</v>
      </c>
    </row>
    <row r="339" spans="1:8" x14ac:dyDescent="0.2">
      <c r="A339" s="26"/>
      <c r="B339" s="26"/>
      <c r="C339" s="26" t="s">
        <v>2318</v>
      </c>
      <c r="D339" s="234"/>
      <c r="E339" s="31"/>
      <c r="F339" s="216"/>
      <c r="G339" s="31"/>
      <c r="H339" s="217"/>
    </row>
    <row r="340" spans="1:8" x14ac:dyDescent="0.2">
      <c r="A340" s="26" t="s">
        <v>2564</v>
      </c>
      <c r="B340" s="26"/>
      <c r="C340" s="214" t="s">
        <v>5396</v>
      </c>
      <c r="D340" s="234" t="s">
        <v>1071</v>
      </c>
      <c r="E340" s="31">
        <v>3465</v>
      </c>
      <c r="F340" s="216">
        <v>34.04</v>
      </c>
      <c r="G340" s="31"/>
      <c r="H340" s="217"/>
    </row>
    <row r="341" spans="1:8" x14ac:dyDescent="0.2">
      <c r="A341" s="26"/>
      <c r="B341" s="26"/>
      <c r="C341" s="26" t="s">
        <v>5563</v>
      </c>
      <c r="D341" s="234" t="s">
        <v>1072</v>
      </c>
      <c r="E341" s="31">
        <v>668</v>
      </c>
      <c r="F341" s="216"/>
      <c r="G341" s="31"/>
      <c r="H341" s="217"/>
    </row>
    <row r="342" spans="1:8" x14ac:dyDescent="0.2">
      <c r="A342" s="26"/>
      <c r="B342" s="26"/>
      <c r="C342" s="26" t="s">
        <v>5564</v>
      </c>
      <c r="D342" s="234" t="s">
        <v>655</v>
      </c>
      <c r="E342" s="31">
        <v>387</v>
      </c>
      <c r="F342" s="216">
        <v>8.24</v>
      </c>
      <c r="G342" s="31"/>
      <c r="H342" s="217"/>
    </row>
    <row r="343" spans="1:8" x14ac:dyDescent="0.2">
      <c r="A343" s="26"/>
      <c r="B343" s="26"/>
      <c r="C343" s="26" t="s">
        <v>2318</v>
      </c>
      <c r="D343" s="234"/>
      <c r="E343" s="218">
        <v>4544</v>
      </c>
      <c r="F343" s="219">
        <f>SUM(F340:F342)</f>
        <v>42.28</v>
      </c>
      <c r="G343" s="218">
        <v>7284</v>
      </c>
      <c r="H343" s="220">
        <v>62.4</v>
      </c>
    </row>
    <row r="344" spans="1:8" x14ac:dyDescent="0.2">
      <c r="A344" s="26"/>
      <c r="B344" s="26"/>
      <c r="C344" s="26"/>
      <c r="D344" s="234"/>
      <c r="E344" s="88"/>
      <c r="F344" s="84"/>
      <c r="G344" s="88"/>
      <c r="H344" s="235"/>
    </row>
    <row r="345" spans="1:8" x14ac:dyDescent="0.2">
      <c r="A345" s="26" t="s">
        <v>1311</v>
      </c>
      <c r="B345" s="26"/>
      <c r="C345" s="214" t="s">
        <v>5397</v>
      </c>
      <c r="D345" s="234" t="s">
        <v>1071</v>
      </c>
      <c r="E345" s="31">
        <v>3333</v>
      </c>
      <c r="F345" s="216">
        <v>13.76</v>
      </c>
      <c r="G345" s="31"/>
      <c r="H345" s="217"/>
    </row>
    <row r="346" spans="1:8" x14ac:dyDescent="0.2">
      <c r="A346" s="26"/>
      <c r="B346" s="26"/>
      <c r="C346" s="26" t="s">
        <v>5565</v>
      </c>
      <c r="D346" s="234" t="s">
        <v>1072</v>
      </c>
      <c r="E346" s="31">
        <v>1298</v>
      </c>
      <c r="F346" s="216">
        <v>32.74</v>
      </c>
      <c r="G346" s="31"/>
      <c r="H346" s="217"/>
    </row>
    <row r="347" spans="1:8" x14ac:dyDescent="0.2">
      <c r="A347" s="26"/>
      <c r="B347" s="26"/>
      <c r="C347" s="26" t="s">
        <v>5566</v>
      </c>
      <c r="D347" s="234" t="s">
        <v>655</v>
      </c>
      <c r="E347" s="31">
        <v>823</v>
      </c>
      <c r="F347" s="216">
        <v>1.85</v>
      </c>
      <c r="G347" s="31"/>
      <c r="H347" s="217"/>
    </row>
    <row r="348" spans="1:8" x14ac:dyDescent="0.2">
      <c r="A348" s="26"/>
      <c r="B348" s="26"/>
      <c r="C348" s="26" t="s">
        <v>2318</v>
      </c>
      <c r="D348" s="234"/>
      <c r="E348" s="218">
        <v>5463</v>
      </c>
      <c r="F348" s="219">
        <f>SUM(F345:F347)</f>
        <v>48.35</v>
      </c>
      <c r="G348" s="218">
        <v>8601</v>
      </c>
      <c r="H348" s="220">
        <v>63.5</v>
      </c>
    </row>
    <row r="349" spans="1:8" x14ac:dyDescent="0.2">
      <c r="A349" s="26"/>
      <c r="B349" s="26"/>
      <c r="C349" s="26" t="s">
        <v>2318</v>
      </c>
      <c r="D349" s="234"/>
      <c r="E349" s="31"/>
      <c r="F349" s="216"/>
      <c r="G349" s="31"/>
      <c r="H349" s="217"/>
    </row>
    <row r="350" spans="1:8" x14ac:dyDescent="0.2">
      <c r="A350" s="26" t="s">
        <v>5398</v>
      </c>
      <c r="B350" s="26"/>
      <c r="C350" s="214" t="s">
        <v>5399</v>
      </c>
      <c r="D350" s="234" t="s">
        <v>1071</v>
      </c>
      <c r="E350" s="31">
        <v>2315</v>
      </c>
      <c r="F350" s="216">
        <v>34.04</v>
      </c>
      <c r="G350" s="31"/>
      <c r="H350" s="217"/>
    </row>
    <row r="351" spans="1:8" x14ac:dyDescent="0.2">
      <c r="A351" s="26"/>
      <c r="B351" s="26"/>
      <c r="C351" s="26" t="s">
        <v>5567</v>
      </c>
      <c r="D351" s="234" t="s">
        <v>1072</v>
      </c>
      <c r="E351" s="31">
        <v>283</v>
      </c>
      <c r="F351" s="216"/>
      <c r="G351" s="31"/>
      <c r="H351" s="217"/>
    </row>
    <row r="352" spans="1:8" x14ac:dyDescent="0.2">
      <c r="A352" s="26"/>
      <c r="B352" s="26"/>
      <c r="C352" s="26" t="s">
        <v>5568</v>
      </c>
      <c r="D352" s="234" t="s">
        <v>1736</v>
      </c>
      <c r="E352" s="31">
        <v>993</v>
      </c>
      <c r="F352" s="216"/>
      <c r="G352" s="31"/>
      <c r="H352" s="217"/>
    </row>
    <row r="353" spans="1:8" x14ac:dyDescent="0.2">
      <c r="A353" s="26"/>
      <c r="B353" s="26"/>
      <c r="C353" s="26" t="s">
        <v>5569</v>
      </c>
      <c r="D353" s="234" t="s">
        <v>655</v>
      </c>
      <c r="E353" s="31">
        <v>496</v>
      </c>
      <c r="F353" s="216"/>
      <c r="G353" s="31"/>
      <c r="H353" s="217"/>
    </row>
    <row r="354" spans="1:8" x14ac:dyDescent="0.2">
      <c r="A354" s="26"/>
      <c r="B354" s="26"/>
      <c r="C354" s="26" t="s">
        <v>2318</v>
      </c>
      <c r="D354" s="234"/>
      <c r="E354" s="218">
        <v>4095</v>
      </c>
      <c r="F354" s="219">
        <f>SUM(F350:F351)</f>
        <v>34.04</v>
      </c>
      <c r="G354" s="218">
        <v>6009</v>
      </c>
      <c r="H354" s="220">
        <v>68.099999999999994</v>
      </c>
    </row>
    <row r="355" spans="1:8" x14ac:dyDescent="0.2">
      <c r="A355" s="26"/>
      <c r="B355" s="26"/>
      <c r="C355" s="234"/>
      <c r="D355" s="234"/>
      <c r="E355" s="223"/>
      <c r="F355" s="217"/>
      <c r="G355" s="223"/>
      <c r="H355" s="217"/>
    </row>
    <row r="356" spans="1:8" x14ac:dyDescent="0.2">
      <c r="A356" s="145" t="s">
        <v>1131</v>
      </c>
      <c r="B356" s="145"/>
      <c r="C356" s="145"/>
      <c r="D356" s="146"/>
      <c r="E356" s="147">
        <v>404808</v>
      </c>
      <c r="F356" s="148"/>
      <c r="G356" s="147">
        <v>720910</v>
      </c>
      <c r="H356" s="148">
        <v>56.1</v>
      </c>
    </row>
    <row r="357" spans="1:8" x14ac:dyDescent="0.2">
      <c r="A357" s="77"/>
      <c r="B357" s="77"/>
      <c r="C357" s="77"/>
      <c r="D357" s="78"/>
      <c r="E357" s="88"/>
      <c r="F357" s="84"/>
      <c r="G357" s="88"/>
      <c r="H357" s="84"/>
    </row>
    <row r="358" spans="1:8" x14ac:dyDescent="0.2">
      <c r="A358" s="227" t="s">
        <v>1289</v>
      </c>
      <c r="B358" s="227"/>
      <c r="C358" s="228"/>
      <c r="D358" s="228"/>
      <c r="E358" s="229"/>
      <c r="F358" s="230"/>
      <c r="G358" s="231"/>
      <c r="H358" s="232"/>
    </row>
    <row r="359" spans="1:8" x14ac:dyDescent="0.2">
      <c r="A359" s="276" t="s">
        <v>2934</v>
      </c>
      <c r="B359" s="276"/>
      <c r="C359" s="276"/>
      <c r="D359" s="276"/>
      <c r="E359" s="276"/>
      <c r="F359" s="276"/>
      <c r="G359" s="276"/>
      <c r="H359" s="276"/>
    </row>
    <row r="360" spans="1:8" x14ac:dyDescent="0.2">
      <c r="A360" s="276" t="s">
        <v>4764</v>
      </c>
      <c r="B360" s="276"/>
      <c r="C360" s="276"/>
      <c r="D360" s="276"/>
      <c r="E360" s="276"/>
      <c r="F360" s="276"/>
      <c r="G360" s="276"/>
      <c r="H360" s="276"/>
    </row>
    <row r="361" spans="1:8" x14ac:dyDescent="0.2">
      <c r="A361" s="26" t="s">
        <v>4774</v>
      </c>
      <c r="B361" s="26"/>
      <c r="C361" s="26"/>
      <c r="D361" s="234"/>
      <c r="E361" s="31"/>
      <c r="F361" s="216"/>
      <c r="G361" s="31"/>
      <c r="H361" s="217"/>
    </row>
  </sheetData>
  <mergeCells count="4">
    <mergeCell ref="A1:H1"/>
    <mergeCell ref="F2:H2"/>
    <mergeCell ref="A359:H359"/>
    <mergeCell ref="A360:H360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6"/>
  <sheetViews>
    <sheetView topLeftCell="A327" workbookViewId="0">
      <selection activeCell="E373" sqref="E373"/>
    </sheetView>
  </sheetViews>
  <sheetFormatPr defaultRowHeight="12.75" x14ac:dyDescent="0.2"/>
  <cols>
    <col min="1" max="1" width="11.85546875" style="209" customWidth="1"/>
    <col min="2" max="2" width="9.140625" style="209"/>
    <col min="3" max="3" width="23.140625" style="209" bestFit="1" customWidth="1"/>
    <col min="4" max="4" width="22.28515625" style="209" bestFit="1" customWidth="1"/>
    <col min="5" max="5" width="12.85546875" style="209" customWidth="1"/>
    <col min="6" max="16384" width="9.140625" style="209"/>
  </cols>
  <sheetData>
    <row r="1" spans="1:10" ht="15.75" x14ac:dyDescent="0.2">
      <c r="A1" s="270" t="s">
        <v>2332</v>
      </c>
      <c r="B1" s="270"/>
      <c r="C1" s="270"/>
      <c r="D1" s="270"/>
      <c r="E1" s="270"/>
      <c r="F1" s="270"/>
      <c r="G1" s="270"/>
      <c r="H1" s="270"/>
    </row>
    <row r="2" spans="1:10" ht="13.5" thickBot="1" x14ac:dyDescent="0.25">
      <c r="A2" s="210" t="s">
        <v>4782</v>
      </c>
      <c r="B2" s="210"/>
      <c r="C2" s="210" t="s">
        <v>5183</v>
      </c>
      <c r="D2" s="211" t="s">
        <v>5184</v>
      </c>
      <c r="E2" s="212"/>
      <c r="F2" s="275" t="s">
        <v>2933</v>
      </c>
      <c r="G2" s="275"/>
      <c r="H2" s="275"/>
    </row>
    <row r="3" spans="1:10" ht="39" thickBot="1" x14ac:dyDescent="0.25">
      <c r="A3" s="58" t="s">
        <v>1284</v>
      </c>
      <c r="B3" s="59"/>
      <c r="C3" s="59" t="s">
        <v>1300</v>
      </c>
      <c r="D3" s="59" t="s">
        <v>2652</v>
      </c>
      <c r="E3" s="73" t="s">
        <v>4765</v>
      </c>
      <c r="F3" s="74" t="s">
        <v>1286</v>
      </c>
      <c r="G3" s="73" t="s">
        <v>1287</v>
      </c>
      <c r="H3" s="74" t="s">
        <v>4766</v>
      </c>
      <c r="J3" s="213"/>
    </row>
    <row r="4" spans="1:10" x14ac:dyDescent="0.2">
      <c r="A4" s="60"/>
      <c r="B4" s="60"/>
      <c r="C4" s="61"/>
      <c r="D4" s="66"/>
      <c r="E4" s="87"/>
      <c r="F4" s="80"/>
      <c r="G4" s="87"/>
      <c r="H4" s="80"/>
    </row>
    <row r="5" spans="1:10" x14ac:dyDescent="0.2">
      <c r="A5" s="242" t="s">
        <v>3267</v>
      </c>
      <c r="B5" s="243"/>
      <c r="C5" s="244" t="s">
        <v>5185</v>
      </c>
      <c r="D5" s="242" t="s">
        <v>1071</v>
      </c>
      <c r="E5" s="245">
        <v>2880</v>
      </c>
      <c r="F5" s="246">
        <v>55.4</v>
      </c>
      <c r="G5" s="245"/>
      <c r="H5" s="246"/>
    </row>
    <row r="6" spans="1:10" x14ac:dyDescent="0.2">
      <c r="A6" s="243"/>
      <c r="B6" s="243"/>
      <c r="C6" s="241" t="s">
        <v>5186</v>
      </c>
      <c r="D6" s="234" t="s">
        <v>1736</v>
      </c>
      <c r="E6" s="245">
        <v>940</v>
      </c>
      <c r="F6" s="246">
        <v>7.4</v>
      </c>
      <c r="G6" s="245"/>
      <c r="H6" s="246"/>
    </row>
    <row r="7" spans="1:10" x14ac:dyDescent="0.2">
      <c r="A7" s="243"/>
      <c r="B7" s="243"/>
      <c r="C7" s="241" t="s">
        <v>5187</v>
      </c>
      <c r="D7" s="234" t="s">
        <v>655</v>
      </c>
      <c r="E7" s="245">
        <v>835</v>
      </c>
      <c r="F7" s="246"/>
      <c r="G7" s="245"/>
      <c r="H7" s="246"/>
    </row>
    <row r="8" spans="1:10" x14ac:dyDescent="0.2">
      <c r="A8" s="243"/>
      <c r="B8" s="243"/>
      <c r="C8" s="241" t="s">
        <v>5188</v>
      </c>
      <c r="D8" s="242" t="s">
        <v>1072</v>
      </c>
      <c r="E8" s="245">
        <v>304</v>
      </c>
      <c r="F8" s="246">
        <v>13.2</v>
      </c>
      <c r="G8" s="245"/>
      <c r="H8" s="246"/>
    </row>
    <row r="9" spans="1:10" x14ac:dyDescent="0.2">
      <c r="A9" s="243"/>
      <c r="B9" s="243"/>
      <c r="C9" s="241" t="s">
        <v>2318</v>
      </c>
      <c r="D9" s="242"/>
      <c r="E9" s="245">
        <v>4978</v>
      </c>
      <c r="F9" s="246">
        <v>100</v>
      </c>
      <c r="G9" s="245">
        <v>7839</v>
      </c>
      <c r="H9" s="246">
        <v>63.5</v>
      </c>
    </row>
    <row r="10" spans="1:10" x14ac:dyDescent="0.2">
      <c r="A10" s="237"/>
      <c r="B10" s="237"/>
      <c r="C10" s="76"/>
      <c r="D10" s="238"/>
      <c r="E10" s="239"/>
      <c r="F10" s="240"/>
      <c r="G10" s="239"/>
      <c r="H10" s="240"/>
    </row>
    <row r="11" spans="1:10" x14ac:dyDescent="0.2">
      <c r="A11" s="26" t="s">
        <v>2266</v>
      </c>
      <c r="B11" s="26"/>
      <c r="C11" s="214" t="s">
        <v>5189</v>
      </c>
      <c r="D11" s="234" t="s">
        <v>1071</v>
      </c>
      <c r="E11" s="31">
        <v>1733</v>
      </c>
      <c r="F11" s="216">
        <v>55.4</v>
      </c>
      <c r="G11" s="31"/>
      <c r="H11" s="217"/>
    </row>
    <row r="12" spans="1:10" x14ac:dyDescent="0.2">
      <c r="A12" s="26"/>
      <c r="B12" s="26"/>
      <c r="C12" s="26" t="s">
        <v>5190</v>
      </c>
      <c r="D12" s="234" t="s">
        <v>655</v>
      </c>
      <c r="E12" s="31">
        <v>1170</v>
      </c>
      <c r="F12" s="216">
        <v>7.4</v>
      </c>
      <c r="G12" s="31"/>
      <c r="H12" s="217"/>
    </row>
    <row r="13" spans="1:10" x14ac:dyDescent="0.2">
      <c r="A13" s="26"/>
      <c r="B13" s="26"/>
      <c r="C13" s="26" t="s">
        <v>5191</v>
      </c>
      <c r="D13" s="234" t="s">
        <v>1072</v>
      </c>
      <c r="E13" s="31">
        <v>939</v>
      </c>
      <c r="F13" s="216">
        <v>13.2</v>
      </c>
      <c r="G13" s="31"/>
      <c r="H13" s="217"/>
    </row>
    <row r="14" spans="1:10" x14ac:dyDescent="0.2">
      <c r="A14" s="26"/>
      <c r="B14" s="26"/>
      <c r="C14" s="26" t="s">
        <v>2318</v>
      </c>
      <c r="D14" s="234"/>
      <c r="E14" s="218">
        <v>3844</v>
      </c>
      <c r="F14" s="219">
        <v>100</v>
      </c>
      <c r="G14" s="218">
        <v>5604</v>
      </c>
      <c r="H14" s="220">
        <v>68.599999999999994</v>
      </c>
    </row>
    <row r="15" spans="1:10" x14ac:dyDescent="0.2">
      <c r="A15" s="26"/>
      <c r="B15" s="26"/>
      <c r="C15" s="26" t="s">
        <v>2318</v>
      </c>
      <c r="D15" s="234"/>
      <c r="E15" s="31"/>
      <c r="F15" s="216"/>
      <c r="G15" s="31"/>
      <c r="H15" s="217"/>
    </row>
    <row r="16" spans="1:10" x14ac:dyDescent="0.2">
      <c r="A16" s="26" t="s">
        <v>1008</v>
      </c>
      <c r="B16" s="26"/>
      <c r="C16" s="214" t="s">
        <v>5010</v>
      </c>
      <c r="D16" s="234" t="s">
        <v>653</v>
      </c>
      <c r="E16" s="31">
        <v>2428</v>
      </c>
      <c r="F16" s="216">
        <v>17.5</v>
      </c>
      <c r="G16" s="31"/>
      <c r="H16" s="217"/>
    </row>
    <row r="17" spans="1:8" x14ac:dyDescent="0.2">
      <c r="A17" s="26"/>
      <c r="B17" s="26"/>
      <c r="C17" s="26" t="s">
        <v>4800</v>
      </c>
      <c r="D17" s="234" t="s">
        <v>1071</v>
      </c>
      <c r="E17" s="31">
        <v>2066</v>
      </c>
      <c r="F17" s="216">
        <v>9.1</v>
      </c>
      <c r="G17" s="31"/>
      <c r="H17" s="217"/>
    </row>
    <row r="18" spans="1:8" x14ac:dyDescent="0.2">
      <c r="A18" s="26"/>
      <c r="B18" s="26"/>
      <c r="C18" s="26" t="s">
        <v>5192</v>
      </c>
      <c r="D18" s="234" t="s">
        <v>655</v>
      </c>
      <c r="E18" s="31">
        <v>374</v>
      </c>
      <c r="F18" s="216">
        <v>6.5</v>
      </c>
      <c r="G18" s="31"/>
      <c r="H18" s="217"/>
    </row>
    <row r="19" spans="1:8" x14ac:dyDescent="0.2">
      <c r="A19" s="26"/>
      <c r="B19" s="26"/>
      <c r="C19" s="26" t="s">
        <v>2318</v>
      </c>
      <c r="D19" s="234"/>
      <c r="E19" s="218">
        <v>4899</v>
      </c>
      <c r="F19" s="219">
        <f>SUM(F16:F18)</f>
        <v>33.1</v>
      </c>
      <c r="G19" s="218">
        <v>7653</v>
      </c>
      <c r="H19" s="220">
        <v>64</v>
      </c>
    </row>
    <row r="20" spans="1:8" x14ac:dyDescent="0.2">
      <c r="A20" s="26"/>
      <c r="B20" s="26"/>
      <c r="C20" s="26" t="s">
        <v>2318</v>
      </c>
      <c r="D20" s="234"/>
      <c r="E20" s="31"/>
      <c r="F20" s="216"/>
      <c r="G20" s="31"/>
      <c r="H20" s="217"/>
    </row>
    <row r="21" spans="1:8" x14ac:dyDescent="0.2">
      <c r="A21" s="26" t="s">
        <v>1974</v>
      </c>
      <c r="B21" s="26"/>
      <c r="C21" s="214" t="s">
        <v>5193</v>
      </c>
      <c r="D21" s="234" t="s">
        <v>1071</v>
      </c>
      <c r="E21" s="31">
        <v>2339</v>
      </c>
      <c r="F21" s="216">
        <v>3</v>
      </c>
      <c r="G21" s="31"/>
      <c r="H21" s="217"/>
    </row>
    <row r="22" spans="1:8" x14ac:dyDescent="0.2">
      <c r="A22" s="26"/>
      <c r="B22" s="26"/>
      <c r="C22" s="26" t="s">
        <v>5194</v>
      </c>
      <c r="D22" s="234" t="s">
        <v>5195</v>
      </c>
      <c r="E22" s="31">
        <v>1636</v>
      </c>
      <c r="F22" s="216">
        <v>49.8</v>
      </c>
      <c r="G22" s="31"/>
      <c r="H22" s="217"/>
    </row>
    <row r="23" spans="1:8" x14ac:dyDescent="0.2">
      <c r="A23" s="26"/>
      <c r="B23" s="26"/>
      <c r="C23" s="26" t="s">
        <v>5196</v>
      </c>
      <c r="D23" s="234" t="s">
        <v>655</v>
      </c>
      <c r="E23" s="31">
        <v>316</v>
      </c>
      <c r="F23" s="216">
        <v>18.3</v>
      </c>
      <c r="G23" s="31"/>
      <c r="H23" s="217"/>
    </row>
    <row r="24" spans="1:8" x14ac:dyDescent="0.2">
      <c r="A24" s="26"/>
      <c r="B24" s="26"/>
      <c r="C24" s="26" t="s">
        <v>2318</v>
      </c>
      <c r="D24" s="234"/>
      <c r="E24" s="218">
        <v>4322</v>
      </c>
      <c r="F24" s="219">
        <v>100</v>
      </c>
      <c r="G24" s="218">
        <v>8599</v>
      </c>
      <c r="H24" s="220">
        <v>50.3</v>
      </c>
    </row>
    <row r="25" spans="1:8" x14ac:dyDescent="0.2">
      <c r="A25" s="26"/>
      <c r="B25" s="26"/>
      <c r="C25" s="26" t="s">
        <v>2318</v>
      </c>
      <c r="D25" s="234"/>
      <c r="E25" s="31"/>
      <c r="F25" s="216"/>
      <c r="G25" s="31"/>
      <c r="H25" s="217"/>
    </row>
    <row r="26" spans="1:8" x14ac:dyDescent="0.2">
      <c r="A26" s="26" t="s">
        <v>5197</v>
      </c>
      <c r="B26" s="26"/>
      <c r="C26" s="214" t="s">
        <v>5198</v>
      </c>
      <c r="D26" s="234" t="s">
        <v>1071</v>
      </c>
      <c r="E26" s="31">
        <v>2525</v>
      </c>
      <c r="F26" s="216">
        <v>36</v>
      </c>
      <c r="G26" s="31"/>
      <c r="H26" s="217"/>
    </row>
    <row r="27" spans="1:8" x14ac:dyDescent="0.2">
      <c r="A27" s="26"/>
      <c r="B27" s="26"/>
      <c r="C27" s="26" t="s">
        <v>5199</v>
      </c>
      <c r="D27" s="234" t="s">
        <v>5195</v>
      </c>
      <c r="E27" s="31">
        <v>2018</v>
      </c>
      <c r="F27" s="216">
        <v>59.8</v>
      </c>
      <c r="G27" s="31"/>
      <c r="H27" s="217"/>
    </row>
    <row r="28" spans="1:8" x14ac:dyDescent="0.2">
      <c r="A28" s="26"/>
      <c r="B28" s="26"/>
      <c r="C28" s="26" t="s">
        <v>5200</v>
      </c>
      <c r="D28" s="234" t="s">
        <v>655</v>
      </c>
      <c r="E28" s="31">
        <v>549</v>
      </c>
      <c r="F28" s="216"/>
      <c r="G28" s="31"/>
      <c r="H28" s="217"/>
    </row>
    <row r="29" spans="1:8" x14ac:dyDescent="0.2">
      <c r="A29" s="26"/>
      <c r="B29" s="26"/>
      <c r="C29" s="26" t="s">
        <v>2318</v>
      </c>
      <c r="D29" s="234"/>
      <c r="E29" s="218">
        <v>5136</v>
      </c>
      <c r="F29" s="219">
        <v>100</v>
      </c>
      <c r="G29" s="218">
        <v>6922</v>
      </c>
      <c r="H29" s="220">
        <v>74.2</v>
      </c>
    </row>
    <row r="30" spans="1:8" x14ac:dyDescent="0.2">
      <c r="A30" s="26"/>
      <c r="B30" s="26"/>
      <c r="C30" s="26" t="s">
        <v>2318</v>
      </c>
      <c r="D30" s="234"/>
      <c r="E30" s="31"/>
      <c r="F30" s="216"/>
      <c r="G30" s="31"/>
      <c r="H30" s="217"/>
    </row>
    <row r="31" spans="1:8" x14ac:dyDescent="0.2">
      <c r="A31" s="26" t="s">
        <v>5201</v>
      </c>
      <c r="B31" s="26"/>
      <c r="C31" s="214" t="s">
        <v>5202</v>
      </c>
      <c r="D31" s="234" t="s">
        <v>1736</v>
      </c>
      <c r="E31" s="31">
        <v>6828</v>
      </c>
      <c r="F31" s="216">
        <v>16.7</v>
      </c>
      <c r="G31" s="31"/>
      <c r="H31" s="217"/>
    </row>
    <row r="32" spans="1:8" x14ac:dyDescent="0.2">
      <c r="B32" s="26"/>
      <c r="C32" s="26" t="s">
        <v>5203</v>
      </c>
      <c r="D32" s="234" t="s">
        <v>1071</v>
      </c>
      <c r="E32" s="31">
        <v>6461</v>
      </c>
      <c r="F32" s="216">
        <v>12.5</v>
      </c>
      <c r="G32" s="31"/>
      <c r="H32" s="217"/>
    </row>
    <row r="33" spans="1:10" x14ac:dyDescent="0.2">
      <c r="B33" s="26"/>
      <c r="C33" s="26" t="s">
        <v>5204</v>
      </c>
      <c r="D33" s="234" t="s">
        <v>655</v>
      </c>
      <c r="E33" s="31">
        <v>1905</v>
      </c>
      <c r="F33" s="216"/>
      <c r="G33" s="31"/>
      <c r="H33" s="217"/>
    </row>
    <row r="34" spans="1:10" x14ac:dyDescent="0.2">
      <c r="A34" s="26"/>
      <c r="B34" s="26"/>
      <c r="C34" s="26" t="s">
        <v>5205</v>
      </c>
      <c r="D34" s="234" t="s">
        <v>1072</v>
      </c>
      <c r="E34" s="31">
        <v>1876</v>
      </c>
      <c r="F34" s="216">
        <v>0.4</v>
      </c>
      <c r="G34" s="31"/>
      <c r="H34" s="217"/>
    </row>
    <row r="35" spans="1:10" x14ac:dyDescent="0.2">
      <c r="A35" s="26"/>
      <c r="B35" s="26"/>
      <c r="C35" s="26" t="s">
        <v>2318</v>
      </c>
      <c r="D35" s="234"/>
      <c r="E35" s="218">
        <v>17170</v>
      </c>
      <c r="F35" s="219">
        <f>SUM(F31:F34)</f>
        <v>29.599999999999998</v>
      </c>
      <c r="G35" s="218">
        <v>26302</v>
      </c>
      <c r="H35" s="220">
        <v>65.3</v>
      </c>
    </row>
    <row r="36" spans="1:10" x14ac:dyDescent="0.2">
      <c r="A36" s="26"/>
      <c r="B36" s="26"/>
      <c r="C36" s="26" t="s">
        <v>2318</v>
      </c>
      <c r="D36" s="234"/>
      <c r="E36" s="31"/>
      <c r="F36" s="216"/>
      <c r="G36" s="31"/>
      <c r="H36" s="217"/>
    </row>
    <row r="37" spans="1:10" x14ac:dyDescent="0.2">
      <c r="A37" s="26" t="s">
        <v>5206</v>
      </c>
      <c r="B37" s="26"/>
      <c r="C37" s="214" t="s">
        <v>5022</v>
      </c>
      <c r="D37" s="234" t="s">
        <v>1071</v>
      </c>
      <c r="E37" s="31">
        <v>3873</v>
      </c>
      <c r="F37" s="216">
        <v>10.8</v>
      </c>
      <c r="G37" s="31"/>
      <c r="H37" s="217"/>
    </row>
    <row r="38" spans="1:10" x14ac:dyDescent="0.2">
      <c r="A38" s="26"/>
      <c r="B38" s="26"/>
      <c r="C38" s="26" t="s">
        <v>5207</v>
      </c>
      <c r="D38" s="234" t="s">
        <v>1736</v>
      </c>
      <c r="E38" s="31">
        <v>3359</v>
      </c>
      <c r="F38" s="216">
        <v>14.2</v>
      </c>
      <c r="G38" s="31"/>
      <c r="H38" s="217"/>
    </row>
    <row r="39" spans="1:10" x14ac:dyDescent="0.2">
      <c r="A39" s="26"/>
      <c r="B39" s="26"/>
      <c r="C39" s="26" t="s">
        <v>5208</v>
      </c>
      <c r="D39" s="234" t="s">
        <v>1072</v>
      </c>
      <c r="E39" s="31">
        <v>1275</v>
      </c>
      <c r="F39" s="216">
        <v>64</v>
      </c>
      <c r="G39" s="31"/>
      <c r="H39" s="217"/>
    </row>
    <row r="40" spans="1:10" x14ac:dyDescent="0.2">
      <c r="A40" s="26"/>
      <c r="B40" s="26"/>
      <c r="C40" s="26" t="s">
        <v>5209</v>
      </c>
      <c r="D40" s="234" t="s">
        <v>655</v>
      </c>
      <c r="E40" s="31">
        <v>973</v>
      </c>
      <c r="F40" s="216"/>
      <c r="G40" s="31"/>
      <c r="H40" s="217"/>
    </row>
    <row r="41" spans="1:10" x14ac:dyDescent="0.2">
      <c r="A41" s="26"/>
      <c r="B41" s="26"/>
      <c r="C41" s="26" t="s">
        <v>2318</v>
      </c>
      <c r="D41" s="234"/>
      <c r="E41" s="218">
        <v>9570</v>
      </c>
      <c r="F41" s="219">
        <f>SUM(F37:F39)</f>
        <v>89</v>
      </c>
      <c r="G41" s="218">
        <v>17554</v>
      </c>
      <c r="H41" s="220">
        <v>54.5</v>
      </c>
    </row>
    <row r="42" spans="1:10" x14ac:dyDescent="0.2">
      <c r="A42" s="26"/>
      <c r="B42" s="26"/>
      <c r="C42" s="26" t="s">
        <v>2318</v>
      </c>
      <c r="D42" s="234"/>
      <c r="E42" s="31"/>
      <c r="F42" s="216"/>
      <c r="G42" s="31"/>
      <c r="H42" s="217"/>
    </row>
    <row r="43" spans="1:10" x14ac:dyDescent="0.2">
      <c r="A43" s="26" t="s">
        <v>3167</v>
      </c>
      <c r="B43" s="26"/>
      <c r="C43" s="214" t="s">
        <v>5210</v>
      </c>
      <c r="D43" s="234" t="s">
        <v>1071</v>
      </c>
      <c r="E43" s="31">
        <v>5563</v>
      </c>
      <c r="F43" s="216">
        <v>59.7</v>
      </c>
      <c r="G43" s="31"/>
      <c r="H43" s="217"/>
      <c r="J43" s="221"/>
    </row>
    <row r="44" spans="1:10" x14ac:dyDescent="0.2">
      <c r="A44" s="26"/>
      <c r="B44" s="26"/>
      <c r="C44" s="26" t="s">
        <v>5211</v>
      </c>
      <c r="D44" s="234" t="s">
        <v>1736</v>
      </c>
      <c r="E44" s="31">
        <v>2613</v>
      </c>
      <c r="F44" s="216"/>
      <c r="G44" s="31"/>
      <c r="H44" s="217"/>
      <c r="J44" s="221"/>
    </row>
    <row r="45" spans="1:10" x14ac:dyDescent="0.2">
      <c r="A45" s="26"/>
      <c r="B45" s="26"/>
      <c r="C45" s="26" t="s">
        <v>5212</v>
      </c>
      <c r="D45" s="234" t="s">
        <v>1072</v>
      </c>
      <c r="E45" s="31">
        <v>1955</v>
      </c>
      <c r="F45" s="216">
        <v>6.8</v>
      </c>
      <c r="G45" s="31"/>
      <c r="H45" s="217"/>
      <c r="J45" s="221"/>
    </row>
    <row r="46" spans="1:10" x14ac:dyDescent="0.2">
      <c r="A46" s="26"/>
      <c r="B46" s="26"/>
      <c r="C46" s="26" t="s">
        <v>5209</v>
      </c>
      <c r="D46" s="234" t="s">
        <v>655</v>
      </c>
      <c r="E46" s="31">
        <v>803</v>
      </c>
      <c r="F46" s="216">
        <v>24.5</v>
      </c>
      <c r="G46" s="31"/>
      <c r="H46" s="217"/>
      <c r="J46" s="221"/>
    </row>
    <row r="47" spans="1:10" x14ac:dyDescent="0.2">
      <c r="A47" s="26"/>
      <c r="B47" s="26"/>
      <c r="C47" s="26" t="s">
        <v>2318</v>
      </c>
      <c r="D47" s="234"/>
      <c r="E47" s="218">
        <v>11032</v>
      </c>
      <c r="F47" s="219">
        <f>SUM(F43:F46)</f>
        <v>91</v>
      </c>
      <c r="G47" s="218">
        <v>20779</v>
      </c>
      <c r="H47" s="220">
        <v>53.1</v>
      </c>
    </row>
    <row r="48" spans="1:10" x14ac:dyDescent="0.2">
      <c r="A48" s="26"/>
      <c r="B48" s="26"/>
      <c r="C48" s="26" t="s">
        <v>2318</v>
      </c>
      <c r="D48" s="234"/>
      <c r="E48" s="31"/>
      <c r="F48" s="216"/>
      <c r="G48" s="31"/>
      <c r="H48" s="217"/>
    </row>
    <row r="49" spans="1:8" x14ac:dyDescent="0.2">
      <c r="A49" s="26" t="s">
        <v>3211</v>
      </c>
      <c r="B49" s="26"/>
      <c r="C49" s="214" t="s">
        <v>5031</v>
      </c>
      <c r="D49" s="234" t="s">
        <v>1072</v>
      </c>
      <c r="E49" s="31">
        <v>5743</v>
      </c>
      <c r="F49" s="216">
        <v>3</v>
      </c>
      <c r="G49" s="31"/>
      <c r="H49" s="217"/>
    </row>
    <row r="50" spans="1:8" x14ac:dyDescent="0.2">
      <c r="A50" s="26"/>
      <c r="B50" s="26"/>
      <c r="C50" s="26" t="s">
        <v>5213</v>
      </c>
      <c r="D50" s="234" t="s">
        <v>1071</v>
      </c>
      <c r="E50" s="31">
        <v>3840</v>
      </c>
      <c r="F50" s="216">
        <v>55.8</v>
      </c>
      <c r="G50" s="31"/>
      <c r="H50" s="217"/>
    </row>
    <row r="51" spans="1:8" x14ac:dyDescent="0.2">
      <c r="A51" s="26"/>
      <c r="B51" s="26"/>
      <c r="C51" s="26" t="s">
        <v>5214</v>
      </c>
      <c r="D51" s="234" t="s">
        <v>1736</v>
      </c>
      <c r="E51" s="31">
        <v>3406</v>
      </c>
      <c r="F51" s="216"/>
      <c r="G51" s="31"/>
      <c r="H51" s="217"/>
    </row>
    <row r="52" spans="1:8" x14ac:dyDescent="0.2">
      <c r="A52" s="26"/>
      <c r="B52" s="26"/>
      <c r="C52" s="26" t="s">
        <v>5215</v>
      </c>
      <c r="D52" s="234" t="s">
        <v>655</v>
      </c>
      <c r="E52" s="31">
        <v>950</v>
      </c>
      <c r="F52" s="216">
        <v>32.5</v>
      </c>
      <c r="G52" s="31"/>
      <c r="H52" s="217"/>
    </row>
    <row r="53" spans="1:8" x14ac:dyDescent="0.2">
      <c r="A53" s="26"/>
      <c r="B53" s="26"/>
      <c r="C53" s="26" t="s">
        <v>2318</v>
      </c>
      <c r="D53" s="234"/>
      <c r="E53" s="218">
        <v>13999</v>
      </c>
      <c r="F53" s="219">
        <f>SUM(F49:F52)</f>
        <v>91.3</v>
      </c>
      <c r="G53" s="218">
        <v>20234</v>
      </c>
      <c r="H53" s="220">
        <v>69.2</v>
      </c>
    </row>
    <row r="54" spans="1:8" x14ac:dyDescent="0.2">
      <c r="A54" s="26"/>
      <c r="B54" s="26"/>
      <c r="C54" s="26" t="s">
        <v>2318</v>
      </c>
      <c r="D54" s="234"/>
      <c r="E54" s="31"/>
      <c r="F54" s="216"/>
      <c r="G54" s="31"/>
      <c r="H54" s="217"/>
    </row>
    <row r="55" spans="1:8" x14ac:dyDescent="0.2">
      <c r="A55" s="26" t="s">
        <v>5216</v>
      </c>
      <c r="B55" s="26"/>
      <c r="C55" s="214" t="s">
        <v>5217</v>
      </c>
      <c r="D55" s="234" t="s">
        <v>1071</v>
      </c>
      <c r="E55" s="31">
        <v>4308</v>
      </c>
      <c r="F55" s="216">
        <v>6.2</v>
      </c>
      <c r="G55" s="31"/>
      <c r="H55" s="217"/>
    </row>
    <row r="56" spans="1:8" x14ac:dyDescent="0.2">
      <c r="A56" s="26"/>
      <c r="B56" s="26"/>
      <c r="C56" s="26" t="s">
        <v>5218</v>
      </c>
      <c r="D56" s="234" t="s">
        <v>1736</v>
      </c>
      <c r="E56" s="31">
        <v>3915</v>
      </c>
      <c r="F56" s="216">
        <v>7.5</v>
      </c>
      <c r="G56" s="31"/>
      <c r="H56" s="217"/>
    </row>
    <row r="57" spans="1:8" x14ac:dyDescent="0.2">
      <c r="A57" s="26"/>
      <c r="B57" s="26"/>
      <c r="C57" s="26" t="s">
        <v>5219</v>
      </c>
      <c r="D57" s="234" t="s">
        <v>655</v>
      </c>
      <c r="E57" s="31">
        <v>1157</v>
      </c>
      <c r="F57" s="216">
        <v>70.5</v>
      </c>
      <c r="G57" s="31"/>
      <c r="H57" s="217"/>
    </row>
    <row r="58" spans="1:8" x14ac:dyDescent="0.2">
      <c r="A58" s="26"/>
      <c r="B58" s="26"/>
      <c r="C58" s="26" t="s">
        <v>5220</v>
      </c>
      <c r="D58" s="234" t="s">
        <v>1072</v>
      </c>
      <c r="E58" s="31">
        <v>638</v>
      </c>
      <c r="F58" s="216">
        <v>0.2</v>
      </c>
      <c r="G58" s="31"/>
      <c r="H58" s="217"/>
    </row>
    <row r="59" spans="1:8" x14ac:dyDescent="0.2">
      <c r="A59" s="26"/>
      <c r="B59" s="26"/>
      <c r="C59" s="26" t="s">
        <v>2318</v>
      </c>
      <c r="D59" s="234"/>
      <c r="E59" s="218">
        <v>10080</v>
      </c>
      <c r="F59" s="219">
        <v>100</v>
      </c>
      <c r="G59" s="218">
        <v>16143</v>
      </c>
      <c r="H59" s="220">
        <v>62</v>
      </c>
    </row>
    <row r="60" spans="1:8" x14ac:dyDescent="0.2">
      <c r="A60" s="26"/>
      <c r="B60" s="26"/>
      <c r="C60" s="26" t="s">
        <v>2318</v>
      </c>
      <c r="D60" s="234"/>
      <c r="E60" s="31"/>
      <c r="F60" s="216"/>
      <c r="G60" s="31"/>
      <c r="H60" s="217"/>
    </row>
    <row r="61" spans="1:8" x14ac:dyDescent="0.2">
      <c r="A61" s="26" t="s">
        <v>5221</v>
      </c>
      <c r="B61" s="26"/>
      <c r="C61" s="214" t="s">
        <v>5222</v>
      </c>
      <c r="D61" s="234" t="s">
        <v>1071</v>
      </c>
      <c r="E61" s="31">
        <v>4943</v>
      </c>
      <c r="F61" s="216">
        <v>9.4</v>
      </c>
      <c r="G61" s="31"/>
      <c r="H61" s="217"/>
    </row>
    <row r="62" spans="1:8" x14ac:dyDescent="0.2">
      <c r="A62" s="26"/>
      <c r="B62" s="26"/>
      <c r="C62" s="26" t="s">
        <v>497</v>
      </c>
      <c r="D62" s="234" t="s">
        <v>1736</v>
      </c>
      <c r="E62" s="31">
        <v>3915</v>
      </c>
      <c r="F62" s="216">
        <v>5.7</v>
      </c>
      <c r="G62" s="31"/>
      <c r="H62" s="217"/>
    </row>
    <row r="63" spans="1:8" x14ac:dyDescent="0.2">
      <c r="A63" s="26"/>
      <c r="B63" s="26"/>
      <c r="C63" s="26" t="s">
        <v>5223</v>
      </c>
      <c r="D63" s="234" t="s">
        <v>1072</v>
      </c>
      <c r="E63" s="31">
        <v>1702</v>
      </c>
      <c r="F63" s="216">
        <v>23</v>
      </c>
      <c r="G63" s="31"/>
      <c r="H63" s="217"/>
    </row>
    <row r="64" spans="1:8" x14ac:dyDescent="0.2">
      <c r="A64" s="26"/>
      <c r="B64" s="26"/>
      <c r="C64" s="26" t="s">
        <v>5224</v>
      </c>
      <c r="D64" s="234" t="s">
        <v>655</v>
      </c>
      <c r="E64" s="31">
        <v>1220</v>
      </c>
      <c r="F64" s="216">
        <v>62</v>
      </c>
      <c r="G64" s="31"/>
      <c r="H64" s="217"/>
    </row>
    <row r="65" spans="1:8" x14ac:dyDescent="0.2">
      <c r="A65" s="26"/>
      <c r="B65" s="26"/>
      <c r="C65" s="26" t="s">
        <v>2318</v>
      </c>
      <c r="D65" s="234"/>
      <c r="E65" s="218">
        <v>11733</v>
      </c>
      <c r="F65" s="219">
        <f>SUM(F61:F64)</f>
        <v>100.1</v>
      </c>
      <c r="G65" s="218">
        <v>17843</v>
      </c>
      <c r="H65" s="220">
        <v>65.8</v>
      </c>
    </row>
    <row r="66" spans="1:8" x14ac:dyDescent="0.2">
      <c r="A66" s="26"/>
      <c r="B66" s="26"/>
      <c r="C66" s="26" t="s">
        <v>2318</v>
      </c>
      <c r="D66" s="234"/>
      <c r="E66" s="31"/>
      <c r="F66" s="216"/>
      <c r="G66" s="31"/>
      <c r="H66" s="217"/>
    </row>
    <row r="67" spans="1:8" x14ac:dyDescent="0.2">
      <c r="A67" s="26" t="s">
        <v>5225</v>
      </c>
      <c r="B67" s="26"/>
      <c r="C67" s="214" t="s">
        <v>5226</v>
      </c>
      <c r="D67" s="222" t="s">
        <v>1071</v>
      </c>
      <c r="E67" s="31">
        <v>5401</v>
      </c>
      <c r="F67" s="216">
        <v>62.1</v>
      </c>
      <c r="G67" s="31"/>
      <c r="H67" s="217"/>
    </row>
    <row r="68" spans="1:8" x14ac:dyDescent="0.2">
      <c r="A68" s="26"/>
      <c r="B68" s="26"/>
      <c r="C68" s="26" t="s">
        <v>5227</v>
      </c>
      <c r="D68" s="234" t="s">
        <v>1736</v>
      </c>
      <c r="E68" s="31">
        <v>4940</v>
      </c>
      <c r="F68" s="216"/>
      <c r="G68" s="31"/>
      <c r="H68" s="217"/>
    </row>
    <row r="69" spans="1:8" x14ac:dyDescent="0.2">
      <c r="A69" s="26"/>
      <c r="B69" s="26"/>
      <c r="C69" s="26" t="s">
        <v>5228</v>
      </c>
      <c r="D69" s="234" t="s">
        <v>655</v>
      </c>
      <c r="E69" s="31">
        <v>1388</v>
      </c>
      <c r="F69" s="216"/>
      <c r="G69" s="31"/>
      <c r="H69" s="217"/>
    </row>
    <row r="70" spans="1:8" x14ac:dyDescent="0.2">
      <c r="A70" s="26"/>
      <c r="B70" s="26"/>
      <c r="C70" s="26" t="s">
        <v>5229</v>
      </c>
      <c r="D70" s="234" t="s">
        <v>1072</v>
      </c>
      <c r="E70" s="31">
        <v>1146</v>
      </c>
      <c r="F70" s="216">
        <v>23.7</v>
      </c>
      <c r="G70" s="31"/>
      <c r="H70" s="217"/>
    </row>
    <row r="71" spans="1:8" x14ac:dyDescent="0.2">
      <c r="A71" s="26"/>
      <c r="B71" s="26"/>
      <c r="C71" s="26" t="s">
        <v>2318</v>
      </c>
      <c r="D71" s="26"/>
      <c r="E71" s="218">
        <v>12934</v>
      </c>
      <c r="F71" s="219">
        <v>100</v>
      </c>
      <c r="G71" s="218">
        <v>21159</v>
      </c>
      <c r="H71" s="220">
        <v>61.1</v>
      </c>
    </row>
    <row r="72" spans="1:8" x14ac:dyDescent="0.2">
      <c r="A72" s="26"/>
      <c r="B72" s="26"/>
      <c r="C72" s="26" t="s">
        <v>2318</v>
      </c>
      <c r="D72" s="234"/>
      <c r="E72" s="31"/>
      <c r="F72" s="216"/>
      <c r="G72" s="31"/>
      <c r="H72" s="217"/>
    </row>
    <row r="73" spans="1:8" x14ac:dyDescent="0.2">
      <c r="A73" s="26" t="s">
        <v>5230</v>
      </c>
      <c r="B73" s="26"/>
      <c r="C73" s="214" t="s">
        <v>1310</v>
      </c>
      <c r="D73" s="234" t="s">
        <v>1736</v>
      </c>
      <c r="E73" s="31">
        <v>4796</v>
      </c>
      <c r="F73" s="216">
        <v>7.2</v>
      </c>
      <c r="G73" s="31"/>
      <c r="H73" s="217"/>
    </row>
    <row r="74" spans="1:8" x14ac:dyDescent="0.2">
      <c r="A74" s="26"/>
      <c r="B74" s="26"/>
      <c r="C74" s="26" t="s">
        <v>5233</v>
      </c>
      <c r="D74" s="234" t="s">
        <v>1071</v>
      </c>
      <c r="E74" s="31">
        <v>3956</v>
      </c>
      <c r="F74" s="216">
        <v>0.7</v>
      </c>
      <c r="G74" s="31"/>
      <c r="H74" s="217"/>
    </row>
    <row r="75" spans="1:8" x14ac:dyDescent="0.2">
      <c r="A75" s="26"/>
      <c r="B75" s="26"/>
      <c r="C75" s="26" t="s">
        <v>5035</v>
      </c>
      <c r="D75" s="234" t="s">
        <v>655</v>
      </c>
      <c r="E75" s="31">
        <v>1229</v>
      </c>
      <c r="F75" s="216">
        <v>10.1</v>
      </c>
      <c r="G75" s="31"/>
      <c r="H75" s="217"/>
    </row>
    <row r="76" spans="1:8" x14ac:dyDescent="0.2">
      <c r="A76" s="26"/>
      <c r="B76" s="26"/>
      <c r="C76" s="26" t="s">
        <v>5234</v>
      </c>
      <c r="D76" s="234" t="s">
        <v>1072</v>
      </c>
      <c r="E76" s="31">
        <v>1088</v>
      </c>
      <c r="F76" s="216">
        <v>64.8</v>
      </c>
      <c r="G76" s="31"/>
      <c r="H76" s="217"/>
    </row>
    <row r="77" spans="1:8" x14ac:dyDescent="0.2">
      <c r="A77" s="26"/>
      <c r="B77" s="26"/>
      <c r="C77" s="26" t="s">
        <v>2318</v>
      </c>
      <c r="D77" s="234"/>
      <c r="E77" s="218">
        <v>11147</v>
      </c>
      <c r="F77" s="219">
        <v>100</v>
      </c>
      <c r="G77" s="218">
        <v>17982</v>
      </c>
      <c r="H77" s="220">
        <v>62</v>
      </c>
    </row>
    <row r="78" spans="1:8" x14ac:dyDescent="0.2">
      <c r="A78" s="26"/>
      <c r="B78" s="26"/>
      <c r="C78" s="26" t="s">
        <v>2318</v>
      </c>
      <c r="D78" s="234"/>
      <c r="E78" s="31"/>
      <c r="F78" s="216"/>
      <c r="G78" s="31"/>
      <c r="H78" s="217"/>
    </row>
    <row r="79" spans="1:8" x14ac:dyDescent="0.2">
      <c r="A79" s="26" t="s">
        <v>1188</v>
      </c>
      <c r="B79" s="26"/>
      <c r="C79" s="214" t="s">
        <v>1889</v>
      </c>
      <c r="D79" s="234" t="s">
        <v>1736</v>
      </c>
      <c r="E79" s="31">
        <v>8548</v>
      </c>
      <c r="F79" s="216">
        <v>3.8</v>
      </c>
      <c r="G79" s="31"/>
      <c r="H79" s="217"/>
    </row>
    <row r="80" spans="1:8" x14ac:dyDescent="0.2">
      <c r="A80" s="26"/>
      <c r="B80" s="26"/>
      <c r="C80" s="26" t="s">
        <v>5231</v>
      </c>
      <c r="D80" s="234" t="s">
        <v>1071</v>
      </c>
      <c r="E80" s="31">
        <v>4028</v>
      </c>
      <c r="F80" s="216">
        <v>8.6999999999999993</v>
      </c>
      <c r="G80" s="31"/>
      <c r="H80" s="217"/>
    </row>
    <row r="81" spans="1:10" x14ac:dyDescent="0.2">
      <c r="A81" s="26"/>
      <c r="B81" s="26"/>
      <c r="C81" s="26" t="s">
        <v>5232</v>
      </c>
      <c r="D81" s="234" t="s">
        <v>655</v>
      </c>
      <c r="E81" s="31">
        <v>868</v>
      </c>
      <c r="F81" s="216">
        <v>8.1</v>
      </c>
      <c r="G81" s="31"/>
      <c r="H81" s="217"/>
    </row>
    <row r="82" spans="1:10" x14ac:dyDescent="0.2">
      <c r="A82" s="26"/>
      <c r="B82" s="26"/>
      <c r="C82" s="26" t="s">
        <v>5036</v>
      </c>
      <c r="D82" s="234" t="s">
        <v>1072</v>
      </c>
      <c r="E82" s="31">
        <v>402</v>
      </c>
      <c r="F82" s="216">
        <v>6.5</v>
      </c>
      <c r="G82" s="31"/>
      <c r="H82" s="217"/>
    </row>
    <row r="83" spans="1:10" x14ac:dyDescent="0.2">
      <c r="A83" s="26"/>
      <c r="B83" s="26"/>
      <c r="C83" s="26" t="s">
        <v>2318</v>
      </c>
      <c r="D83" s="234"/>
      <c r="E83" s="218">
        <v>13916</v>
      </c>
      <c r="F83" s="219">
        <f>SUM(F79:F82)</f>
        <v>27.1</v>
      </c>
      <c r="G83" s="218">
        <v>19986</v>
      </c>
      <c r="H83" s="220">
        <v>59.6</v>
      </c>
    </row>
    <row r="84" spans="1:10" x14ac:dyDescent="0.2">
      <c r="A84" s="26"/>
      <c r="B84" s="26"/>
      <c r="C84" s="26" t="s">
        <v>2318</v>
      </c>
      <c r="D84" s="234"/>
      <c r="E84" s="31"/>
      <c r="F84" s="216"/>
      <c r="G84" s="31"/>
      <c r="H84" s="217"/>
    </row>
    <row r="85" spans="1:10" x14ac:dyDescent="0.2">
      <c r="A85" s="26" t="s">
        <v>1125</v>
      </c>
      <c r="B85" s="26"/>
      <c r="C85" s="214" t="s">
        <v>5235</v>
      </c>
      <c r="D85" s="234" t="s">
        <v>1071</v>
      </c>
      <c r="E85" s="31">
        <v>3083</v>
      </c>
      <c r="F85" s="216">
        <v>14.2</v>
      </c>
      <c r="G85" s="31"/>
      <c r="H85" s="217"/>
    </row>
    <row r="86" spans="1:10" x14ac:dyDescent="0.2">
      <c r="A86" s="26"/>
      <c r="B86" s="26"/>
      <c r="C86" s="26" t="s">
        <v>5236</v>
      </c>
      <c r="D86" s="234" t="s">
        <v>1736</v>
      </c>
      <c r="E86" s="31">
        <v>1736</v>
      </c>
      <c r="F86" s="216">
        <v>2.1</v>
      </c>
      <c r="G86" s="31"/>
      <c r="H86" s="217"/>
    </row>
    <row r="87" spans="1:10" x14ac:dyDescent="0.2">
      <c r="A87" s="26"/>
      <c r="B87" s="26"/>
      <c r="C87" s="26" t="s">
        <v>5237</v>
      </c>
      <c r="D87" s="234" t="s">
        <v>655</v>
      </c>
      <c r="E87" s="31">
        <v>1412</v>
      </c>
      <c r="F87" s="216"/>
      <c r="G87" s="31"/>
      <c r="H87" s="217"/>
    </row>
    <row r="88" spans="1:10" x14ac:dyDescent="0.2">
      <c r="A88" s="26"/>
      <c r="B88" s="26"/>
      <c r="C88" s="26" t="s">
        <v>5238</v>
      </c>
      <c r="D88" s="234" t="s">
        <v>1072</v>
      </c>
      <c r="E88" s="31">
        <v>699</v>
      </c>
      <c r="F88" s="216">
        <v>23.5</v>
      </c>
      <c r="G88" s="31"/>
      <c r="H88" s="217"/>
      <c r="J88" s="221"/>
    </row>
    <row r="89" spans="1:10" x14ac:dyDescent="0.2">
      <c r="A89" s="26"/>
      <c r="B89" s="26"/>
      <c r="C89" s="26" t="s">
        <v>2318</v>
      </c>
      <c r="D89" s="234"/>
      <c r="E89" s="218">
        <v>6968</v>
      </c>
      <c r="F89" s="219">
        <f>SUM(F85:F88)</f>
        <v>39.799999999999997</v>
      </c>
      <c r="G89" s="218">
        <v>9537</v>
      </c>
      <c r="H89" s="220">
        <v>73.099999999999994</v>
      </c>
    </row>
    <row r="90" spans="1:10" x14ac:dyDescent="0.2">
      <c r="A90" s="26"/>
      <c r="B90" s="26"/>
      <c r="C90" s="26" t="s">
        <v>2318</v>
      </c>
      <c r="D90" s="234"/>
      <c r="E90" s="31"/>
      <c r="F90" s="216"/>
      <c r="G90" s="31"/>
      <c r="H90" s="217"/>
    </row>
    <row r="91" spans="1:10" x14ac:dyDescent="0.2">
      <c r="A91" s="26" t="s">
        <v>1427</v>
      </c>
      <c r="B91" s="26"/>
      <c r="C91" s="214" t="s">
        <v>5239</v>
      </c>
      <c r="D91" s="234" t="s">
        <v>1071</v>
      </c>
      <c r="E91" s="31">
        <v>2120</v>
      </c>
      <c r="F91" s="216">
        <v>2</v>
      </c>
      <c r="G91" s="31"/>
      <c r="H91" s="217"/>
    </row>
    <row r="92" spans="1:10" x14ac:dyDescent="0.2">
      <c r="A92" s="26"/>
      <c r="B92" s="26"/>
      <c r="C92" s="26" t="s">
        <v>5051</v>
      </c>
      <c r="D92" s="234" t="s">
        <v>1736</v>
      </c>
      <c r="E92" s="31">
        <v>1692</v>
      </c>
      <c r="F92" s="216"/>
      <c r="G92" s="31"/>
      <c r="H92" s="217"/>
    </row>
    <row r="93" spans="1:10" x14ac:dyDescent="0.2">
      <c r="A93" s="26"/>
      <c r="B93" s="26"/>
      <c r="C93" s="26" t="s">
        <v>5240</v>
      </c>
      <c r="D93" s="234" t="s">
        <v>653</v>
      </c>
      <c r="E93" s="31">
        <v>573</v>
      </c>
      <c r="F93" s="216"/>
      <c r="G93" s="31"/>
      <c r="H93" s="217"/>
    </row>
    <row r="94" spans="1:10" x14ac:dyDescent="0.2">
      <c r="A94" s="26"/>
      <c r="B94" s="26"/>
      <c r="C94" s="26" t="s">
        <v>5241</v>
      </c>
      <c r="D94" s="234" t="s">
        <v>655</v>
      </c>
      <c r="E94" s="31">
        <v>104</v>
      </c>
      <c r="F94" s="216">
        <v>2.2000000000000002</v>
      </c>
      <c r="G94" s="31"/>
      <c r="H94" s="217"/>
    </row>
    <row r="95" spans="1:10" x14ac:dyDescent="0.2">
      <c r="A95" s="26"/>
      <c r="B95" s="26"/>
      <c r="C95" s="26" t="s">
        <v>2318</v>
      </c>
      <c r="D95" s="234"/>
      <c r="E95" s="218">
        <v>4500</v>
      </c>
      <c r="F95" s="219">
        <v>100</v>
      </c>
      <c r="G95" s="218">
        <v>7251</v>
      </c>
      <c r="H95" s="220">
        <v>62.1</v>
      </c>
    </row>
    <row r="96" spans="1:10" x14ac:dyDescent="0.2">
      <c r="A96" s="26"/>
      <c r="B96" s="26"/>
      <c r="C96" s="26" t="s">
        <v>2318</v>
      </c>
      <c r="D96" s="234"/>
      <c r="E96" s="31"/>
      <c r="F96" s="216"/>
      <c r="G96" s="31"/>
      <c r="H96" s="217"/>
    </row>
    <row r="97" spans="1:8" x14ac:dyDescent="0.2">
      <c r="A97" s="26" t="s">
        <v>1430</v>
      </c>
      <c r="B97" s="26"/>
      <c r="C97" s="214" t="s">
        <v>4770</v>
      </c>
      <c r="D97" s="234" t="s">
        <v>1071</v>
      </c>
      <c r="E97" s="31">
        <v>4101</v>
      </c>
      <c r="F97" s="216">
        <v>53.4</v>
      </c>
      <c r="G97" s="31"/>
      <c r="H97" s="217"/>
    </row>
    <row r="98" spans="1:8" x14ac:dyDescent="0.2">
      <c r="A98" s="26"/>
      <c r="B98" s="26"/>
      <c r="C98" s="26" t="s">
        <v>5242</v>
      </c>
      <c r="D98" s="234" t="s">
        <v>1736</v>
      </c>
      <c r="E98" s="31">
        <v>2215</v>
      </c>
      <c r="F98" s="216">
        <v>1.9</v>
      </c>
      <c r="G98" s="31"/>
      <c r="H98" s="217"/>
    </row>
    <row r="99" spans="1:8" x14ac:dyDescent="0.2">
      <c r="A99" s="26"/>
      <c r="B99" s="26"/>
      <c r="C99" s="26" t="s">
        <v>5243</v>
      </c>
      <c r="D99" s="234" t="s">
        <v>655</v>
      </c>
      <c r="E99" s="31">
        <v>1175</v>
      </c>
      <c r="F99" s="216"/>
      <c r="G99" s="31"/>
      <c r="H99" s="217"/>
    </row>
    <row r="100" spans="1:8" x14ac:dyDescent="0.2">
      <c r="A100" s="26"/>
      <c r="B100" s="26"/>
      <c r="C100" s="26" t="s">
        <v>5244</v>
      </c>
      <c r="D100" s="234" t="s">
        <v>1072</v>
      </c>
      <c r="E100" s="31">
        <v>468</v>
      </c>
      <c r="F100" s="216">
        <v>9.8000000000000007</v>
      </c>
      <c r="G100" s="31"/>
      <c r="H100" s="217"/>
    </row>
    <row r="101" spans="1:8" x14ac:dyDescent="0.2">
      <c r="A101" s="26"/>
      <c r="B101" s="26"/>
      <c r="C101" s="26" t="s">
        <v>2318</v>
      </c>
      <c r="D101" s="234"/>
      <c r="E101" s="218">
        <v>7987</v>
      </c>
      <c r="F101" s="219">
        <v>100</v>
      </c>
      <c r="G101" s="218">
        <v>11979</v>
      </c>
      <c r="H101" s="220">
        <v>66.7</v>
      </c>
    </row>
    <row r="102" spans="1:8" x14ac:dyDescent="0.2">
      <c r="A102" s="26"/>
      <c r="B102" s="26"/>
      <c r="C102" s="26" t="s">
        <v>2318</v>
      </c>
      <c r="D102" s="234"/>
      <c r="E102" s="31"/>
      <c r="F102" s="216"/>
      <c r="G102" s="31"/>
      <c r="H102" s="217"/>
    </row>
    <row r="103" spans="1:8" x14ac:dyDescent="0.2">
      <c r="A103" s="26" t="s">
        <v>2268</v>
      </c>
      <c r="B103" s="26"/>
      <c r="C103" s="214" t="s">
        <v>5054</v>
      </c>
      <c r="D103" s="234" t="s">
        <v>1071</v>
      </c>
      <c r="E103" s="31">
        <v>2577</v>
      </c>
      <c r="F103" s="216">
        <v>32.4</v>
      </c>
      <c r="G103" s="31"/>
      <c r="H103" s="217"/>
    </row>
    <row r="104" spans="1:8" x14ac:dyDescent="0.2">
      <c r="A104" s="26"/>
      <c r="B104" s="26"/>
      <c r="C104" s="26" t="s">
        <v>5245</v>
      </c>
      <c r="D104" s="234" t="s">
        <v>655</v>
      </c>
      <c r="E104" s="31">
        <v>769</v>
      </c>
      <c r="F104" s="216">
        <v>57</v>
      </c>
      <c r="G104" s="31"/>
      <c r="H104" s="217"/>
    </row>
    <row r="105" spans="1:8" x14ac:dyDescent="0.2">
      <c r="A105" s="26"/>
      <c r="B105" s="26"/>
      <c r="C105" s="26" t="s">
        <v>2318</v>
      </c>
      <c r="D105" s="234"/>
      <c r="E105" s="218">
        <v>3362</v>
      </c>
      <c r="F105" s="219">
        <f>SUM(F103:F104)</f>
        <v>89.4</v>
      </c>
      <c r="G105" s="218">
        <v>5558</v>
      </c>
      <c r="H105" s="220">
        <v>60.5</v>
      </c>
    </row>
    <row r="106" spans="1:8" x14ac:dyDescent="0.2">
      <c r="A106" s="26"/>
      <c r="B106" s="26"/>
      <c r="C106" s="26" t="s">
        <v>2318</v>
      </c>
      <c r="D106" s="234"/>
      <c r="E106" s="31"/>
      <c r="F106" s="216"/>
      <c r="G106" s="31"/>
      <c r="H106" s="217"/>
    </row>
    <row r="107" spans="1:8" x14ac:dyDescent="0.2">
      <c r="A107" s="26" t="s">
        <v>5246</v>
      </c>
      <c r="B107" s="26"/>
      <c r="C107" s="214" t="s">
        <v>4859</v>
      </c>
      <c r="D107" s="234" t="s">
        <v>1071</v>
      </c>
      <c r="E107" s="31">
        <v>4018</v>
      </c>
      <c r="F107" s="216">
        <v>55</v>
      </c>
      <c r="G107" s="31"/>
      <c r="H107" s="217"/>
    </row>
    <row r="108" spans="1:8" x14ac:dyDescent="0.2">
      <c r="A108" s="26"/>
      <c r="B108" s="26"/>
      <c r="C108" s="26" t="s">
        <v>5247</v>
      </c>
      <c r="D108" s="234" t="s">
        <v>1736</v>
      </c>
      <c r="E108" s="31">
        <v>1579</v>
      </c>
      <c r="F108" s="216">
        <v>2.1</v>
      </c>
      <c r="G108" s="31"/>
      <c r="H108" s="217"/>
    </row>
    <row r="109" spans="1:8" x14ac:dyDescent="0.2">
      <c r="A109" s="26"/>
      <c r="B109" s="26"/>
      <c r="C109" s="26" t="s">
        <v>5248</v>
      </c>
      <c r="D109" s="234" t="s">
        <v>655</v>
      </c>
      <c r="E109" s="31">
        <v>345</v>
      </c>
      <c r="F109" s="216">
        <v>5.2</v>
      </c>
      <c r="G109" s="31"/>
      <c r="H109" s="217"/>
    </row>
    <row r="110" spans="1:8" x14ac:dyDescent="0.2">
      <c r="A110" s="26"/>
      <c r="B110" s="26"/>
      <c r="C110" s="26" t="s">
        <v>2318</v>
      </c>
      <c r="D110" s="234"/>
      <c r="E110" s="218">
        <v>5956</v>
      </c>
      <c r="F110" s="219">
        <v>100</v>
      </c>
      <c r="G110" s="218">
        <v>8778</v>
      </c>
      <c r="H110" s="220">
        <v>67.8</v>
      </c>
    </row>
    <row r="111" spans="1:8" x14ac:dyDescent="0.2">
      <c r="A111" s="26"/>
      <c r="B111" s="26"/>
      <c r="C111" s="26" t="s">
        <v>2318</v>
      </c>
      <c r="D111" s="234"/>
      <c r="E111" s="31"/>
      <c r="F111" s="216"/>
      <c r="G111" s="31"/>
      <c r="H111" s="217"/>
    </row>
    <row r="112" spans="1:8" x14ac:dyDescent="0.2">
      <c r="A112" s="26" t="s">
        <v>1350</v>
      </c>
      <c r="B112" s="26"/>
      <c r="C112" s="214" t="s">
        <v>5249</v>
      </c>
      <c r="D112" s="234" t="s">
        <v>1071</v>
      </c>
      <c r="E112" s="31">
        <v>1280</v>
      </c>
      <c r="F112" s="216">
        <v>55</v>
      </c>
      <c r="G112" s="31"/>
      <c r="H112" s="217"/>
    </row>
    <row r="113" spans="1:8" x14ac:dyDescent="0.2">
      <c r="A113" s="26"/>
      <c r="B113" s="26"/>
      <c r="C113" s="26" t="s">
        <v>5250</v>
      </c>
      <c r="D113" s="234" t="s">
        <v>655</v>
      </c>
      <c r="E113" s="31">
        <v>1080</v>
      </c>
      <c r="F113" s="216">
        <v>2.1</v>
      </c>
      <c r="G113" s="31"/>
      <c r="H113" s="217"/>
    </row>
    <row r="114" spans="1:8" x14ac:dyDescent="0.2">
      <c r="A114" s="26"/>
      <c r="B114" s="26"/>
      <c r="C114" s="26" t="s">
        <v>5251</v>
      </c>
      <c r="D114" s="234" t="s">
        <v>5252</v>
      </c>
      <c r="E114" s="31">
        <v>547</v>
      </c>
      <c r="F114" s="216">
        <v>5.2</v>
      </c>
      <c r="G114" s="31"/>
      <c r="H114" s="217"/>
    </row>
    <row r="115" spans="1:8" x14ac:dyDescent="0.2">
      <c r="A115" s="26"/>
      <c r="B115" s="26"/>
      <c r="C115" s="26" t="s">
        <v>2318</v>
      </c>
      <c r="D115" s="234"/>
      <c r="E115" s="218">
        <v>3083</v>
      </c>
      <c r="F115" s="219">
        <v>100</v>
      </c>
      <c r="G115" s="218">
        <v>10991</v>
      </c>
      <c r="H115" s="220">
        <v>72.2</v>
      </c>
    </row>
    <row r="116" spans="1:8" x14ac:dyDescent="0.2">
      <c r="A116" s="26"/>
      <c r="B116" s="26"/>
      <c r="C116" s="26" t="s">
        <v>2318</v>
      </c>
      <c r="D116" s="234"/>
      <c r="E116" s="31"/>
      <c r="F116" s="216"/>
      <c r="G116" s="31"/>
      <c r="H116" s="217"/>
    </row>
    <row r="117" spans="1:8" x14ac:dyDescent="0.2">
      <c r="A117" s="26" t="s">
        <v>477</v>
      </c>
      <c r="B117" s="26"/>
      <c r="C117" s="214" t="s">
        <v>4890</v>
      </c>
      <c r="D117" s="234" t="s">
        <v>1071</v>
      </c>
      <c r="E117" s="31">
        <v>3146</v>
      </c>
      <c r="F117" s="216">
        <v>10</v>
      </c>
      <c r="G117" s="31"/>
      <c r="H117" s="217"/>
    </row>
    <row r="118" spans="1:8" x14ac:dyDescent="0.2">
      <c r="A118" s="26"/>
      <c r="B118" s="26"/>
      <c r="C118" s="26" t="s">
        <v>5256</v>
      </c>
      <c r="D118" s="234" t="s">
        <v>1736</v>
      </c>
      <c r="E118" s="31">
        <v>2558</v>
      </c>
      <c r="F118" s="216">
        <v>54.4</v>
      </c>
      <c r="G118" s="31"/>
      <c r="H118" s="217"/>
    </row>
    <row r="119" spans="1:8" x14ac:dyDescent="0.2">
      <c r="A119" s="26"/>
      <c r="B119" s="26"/>
      <c r="C119" s="26" t="s">
        <v>5257</v>
      </c>
      <c r="D119" s="234" t="s">
        <v>655</v>
      </c>
      <c r="E119" s="31">
        <v>1313</v>
      </c>
      <c r="F119" s="216"/>
      <c r="G119" s="31"/>
      <c r="H119" s="217"/>
    </row>
    <row r="120" spans="1:8" x14ac:dyDescent="0.2">
      <c r="A120" s="26"/>
      <c r="B120" s="26"/>
      <c r="C120" s="26" t="s">
        <v>5258</v>
      </c>
      <c r="D120" s="234" t="s">
        <v>1072</v>
      </c>
      <c r="E120" s="31">
        <v>747</v>
      </c>
      <c r="F120" s="216">
        <v>27.2</v>
      </c>
      <c r="G120" s="31"/>
      <c r="H120" s="217"/>
    </row>
    <row r="121" spans="1:8" x14ac:dyDescent="0.2">
      <c r="A121" s="26"/>
      <c r="B121" s="26"/>
      <c r="C121" s="26" t="s">
        <v>5259</v>
      </c>
      <c r="D121" s="234" t="s">
        <v>653</v>
      </c>
      <c r="E121" s="31">
        <v>194</v>
      </c>
      <c r="F121" s="216">
        <v>8.4</v>
      </c>
      <c r="G121" s="31"/>
      <c r="H121" s="217"/>
    </row>
    <row r="122" spans="1:8" x14ac:dyDescent="0.2">
      <c r="A122" s="26"/>
      <c r="B122" s="26"/>
      <c r="C122" s="26" t="s">
        <v>2318</v>
      </c>
      <c r="D122" s="234"/>
      <c r="E122" s="218">
        <v>8041</v>
      </c>
      <c r="F122" s="219">
        <f>SUM(F117:F121)</f>
        <v>100.00000000000001</v>
      </c>
      <c r="G122" s="218">
        <v>15904</v>
      </c>
      <c r="H122" s="220">
        <v>50.8</v>
      </c>
    </row>
    <row r="123" spans="1:8" x14ac:dyDescent="0.2">
      <c r="A123" s="26"/>
      <c r="B123" s="26"/>
      <c r="C123" s="26" t="s">
        <v>2318</v>
      </c>
      <c r="D123" s="234"/>
      <c r="E123" s="31"/>
      <c r="F123" s="216"/>
      <c r="G123" s="31"/>
      <c r="H123" s="217"/>
    </row>
    <row r="124" spans="1:8" x14ac:dyDescent="0.2">
      <c r="A124" s="26" t="s">
        <v>772</v>
      </c>
      <c r="B124" s="26"/>
      <c r="C124" s="214" t="s">
        <v>5260</v>
      </c>
      <c r="D124" s="234" t="s">
        <v>1071</v>
      </c>
      <c r="E124" s="31">
        <v>4206</v>
      </c>
      <c r="F124" s="216">
        <v>6.6</v>
      </c>
      <c r="G124" s="31"/>
      <c r="H124" s="217"/>
    </row>
    <row r="125" spans="1:8" x14ac:dyDescent="0.2">
      <c r="A125" s="26"/>
      <c r="B125" s="26"/>
      <c r="C125" s="26" t="s">
        <v>1762</v>
      </c>
      <c r="D125" s="234" t="s">
        <v>1736</v>
      </c>
      <c r="E125" s="31">
        <v>3000</v>
      </c>
      <c r="F125" s="216">
        <v>12.4</v>
      </c>
      <c r="G125" s="31"/>
      <c r="H125" s="217"/>
    </row>
    <row r="126" spans="1:8" x14ac:dyDescent="0.2">
      <c r="A126" s="26"/>
      <c r="B126" s="26"/>
      <c r="C126" s="26" t="s">
        <v>5076</v>
      </c>
      <c r="D126" s="234" t="s">
        <v>655</v>
      </c>
      <c r="E126" s="31">
        <v>2210</v>
      </c>
      <c r="F126" s="216"/>
      <c r="G126" s="31"/>
      <c r="H126" s="217"/>
    </row>
    <row r="127" spans="1:8" x14ac:dyDescent="0.2">
      <c r="A127" s="26"/>
      <c r="B127" s="26"/>
      <c r="C127" s="26" t="s">
        <v>5261</v>
      </c>
      <c r="D127" s="234" t="s">
        <v>1072</v>
      </c>
      <c r="E127" s="31">
        <v>1851</v>
      </c>
      <c r="F127" s="216">
        <v>20.7</v>
      </c>
      <c r="G127" s="31"/>
      <c r="H127" s="217"/>
    </row>
    <row r="128" spans="1:8" x14ac:dyDescent="0.2">
      <c r="A128" s="26"/>
      <c r="B128" s="26"/>
      <c r="C128" s="26" t="s">
        <v>5262</v>
      </c>
      <c r="D128" s="234" t="s">
        <v>4860</v>
      </c>
      <c r="E128" s="31">
        <v>176</v>
      </c>
      <c r="F128" s="216">
        <v>60.3</v>
      </c>
      <c r="G128" s="31"/>
      <c r="H128" s="217"/>
    </row>
    <row r="129" spans="1:8" x14ac:dyDescent="0.2">
      <c r="A129" s="26"/>
      <c r="B129" s="26"/>
      <c r="C129" s="26" t="s">
        <v>2318</v>
      </c>
      <c r="D129" s="234"/>
      <c r="E129" s="218">
        <v>11574</v>
      </c>
      <c r="F129" s="219">
        <f>SUM(F124:F128)</f>
        <v>100</v>
      </c>
      <c r="G129" s="218">
        <v>19537</v>
      </c>
      <c r="H129" s="220">
        <v>59.2</v>
      </c>
    </row>
    <row r="130" spans="1:8" x14ac:dyDescent="0.2">
      <c r="A130" s="26"/>
      <c r="B130" s="26"/>
      <c r="C130" s="26" t="s">
        <v>2318</v>
      </c>
      <c r="D130" s="234"/>
      <c r="E130" s="31"/>
      <c r="F130" s="216"/>
      <c r="G130" s="31"/>
      <c r="H130" s="217"/>
    </row>
    <row r="131" spans="1:8" x14ac:dyDescent="0.2">
      <c r="A131" s="26" t="s">
        <v>5253</v>
      </c>
      <c r="B131" s="26"/>
      <c r="C131" s="214" t="s">
        <v>5263</v>
      </c>
      <c r="D131" s="234" t="s">
        <v>1071</v>
      </c>
      <c r="E131" s="31">
        <v>4698</v>
      </c>
      <c r="F131" s="216">
        <v>11.3</v>
      </c>
      <c r="G131" s="31"/>
      <c r="H131" s="217"/>
    </row>
    <row r="132" spans="1:8" x14ac:dyDescent="0.2">
      <c r="A132" s="26"/>
      <c r="B132" s="26"/>
      <c r="C132" s="26" t="s">
        <v>5264</v>
      </c>
      <c r="D132" s="234" t="s">
        <v>1736</v>
      </c>
      <c r="E132" s="31">
        <v>3461</v>
      </c>
      <c r="F132" s="216">
        <v>0.6</v>
      </c>
      <c r="G132" s="31"/>
      <c r="H132" s="217"/>
    </row>
    <row r="133" spans="1:8" x14ac:dyDescent="0.2">
      <c r="A133" s="26"/>
      <c r="B133" s="26"/>
      <c r="C133" s="26" t="s">
        <v>3252</v>
      </c>
      <c r="D133" s="234" t="s">
        <v>655</v>
      </c>
      <c r="E133" s="31">
        <v>2763</v>
      </c>
      <c r="F133" s="216">
        <v>29.6</v>
      </c>
      <c r="G133" s="31"/>
      <c r="H133" s="217"/>
    </row>
    <row r="134" spans="1:8" x14ac:dyDescent="0.2">
      <c r="A134" s="26"/>
      <c r="B134" s="26"/>
      <c r="C134" s="26" t="s">
        <v>5265</v>
      </c>
      <c r="D134" s="234" t="s">
        <v>1072</v>
      </c>
      <c r="E134" s="31">
        <v>1303</v>
      </c>
      <c r="F134" s="216">
        <v>7.9</v>
      </c>
      <c r="G134" s="31"/>
      <c r="H134" s="217"/>
    </row>
    <row r="135" spans="1:8" x14ac:dyDescent="0.2">
      <c r="A135" s="26"/>
      <c r="B135" s="26"/>
      <c r="C135" s="26" t="s">
        <v>2318</v>
      </c>
      <c r="D135" s="234"/>
      <c r="E135" s="218">
        <v>12294</v>
      </c>
      <c r="F135" s="219">
        <v>100</v>
      </c>
      <c r="G135" s="218">
        <v>21381</v>
      </c>
      <c r="H135" s="220">
        <v>57.5</v>
      </c>
    </row>
    <row r="136" spans="1:8" x14ac:dyDescent="0.2">
      <c r="A136" s="26"/>
      <c r="B136" s="26"/>
      <c r="C136" s="26" t="s">
        <v>2318</v>
      </c>
      <c r="D136" s="234"/>
      <c r="E136" s="31"/>
      <c r="F136" s="216"/>
      <c r="G136" s="31"/>
      <c r="H136" s="217"/>
    </row>
    <row r="137" spans="1:8" x14ac:dyDescent="0.2">
      <c r="A137" s="26" t="s">
        <v>5254</v>
      </c>
      <c r="B137" s="26"/>
      <c r="C137" s="214" t="s">
        <v>5266</v>
      </c>
      <c r="D137" s="234" t="s">
        <v>1071</v>
      </c>
      <c r="E137" s="31">
        <v>5052</v>
      </c>
      <c r="F137" s="216">
        <v>60.2</v>
      </c>
      <c r="G137" s="31"/>
      <c r="H137" s="217"/>
    </row>
    <row r="138" spans="1:8" x14ac:dyDescent="0.2">
      <c r="A138" s="26"/>
      <c r="B138" s="26"/>
      <c r="C138" s="26" t="s">
        <v>5267</v>
      </c>
      <c r="D138" s="234" t="s">
        <v>655</v>
      </c>
      <c r="E138" s="31">
        <v>4276</v>
      </c>
      <c r="F138" s="216">
        <v>17.8</v>
      </c>
      <c r="G138" s="31"/>
      <c r="H138" s="217"/>
    </row>
    <row r="139" spans="1:8" x14ac:dyDescent="0.2">
      <c r="A139" s="26"/>
      <c r="B139" s="26"/>
      <c r="C139" s="26" t="s">
        <v>5268</v>
      </c>
      <c r="D139" s="234" t="s">
        <v>1736</v>
      </c>
      <c r="E139" s="31">
        <v>3616</v>
      </c>
      <c r="F139" s="216"/>
      <c r="G139" s="31"/>
      <c r="H139" s="217"/>
    </row>
    <row r="140" spans="1:8" x14ac:dyDescent="0.2">
      <c r="A140" s="26"/>
      <c r="B140" s="26"/>
      <c r="C140" s="26" t="s">
        <v>5269</v>
      </c>
      <c r="D140" s="234" t="s">
        <v>1072</v>
      </c>
      <c r="E140" s="31">
        <v>1418</v>
      </c>
      <c r="F140" s="216">
        <v>7.7</v>
      </c>
      <c r="G140" s="31"/>
      <c r="H140" s="217"/>
    </row>
    <row r="141" spans="1:8" x14ac:dyDescent="0.2">
      <c r="A141" s="26"/>
      <c r="B141" s="26"/>
      <c r="C141" s="26" t="s">
        <v>2318</v>
      </c>
      <c r="D141" s="234"/>
      <c r="E141" s="218">
        <v>14428</v>
      </c>
      <c r="F141" s="219">
        <f>SUM(F137:F140)</f>
        <v>85.7</v>
      </c>
      <c r="G141" s="218">
        <v>26563</v>
      </c>
      <c r="H141" s="220">
        <v>54.3</v>
      </c>
    </row>
    <row r="142" spans="1:8" x14ac:dyDescent="0.2">
      <c r="A142" s="26"/>
      <c r="B142" s="26"/>
      <c r="C142" s="26"/>
      <c r="D142" s="234"/>
      <c r="E142" s="88"/>
      <c r="F142" s="84"/>
      <c r="G142" s="88"/>
      <c r="H142" s="235"/>
    </row>
    <row r="143" spans="1:8" x14ac:dyDescent="0.2">
      <c r="A143" s="26" t="s">
        <v>5270</v>
      </c>
      <c r="B143" s="26"/>
      <c r="C143" s="214" t="s">
        <v>5271</v>
      </c>
      <c r="D143" s="234" t="s">
        <v>1071</v>
      </c>
      <c r="E143" s="31">
        <v>4674</v>
      </c>
      <c r="F143" s="216">
        <v>60.2</v>
      </c>
      <c r="G143" s="31"/>
      <c r="H143" s="217"/>
    </row>
    <row r="144" spans="1:8" x14ac:dyDescent="0.2">
      <c r="A144" s="26"/>
      <c r="B144" s="26"/>
      <c r="C144" s="26" t="s">
        <v>5272</v>
      </c>
      <c r="D144" s="234" t="s">
        <v>1736</v>
      </c>
      <c r="E144" s="31">
        <v>4205</v>
      </c>
      <c r="F144" s="216">
        <v>17.8</v>
      </c>
      <c r="G144" s="31"/>
      <c r="H144" s="217"/>
    </row>
    <row r="145" spans="1:8" x14ac:dyDescent="0.2">
      <c r="A145" s="26"/>
      <c r="B145" s="26"/>
      <c r="C145" s="26" t="s">
        <v>5273</v>
      </c>
      <c r="D145" s="234" t="s">
        <v>655</v>
      </c>
      <c r="E145" s="31">
        <v>2664</v>
      </c>
      <c r="F145" s="216"/>
      <c r="G145" s="31"/>
      <c r="H145" s="217"/>
    </row>
    <row r="146" spans="1:8" x14ac:dyDescent="0.2">
      <c r="A146" s="26"/>
      <c r="B146" s="26"/>
      <c r="C146" s="26" t="s">
        <v>5274</v>
      </c>
      <c r="D146" s="234" t="s">
        <v>1072</v>
      </c>
      <c r="E146" s="31">
        <v>1173</v>
      </c>
      <c r="F146" s="216"/>
      <c r="G146" s="31"/>
      <c r="H146" s="217"/>
    </row>
    <row r="147" spans="1:8" x14ac:dyDescent="0.2">
      <c r="A147" s="26"/>
      <c r="B147" s="26"/>
      <c r="C147" s="26" t="s">
        <v>5275</v>
      </c>
      <c r="D147" s="234" t="s">
        <v>653</v>
      </c>
      <c r="E147" s="31">
        <v>188</v>
      </c>
      <c r="F147" s="216">
        <v>7.7</v>
      </c>
      <c r="G147" s="31"/>
      <c r="H147" s="217"/>
    </row>
    <row r="148" spans="1:8" x14ac:dyDescent="0.2">
      <c r="A148" s="26"/>
      <c r="B148" s="26"/>
      <c r="C148" s="26" t="s">
        <v>2318</v>
      </c>
      <c r="D148" s="234"/>
      <c r="E148" s="218">
        <v>12946</v>
      </c>
      <c r="F148" s="219">
        <f>SUM(F143:F147)</f>
        <v>85.7</v>
      </c>
      <c r="G148" s="218">
        <v>20533</v>
      </c>
      <c r="H148" s="220">
        <v>60</v>
      </c>
    </row>
    <row r="149" spans="1:8" x14ac:dyDescent="0.2">
      <c r="A149" s="26"/>
      <c r="B149" s="26"/>
      <c r="C149" s="26" t="s">
        <v>2318</v>
      </c>
      <c r="D149" s="234"/>
      <c r="E149" s="31"/>
      <c r="F149" s="216"/>
      <c r="G149" s="31"/>
      <c r="H149" s="217"/>
    </row>
    <row r="150" spans="1:8" x14ac:dyDescent="0.2">
      <c r="A150" s="26" t="s">
        <v>981</v>
      </c>
      <c r="B150" s="26"/>
      <c r="C150" s="214" t="s">
        <v>5276</v>
      </c>
      <c r="D150" s="234" t="s">
        <v>1071</v>
      </c>
      <c r="E150" s="31">
        <v>3450</v>
      </c>
      <c r="F150" s="216">
        <v>0.5</v>
      </c>
      <c r="G150" s="31"/>
      <c r="H150" s="217"/>
    </row>
    <row r="151" spans="1:8" x14ac:dyDescent="0.2">
      <c r="A151" s="26"/>
      <c r="B151" s="26"/>
      <c r="C151" s="26" t="s">
        <v>5277</v>
      </c>
      <c r="D151" s="234" t="s">
        <v>655</v>
      </c>
      <c r="E151" s="31">
        <v>2433</v>
      </c>
      <c r="F151" s="216">
        <v>47.2</v>
      </c>
      <c r="G151" s="31"/>
      <c r="H151" s="217"/>
    </row>
    <row r="152" spans="1:8" x14ac:dyDescent="0.2">
      <c r="A152" s="26"/>
      <c r="B152" s="26"/>
      <c r="C152" s="26" t="s">
        <v>5278</v>
      </c>
      <c r="D152" s="234" t="s">
        <v>1736</v>
      </c>
      <c r="E152" s="31">
        <v>2023</v>
      </c>
      <c r="F152" s="216">
        <v>5.8</v>
      </c>
      <c r="G152" s="31"/>
      <c r="H152" s="217"/>
    </row>
    <row r="153" spans="1:8" x14ac:dyDescent="0.2">
      <c r="A153" s="26"/>
      <c r="B153" s="26"/>
      <c r="C153" s="26" t="s">
        <v>2318</v>
      </c>
      <c r="D153" s="234"/>
      <c r="E153" s="218">
        <v>8022</v>
      </c>
      <c r="F153" s="219">
        <f>SUM(F150:F152)</f>
        <v>53.5</v>
      </c>
      <c r="G153" s="218">
        <v>15082</v>
      </c>
      <c r="H153" s="220">
        <v>53.2</v>
      </c>
    </row>
    <row r="154" spans="1:8" x14ac:dyDescent="0.2">
      <c r="A154" s="26"/>
      <c r="B154" s="26"/>
      <c r="C154" s="26" t="s">
        <v>2318</v>
      </c>
      <c r="D154" s="234"/>
      <c r="E154" s="31"/>
      <c r="F154" s="216"/>
      <c r="G154" s="31"/>
      <c r="H154" s="217"/>
    </row>
    <row r="155" spans="1:8" x14ac:dyDescent="0.2">
      <c r="A155" s="26" t="s">
        <v>5255</v>
      </c>
      <c r="B155" s="26"/>
      <c r="C155" s="214" t="s">
        <v>1914</v>
      </c>
      <c r="D155" s="234" t="s">
        <v>1736</v>
      </c>
      <c r="E155" s="31">
        <v>4753</v>
      </c>
      <c r="F155" s="216">
        <v>7.9</v>
      </c>
      <c r="G155" s="31"/>
      <c r="H155" s="217"/>
    </row>
    <row r="156" spans="1:8" x14ac:dyDescent="0.2">
      <c r="A156" s="26"/>
      <c r="B156" s="26"/>
      <c r="C156" s="26" t="s">
        <v>5279</v>
      </c>
      <c r="D156" s="234" t="s">
        <v>1071</v>
      </c>
      <c r="E156" s="31">
        <v>4016</v>
      </c>
      <c r="F156" s="216">
        <v>57.6</v>
      </c>
      <c r="G156" s="31"/>
      <c r="H156" s="217"/>
    </row>
    <row r="157" spans="1:8" x14ac:dyDescent="0.2">
      <c r="A157" s="26"/>
      <c r="B157" s="26"/>
      <c r="C157" s="26" t="s">
        <v>5280</v>
      </c>
      <c r="D157" s="234" t="s">
        <v>1072</v>
      </c>
      <c r="E157" s="31">
        <v>2316</v>
      </c>
      <c r="F157" s="216">
        <v>16.600000000000001</v>
      </c>
      <c r="G157" s="31"/>
      <c r="H157" s="217"/>
    </row>
    <row r="158" spans="1:8" x14ac:dyDescent="0.2">
      <c r="A158" s="26"/>
      <c r="B158" s="26"/>
      <c r="C158" s="26" t="s">
        <v>5281</v>
      </c>
      <c r="D158" s="234" t="s">
        <v>655</v>
      </c>
      <c r="E158" s="31">
        <v>1254</v>
      </c>
      <c r="F158" s="216">
        <v>17.899999999999999</v>
      </c>
      <c r="G158" s="31"/>
      <c r="H158" s="217"/>
    </row>
    <row r="159" spans="1:8" x14ac:dyDescent="0.2">
      <c r="A159" s="26"/>
      <c r="B159" s="26"/>
      <c r="C159" s="26" t="s">
        <v>2318</v>
      </c>
      <c r="D159" s="234"/>
      <c r="E159" s="218">
        <v>12371</v>
      </c>
      <c r="F159" s="219">
        <f>SUM(F155:F158)</f>
        <v>100</v>
      </c>
      <c r="G159" s="218">
        <v>17151</v>
      </c>
      <c r="H159" s="220">
        <v>72.099999999999994</v>
      </c>
    </row>
    <row r="160" spans="1:8" x14ac:dyDescent="0.2">
      <c r="A160" s="26"/>
      <c r="B160" s="26"/>
      <c r="C160" s="26" t="s">
        <v>2318</v>
      </c>
      <c r="D160" s="234"/>
      <c r="E160" s="31"/>
      <c r="F160" s="216"/>
      <c r="G160" s="31"/>
      <c r="H160" s="217"/>
    </row>
    <row r="161" spans="1:8" x14ac:dyDescent="0.2">
      <c r="A161" s="26" t="s">
        <v>2269</v>
      </c>
      <c r="B161" s="26"/>
      <c r="C161" s="214" t="s">
        <v>5282</v>
      </c>
      <c r="D161" s="234" t="s">
        <v>1072</v>
      </c>
      <c r="E161" s="31">
        <v>2803</v>
      </c>
      <c r="F161" s="216">
        <v>35.200000000000003</v>
      </c>
      <c r="G161" s="31"/>
      <c r="H161" s="217"/>
    </row>
    <row r="162" spans="1:8" x14ac:dyDescent="0.2">
      <c r="A162" s="26"/>
      <c r="B162" s="26"/>
      <c r="C162" s="26" t="s">
        <v>5283</v>
      </c>
      <c r="D162" s="234" t="s">
        <v>1071</v>
      </c>
      <c r="E162" s="31">
        <v>2372</v>
      </c>
      <c r="F162" s="216">
        <v>8</v>
      </c>
      <c r="G162" s="31"/>
      <c r="H162" s="217"/>
    </row>
    <row r="163" spans="1:8" x14ac:dyDescent="0.2">
      <c r="A163" s="26"/>
      <c r="B163" s="26"/>
      <c r="C163" s="26" t="s">
        <v>5284</v>
      </c>
      <c r="D163" s="234" t="s">
        <v>655</v>
      </c>
      <c r="E163" s="31">
        <v>1656</v>
      </c>
      <c r="F163" s="216">
        <v>3.1</v>
      </c>
      <c r="G163" s="31"/>
      <c r="H163" s="217"/>
    </row>
    <row r="164" spans="1:8" x14ac:dyDescent="0.2">
      <c r="A164" s="26"/>
      <c r="B164" s="26"/>
      <c r="C164" s="26" t="s">
        <v>2318</v>
      </c>
      <c r="D164" s="234"/>
      <c r="E164" s="218">
        <v>6858</v>
      </c>
      <c r="F164" s="219">
        <f>SUM(F161:F163)</f>
        <v>46.300000000000004</v>
      </c>
      <c r="G164" s="218">
        <v>9457</v>
      </c>
      <c r="H164" s="220">
        <v>72.5</v>
      </c>
    </row>
    <row r="165" spans="1:8" x14ac:dyDescent="0.2">
      <c r="A165" s="26"/>
      <c r="B165" s="26"/>
      <c r="C165" s="26" t="s">
        <v>2318</v>
      </c>
      <c r="D165" s="234"/>
      <c r="E165" s="31"/>
      <c r="F165" s="216"/>
      <c r="G165" s="31"/>
      <c r="H165" s="217"/>
    </row>
    <row r="166" spans="1:8" x14ac:dyDescent="0.2">
      <c r="A166" s="26" t="s">
        <v>1920</v>
      </c>
      <c r="B166" s="26"/>
      <c r="C166" s="214" t="s">
        <v>5285</v>
      </c>
      <c r="D166" s="234" t="s">
        <v>1071</v>
      </c>
      <c r="E166" s="31">
        <v>4847</v>
      </c>
      <c r="F166" s="216">
        <v>50.3</v>
      </c>
      <c r="G166" s="31"/>
      <c r="H166" s="217"/>
    </row>
    <row r="167" spans="1:8" x14ac:dyDescent="0.2">
      <c r="A167" s="26"/>
      <c r="B167" s="26"/>
      <c r="C167" s="26" t="s">
        <v>5286</v>
      </c>
      <c r="D167" s="234" t="s">
        <v>655</v>
      </c>
      <c r="E167" s="31">
        <v>2748</v>
      </c>
      <c r="F167" s="216">
        <v>4.8</v>
      </c>
      <c r="G167" s="31"/>
      <c r="H167" s="217"/>
    </row>
    <row r="168" spans="1:8" x14ac:dyDescent="0.2">
      <c r="A168" s="26"/>
      <c r="B168" s="26"/>
      <c r="C168" s="26" t="s">
        <v>5287</v>
      </c>
      <c r="D168" s="234" t="s">
        <v>1072</v>
      </c>
      <c r="E168" s="31">
        <v>1132</v>
      </c>
      <c r="F168" s="216">
        <v>18</v>
      </c>
      <c r="G168" s="31"/>
      <c r="H168" s="217"/>
    </row>
    <row r="169" spans="1:8" x14ac:dyDescent="0.2">
      <c r="A169" s="26"/>
      <c r="B169" s="26"/>
      <c r="C169" s="26" t="s">
        <v>2318</v>
      </c>
      <c r="D169" s="234"/>
      <c r="E169" s="218">
        <v>8752</v>
      </c>
      <c r="F169" s="219">
        <f>SUM(F166:F168)</f>
        <v>73.099999999999994</v>
      </c>
      <c r="G169" s="218">
        <v>12666</v>
      </c>
      <c r="H169" s="220">
        <v>69.099999999999994</v>
      </c>
    </row>
    <row r="170" spans="1:8" ht="12.75" customHeight="1" x14ac:dyDescent="0.2">
      <c r="A170" s="26"/>
      <c r="B170" s="26"/>
      <c r="C170" s="26"/>
      <c r="D170" s="234"/>
      <c r="E170" s="88"/>
      <c r="F170" s="84"/>
      <c r="G170" s="88"/>
      <c r="H170" s="235"/>
    </row>
    <row r="171" spans="1:8" x14ac:dyDescent="0.2">
      <c r="A171" s="26" t="s">
        <v>0</v>
      </c>
      <c r="B171" s="26"/>
      <c r="C171" s="214" t="s">
        <v>5291</v>
      </c>
      <c r="D171" s="234" t="s">
        <v>1071</v>
      </c>
      <c r="E171" s="31">
        <v>3363</v>
      </c>
      <c r="F171" s="216">
        <v>50.3</v>
      </c>
      <c r="G171" s="31"/>
      <c r="H171" s="217"/>
    </row>
    <row r="172" spans="1:8" x14ac:dyDescent="0.2">
      <c r="A172" s="26"/>
      <c r="B172" s="26"/>
      <c r="C172" s="26" t="s">
        <v>5123</v>
      </c>
      <c r="D172" s="234" t="s">
        <v>655</v>
      </c>
      <c r="E172" s="31">
        <v>2207</v>
      </c>
      <c r="F172" s="216">
        <v>4.8</v>
      </c>
      <c r="G172" s="31"/>
      <c r="H172" s="217"/>
    </row>
    <row r="173" spans="1:8" x14ac:dyDescent="0.2">
      <c r="A173" s="26"/>
      <c r="B173" s="26"/>
      <c r="C173" s="26" t="s">
        <v>5292</v>
      </c>
      <c r="D173" s="234" t="s">
        <v>1072</v>
      </c>
      <c r="E173" s="31">
        <v>985</v>
      </c>
      <c r="F173" s="216">
        <v>18</v>
      </c>
      <c r="G173" s="31"/>
      <c r="H173" s="217"/>
    </row>
    <row r="174" spans="1:8" x14ac:dyDescent="0.2">
      <c r="A174" s="26"/>
      <c r="B174" s="26"/>
      <c r="C174" s="26" t="s">
        <v>2318</v>
      </c>
      <c r="D174" s="234"/>
      <c r="E174" s="218">
        <v>6591</v>
      </c>
      <c r="F174" s="219">
        <f>SUM(F171:F173)</f>
        <v>73.099999999999994</v>
      </c>
      <c r="G174" s="218">
        <v>7102</v>
      </c>
      <c r="H174" s="220">
        <v>63.8</v>
      </c>
    </row>
    <row r="175" spans="1:8" x14ac:dyDescent="0.2">
      <c r="A175" s="26"/>
      <c r="B175" s="26"/>
      <c r="C175" s="26" t="s">
        <v>2318</v>
      </c>
      <c r="D175" s="234"/>
      <c r="E175" s="31"/>
      <c r="F175" s="216"/>
      <c r="G175" s="31"/>
      <c r="H175" s="217"/>
    </row>
    <row r="176" spans="1:8" x14ac:dyDescent="0.2">
      <c r="A176" s="26" t="s">
        <v>5288</v>
      </c>
      <c r="B176" s="26"/>
      <c r="C176" s="214" t="s">
        <v>5109</v>
      </c>
      <c r="D176" s="234" t="s">
        <v>1071</v>
      </c>
      <c r="E176" s="31">
        <v>2675</v>
      </c>
      <c r="F176" s="216">
        <v>50.3</v>
      </c>
      <c r="G176" s="31"/>
      <c r="H176" s="217"/>
    </row>
    <row r="177" spans="1:8" x14ac:dyDescent="0.2">
      <c r="A177" s="26"/>
      <c r="B177" s="26"/>
      <c r="C177" s="26" t="s">
        <v>5289</v>
      </c>
      <c r="D177" s="234" t="s">
        <v>1736</v>
      </c>
      <c r="E177" s="31">
        <v>2140</v>
      </c>
      <c r="F177" s="216">
        <v>4.8</v>
      </c>
      <c r="G177" s="31"/>
      <c r="H177" s="217"/>
    </row>
    <row r="178" spans="1:8" x14ac:dyDescent="0.2">
      <c r="A178" s="26"/>
      <c r="B178" s="26"/>
      <c r="C178" s="26" t="s">
        <v>5290</v>
      </c>
      <c r="D178" s="234" t="s">
        <v>655</v>
      </c>
      <c r="E178" s="31">
        <v>504</v>
      </c>
      <c r="F178" s="216">
        <v>18</v>
      </c>
      <c r="G178" s="31"/>
      <c r="H178" s="217"/>
    </row>
    <row r="179" spans="1:8" x14ac:dyDescent="0.2">
      <c r="A179" s="26"/>
      <c r="B179" s="26"/>
      <c r="C179" s="26" t="s">
        <v>2318</v>
      </c>
      <c r="D179" s="234"/>
      <c r="E179" s="218">
        <v>5332</v>
      </c>
      <c r="F179" s="219">
        <f>SUM(F176:F178)</f>
        <v>73.099999999999994</v>
      </c>
      <c r="G179" s="218">
        <v>7102</v>
      </c>
      <c r="H179" s="220">
        <v>75.099999999999994</v>
      </c>
    </row>
    <row r="180" spans="1:8" x14ac:dyDescent="0.2">
      <c r="A180" s="26"/>
      <c r="B180" s="26"/>
      <c r="C180" s="26" t="s">
        <v>2318</v>
      </c>
      <c r="D180" s="234"/>
      <c r="E180" s="31"/>
      <c r="F180" s="216"/>
      <c r="G180" s="31"/>
      <c r="H180" s="217"/>
    </row>
    <row r="181" spans="1:8" x14ac:dyDescent="0.2">
      <c r="A181" s="26" t="s">
        <v>5293</v>
      </c>
      <c r="B181" s="26"/>
      <c r="C181" s="214" t="s">
        <v>5294</v>
      </c>
      <c r="D181" s="234" t="s">
        <v>1072</v>
      </c>
      <c r="E181" s="31">
        <v>2212</v>
      </c>
      <c r="F181" s="216">
        <v>64.34</v>
      </c>
      <c r="G181" s="31"/>
      <c r="H181" s="217"/>
    </row>
    <row r="182" spans="1:8" x14ac:dyDescent="0.2">
      <c r="A182" s="26"/>
      <c r="B182" s="26"/>
      <c r="C182" s="26" t="s">
        <v>5295</v>
      </c>
      <c r="D182" s="234" t="s">
        <v>1071</v>
      </c>
      <c r="E182" s="31">
        <v>1927</v>
      </c>
      <c r="F182" s="216">
        <v>1.23</v>
      </c>
      <c r="G182" s="31"/>
      <c r="H182" s="217"/>
    </row>
    <row r="183" spans="1:8" x14ac:dyDescent="0.2">
      <c r="A183" s="26"/>
      <c r="B183" s="26"/>
      <c r="C183" s="26" t="s">
        <v>5296</v>
      </c>
      <c r="D183" s="234" t="s">
        <v>655</v>
      </c>
      <c r="E183" s="31">
        <v>758</v>
      </c>
      <c r="F183" s="216">
        <v>3.75</v>
      </c>
      <c r="G183" s="31"/>
      <c r="H183" s="217"/>
    </row>
    <row r="184" spans="1:8" x14ac:dyDescent="0.2">
      <c r="A184" s="26"/>
      <c r="B184" s="26"/>
      <c r="C184" s="26" t="s">
        <v>2318</v>
      </c>
      <c r="D184" s="234"/>
      <c r="E184" s="218">
        <v>4713</v>
      </c>
      <c r="F184" s="219">
        <v>100</v>
      </c>
      <c r="G184" s="218">
        <v>7165</v>
      </c>
      <c r="H184" s="220">
        <v>61.9</v>
      </c>
    </row>
    <row r="185" spans="1:8" x14ac:dyDescent="0.2">
      <c r="A185" s="26"/>
      <c r="B185" s="26"/>
      <c r="C185" s="26"/>
      <c r="D185" s="234"/>
      <c r="E185" s="88"/>
      <c r="F185" s="84"/>
      <c r="G185" s="88"/>
      <c r="H185" s="235"/>
    </row>
    <row r="186" spans="1:8" x14ac:dyDescent="0.2">
      <c r="A186" s="26" t="s">
        <v>1</v>
      </c>
      <c r="B186" s="26"/>
      <c r="C186" s="214" t="s">
        <v>4792</v>
      </c>
      <c r="D186" s="234" t="s">
        <v>1736</v>
      </c>
      <c r="E186" s="31">
        <v>2573</v>
      </c>
      <c r="F186" s="216">
        <v>4.6500000000000004</v>
      </c>
      <c r="G186" s="31"/>
      <c r="H186" s="217"/>
    </row>
    <row r="187" spans="1:8" x14ac:dyDescent="0.2">
      <c r="A187" s="26"/>
      <c r="B187" s="26"/>
      <c r="C187" s="26" t="s">
        <v>5297</v>
      </c>
      <c r="D187" s="234" t="s">
        <v>1071</v>
      </c>
      <c r="E187" s="31">
        <v>1731</v>
      </c>
      <c r="F187" s="216">
        <v>19.59</v>
      </c>
      <c r="G187" s="31"/>
      <c r="H187" s="217"/>
    </row>
    <row r="188" spans="1:8" x14ac:dyDescent="0.2">
      <c r="A188" s="26"/>
      <c r="B188" s="26"/>
      <c r="C188" s="26" t="s">
        <v>5298</v>
      </c>
      <c r="D188" s="234" t="s">
        <v>1072</v>
      </c>
      <c r="E188" s="31">
        <v>723</v>
      </c>
      <c r="F188" s="216"/>
      <c r="G188" s="31"/>
      <c r="H188" s="217"/>
    </row>
    <row r="189" spans="1:8" x14ac:dyDescent="0.2">
      <c r="A189" s="26"/>
      <c r="B189" s="26"/>
      <c r="C189" s="26" t="s">
        <v>5299</v>
      </c>
      <c r="D189" s="234" t="s">
        <v>655</v>
      </c>
      <c r="E189" s="31">
        <v>674</v>
      </c>
      <c r="F189" s="216">
        <v>49.91</v>
      </c>
      <c r="G189" s="31"/>
      <c r="H189" s="217"/>
    </row>
    <row r="190" spans="1:8" x14ac:dyDescent="0.2">
      <c r="A190" s="26"/>
      <c r="B190" s="26"/>
      <c r="C190" s="26" t="s">
        <v>2318</v>
      </c>
      <c r="D190" s="234"/>
      <c r="E190" s="218">
        <v>5743</v>
      </c>
      <c r="F190" s="219">
        <f>SUM(F186:F189)</f>
        <v>74.150000000000006</v>
      </c>
      <c r="G190" s="218">
        <v>8179</v>
      </c>
      <c r="H190" s="220">
        <v>70.2</v>
      </c>
    </row>
    <row r="191" spans="1:8" x14ac:dyDescent="0.2">
      <c r="A191" s="26"/>
      <c r="B191" s="26"/>
      <c r="C191" s="26" t="s">
        <v>2318</v>
      </c>
      <c r="D191" s="234"/>
      <c r="E191" s="31"/>
      <c r="F191" s="216"/>
      <c r="G191" s="31"/>
      <c r="H191" s="217"/>
    </row>
    <row r="192" spans="1:8" x14ac:dyDescent="0.2">
      <c r="A192" s="26" t="s">
        <v>1744</v>
      </c>
      <c r="B192" s="26"/>
      <c r="C192" s="214" t="s">
        <v>5300</v>
      </c>
      <c r="D192" s="234" t="s">
        <v>1071</v>
      </c>
      <c r="E192" s="31">
        <v>2690</v>
      </c>
      <c r="F192" s="216">
        <v>4.6500000000000004</v>
      </c>
      <c r="G192" s="31"/>
      <c r="H192" s="217"/>
    </row>
    <row r="193" spans="1:8" x14ac:dyDescent="0.2">
      <c r="A193" s="26"/>
      <c r="B193" s="26"/>
      <c r="C193" s="26" t="s">
        <v>5301</v>
      </c>
      <c r="D193" s="234" t="s">
        <v>1736</v>
      </c>
      <c r="E193" s="31">
        <v>1999</v>
      </c>
      <c r="F193" s="216">
        <v>19.59</v>
      </c>
      <c r="G193" s="31"/>
      <c r="H193" s="217"/>
    </row>
    <row r="194" spans="1:8" x14ac:dyDescent="0.2">
      <c r="A194" s="26"/>
      <c r="B194" s="26"/>
      <c r="C194" s="26" t="s">
        <v>2</v>
      </c>
      <c r="D194" s="234" t="s">
        <v>655</v>
      </c>
      <c r="E194" s="31">
        <v>777</v>
      </c>
      <c r="F194" s="216">
        <v>49.91</v>
      </c>
      <c r="G194" s="31"/>
      <c r="H194" s="217"/>
    </row>
    <row r="195" spans="1:8" x14ac:dyDescent="0.2">
      <c r="A195" s="26"/>
      <c r="B195" s="26"/>
      <c r="C195" s="26" t="s">
        <v>2318</v>
      </c>
      <c r="D195" s="234"/>
      <c r="E195" s="218">
        <v>5478</v>
      </c>
      <c r="F195" s="219">
        <f>SUM(F192:F194)</f>
        <v>74.150000000000006</v>
      </c>
      <c r="G195" s="218">
        <v>7332</v>
      </c>
      <c r="H195" s="220">
        <v>74.7</v>
      </c>
    </row>
    <row r="196" spans="1:8" x14ac:dyDescent="0.2">
      <c r="A196" s="26"/>
      <c r="B196" s="26"/>
      <c r="C196" s="26"/>
      <c r="D196" s="234"/>
      <c r="E196" s="88"/>
      <c r="F196" s="84"/>
      <c r="G196" s="88"/>
      <c r="H196" s="235"/>
    </row>
    <row r="197" spans="1:8" x14ac:dyDescent="0.2">
      <c r="A197" s="26" t="s">
        <v>1931</v>
      </c>
      <c r="B197" s="26"/>
      <c r="C197" s="214" t="s">
        <v>5179</v>
      </c>
      <c r="D197" s="234" t="s">
        <v>1071</v>
      </c>
      <c r="E197" s="31">
        <v>2193</v>
      </c>
      <c r="F197" s="216">
        <v>59.7</v>
      </c>
      <c r="G197" s="31"/>
      <c r="H197" s="217"/>
    </row>
    <row r="198" spans="1:8" x14ac:dyDescent="0.2">
      <c r="A198" s="26"/>
      <c r="B198" s="26"/>
      <c r="C198" s="26" t="s">
        <v>5305</v>
      </c>
      <c r="D198" s="234" t="s">
        <v>1736</v>
      </c>
      <c r="E198" s="31">
        <v>1206</v>
      </c>
      <c r="F198" s="216">
        <v>13.99</v>
      </c>
      <c r="G198" s="31"/>
      <c r="H198" s="217"/>
    </row>
    <row r="199" spans="1:8" x14ac:dyDescent="0.2">
      <c r="A199" s="26"/>
      <c r="B199" s="26"/>
      <c r="C199" s="26" t="s">
        <v>5306</v>
      </c>
      <c r="D199" s="234" t="s">
        <v>655</v>
      </c>
      <c r="E199" s="31">
        <v>1021</v>
      </c>
      <c r="F199" s="216"/>
      <c r="G199" s="31"/>
      <c r="H199" s="217"/>
    </row>
    <row r="200" spans="1:8" x14ac:dyDescent="0.2">
      <c r="A200" s="26"/>
      <c r="B200" s="26"/>
      <c r="C200" s="26" t="s">
        <v>5307</v>
      </c>
      <c r="D200" s="234" t="s">
        <v>1072</v>
      </c>
      <c r="E200" s="31">
        <v>383</v>
      </c>
      <c r="F200" s="216">
        <v>12.45</v>
      </c>
      <c r="G200" s="31"/>
      <c r="H200" s="217"/>
    </row>
    <row r="201" spans="1:8" x14ac:dyDescent="0.2">
      <c r="A201" s="26"/>
      <c r="B201" s="26"/>
      <c r="C201" s="26" t="s">
        <v>2318</v>
      </c>
      <c r="D201" s="234"/>
      <c r="E201" s="218">
        <v>4832</v>
      </c>
      <c r="F201" s="219">
        <f>SUM(F197:F200)</f>
        <v>86.14</v>
      </c>
      <c r="G201" s="218">
        <v>7578</v>
      </c>
      <c r="H201" s="220">
        <v>63.7</v>
      </c>
    </row>
    <row r="202" spans="1:8" x14ac:dyDescent="0.2">
      <c r="A202" s="26"/>
      <c r="B202" s="26"/>
      <c r="C202" s="26" t="s">
        <v>2318</v>
      </c>
      <c r="D202" s="234"/>
      <c r="E202" s="31"/>
      <c r="F202" s="216"/>
      <c r="G202" s="31"/>
      <c r="H202" s="217"/>
    </row>
    <row r="203" spans="1:8" x14ac:dyDescent="0.2">
      <c r="A203" s="26" t="s">
        <v>3</v>
      </c>
      <c r="B203" s="26"/>
      <c r="C203" s="214" t="s">
        <v>5302</v>
      </c>
      <c r="D203" s="234" t="s">
        <v>1071</v>
      </c>
      <c r="E203" s="31">
        <v>6155</v>
      </c>
      <c r="F203" s="216">
        <v>59.7</v>
      </c>
      <c r="G203" s="31"/>
      <c r="H203" s="217"/>
    </row>
    <row r="204" spans="1:8" x14ac:dyDescent="0.2">
      <c r="A204" s="26"/>
      <c r="B204" s="26"/>
      <c r="C204" s="26" t="s">
        <v>5303</v>
      </c>
      <c r="D204" s="234" t="s">
        <v>1736</v>
      </c>
      <c r="E204" s="31">
        <v>4128</v>
      </c>
      <c r="F204" s="216">
        <v>13.99</v>
      </c>
      <c r="G204" s="31"/>
      <c r="H204" s="217"/>
    </row>
    <row r="205" spans="1:8" x14ac:dyDescent="0.2">
      <c r="A205" s="26"/>
      <c r="B205" s="26"/>
      <c r="C205" s="26" t="s">
        <v>5304</v>
      </c>
      <c r="D205" s="234" t="s">
        <v>1072</v>
      </c>
      <c r="E205" s="31">
        <v>2237</v>
      </c>
      <c r="F205" s="216">
        <v>12.45</v>
      </c>
      <c r="G205" s="31"/>
      <c r="H205" s="217"/>
    </row>
    <row r="206" spans="1:8" x14ac:dyDescent="0.2">
      <c r="A206" s="26"/>
      <c r="B206" s="26"/>
      <c r="C206" s="26" t="s">
        <v>5129</v>
      </c>
      <c r="D206" s="234" t="s">
        <v>655</v>
      </c>
      <c r="E206" s="31">
        <v>1335</v>
      </c>
      <c r="F206" s="216"/>
      <c r="G206" s="31"/>
      <c r="H206" s="217"/>
    </row>
    <row r="207" spans="1:8" x14ac:dyDescent="0.2">
      <c r="A207" s="26"/>
      <c r="B207" s="26"/>
      <c r="C207" s="26" t="s">
        <v>2318</v>
      </c>
      <c r="D207" s="234"/>
      <c r="E207" s="218">
        <v>13904</v>
      </c>
      <c r="F207" s="219">
        <f>SUM(F203:F205)</f>
        <v>86.14</v>
      </c>
      <c r="G207" s="218">
        <v>21449</v>
      </c>
      <c r="H207" s="220">
        <v>64.8</v>
      </c>
    </row>
    <row r="208" spans="1:8" x14ac:dyDescent="0.2">
      <c r="A208" s="26"/>
      <c r="B208" s="26"/>
      <c r="C208" s="26" t="s">
        <v>2318</v>
      </c>
      <c r="D208" s="234"/>
      <c r="E208" s="31"/>
      <c r="F208" s="216"/>
      <c r="G208" s="31"/>
      <c r="H208" s="217"/>
    </row>
    <row r="209" spans="1:8" x14ac:dyDescent="0.2">
      <c r="A209" s="26" t="s">
        <v>3185</v>
      </c>
      <c r="B209" s="26"/>
      <c r="C209" s="214" t="s">
        <v>4944</v>
      </c>
      <c r="D209" s="234" t="s">
        <v>1071</v>
      </c>
      <c r="E209" s="31">
        <v>3367</v>
      </c>
      <c r="F209" s="216">
        <v>0.75</v>
      </c>
      <c r="G209" s="31"/>
      <c r="H209" s="217"/>
    </row>
    <row r="210" spans="1:8" x14ac:dyDescent="0.2">
      <c r="A210" s="26"/>
      <c r="B210" s="26"/>
      <c r="C210" s="26" t="s">
        <v>5308</v>
      </c>
      <c r="D210" s="234" t="s">
        <v>653</v>
      </c>
      <c r="E210" s="31">
        <v>978</v>
      </c>
      <c r="F210" s="216">
        <v>4.13</v>
      </c>
      <c r="G210" s="31"/>
      <c r="H210" s="217"/>
    </row>
    <row r="211" spans="1:8" x14ac:dyDescent="0.2">
      <c r="C211" s="26" t="s">
        <v>5309</v>
      </c>
      <c r="D211" s="234" t="s">
        <v>655</v>
      </c>
      <c r="E211" s="31">
        <v>572</v>
      </c>
      <c r="F211" s="216">
        <v>29.49</v>
      </c>
    </row>
    <row r="212" spans="1:8" x14ac:dyDescent="0.2">
      <c r="A212" s="26"/>
      <c r="B212" s="26"/>
      <c r="C212" s="26" t="s">
        <v>2318</v>
      </c>
      <c r="D212" s="234"/>
      <c r="E212" s="218">
        <v>4933</v>
      </c>
      <c r="F212" s="219">
        <f>SUM(F209:F211)</f>
        <v>34.369999999999997</v>
      </c>
      <c r="G212" s="218">
        <v>7413</v>
      </c>
      <c r="H212" s="220">
        <v>66.5</v>
      </c>
    </row>
    <row r="213" spans="1:8" x14ac:dyDescent="0.2">
      <c r="A213" s="26"/>
      <c r="B213" s="26"/>
      <c r="C213" s="26" t="s">
        <v>2318</v>
      </c>
      <c r="D213" s="234"/>
      <c r="E213" s="31"/>
      <c r="F213" s="216"/>
      <c r="G213" s="31"/>
      <c r="H213" s="217"/>
    </row>
    <row r="214" spans="1:8" x14ac:dyDescent="0.2">
      <c r="A214" s="26" t="s">
        <v>1752</v>
      </c>
      <c r="B214" s="26"/>
      <c r="C214" s="214" t="s">
        <v>5310</v>
      </c>
      <c r="D214" s="234" t="s">
        <v>1071</v>
      </c>
      <c r="E214" s="31">
        <v>2822</v>
      </c>
      <c r="F214" s="216">
        <v>5.4</v>
      </c>
      <c r="G214" s="31"/>
      <c r="H214" s="217"/>
    </row>
    <row r="215" spans="1:8" x14ac:dyDescent="0.2">
      <c r="A215" s="26"/>
      <c r="B215" s="26"/>
      <c r="C215" s="26" t="s">
        <v>5311</v>
      </c>
      <c r="D215" s="234" t="s">
        <v>1736</v>
      </c>
      <c r="E215" s="31">
        <v>1773</v>
      </c>
      <c r="F215" s="216">
        <v>58.9</v>
      </c>
      <c r="G215" s="31"/>
      <c r="H215" s="217"/>
    </row>
    <row r="216" spans="1:8" x14ac:dyDescent="0.2">
      <c r="A216" s="26"/>
      <c r="B216" s="26"/>
      <c r="C216" s="26" t="s">
        <v>5312</v>
      </c>
      <c r="D216" s="234" t="s">
        <v>655</v>
      </c>
      <c r="E216" s="31">
        <v>673</v>
      </c>
      <c r="F216" s="216"/>
      <c r="G216" s="31"/>
      <c r="H216" s="217"/>
    </row>
    <row r="217" spans="1:8" x14ac:dyDescent="0.2">
      <c r="A217" s="26"/>
      <c r="B217" s="26"/>
      <c r="C217" s="26" t="s">
        <v>5313</v>
      </c>
      <c r="D217" s="234" t="s">
        <v>1072</v>
      </c>
      <c r="E217" s="31">
        <v>149</v>
      </c>
      <c r="F217" s="216">
        <v>33.299999999999997</v>
      </c>
      <c r="G217" s="31"/>
      <c r="H217" s="217"/>
    </row>
    <row r="218" spans="1:8" x14ac:dyDescent="0.2">
      <c r="A218" s="26"/>
      <c r="B218" s="26"/>
      <c r="C218" s="26" t="s">
        <v>2318</v>
      </c>
      <c r="D218" s="234"/>
      <c r="E218" s="218">
        <v>5461</v>
      </c>
      <c r="F218" s="219">
        <v>100</v>
      </c>
      <c r="G218" s="218">
        <v>7901</v>
      </c>
      <c r="H218" s="220">
        <v>69.099999999999994</v>
      </c>
    </row>
    <row r="219" spans="1:8" x14ac:dyDescent="0.2">
      <c r="A219" s="26"/>
      <c r="B219" s="26"/>
      <c r="C219" s="26" t="s">
        <v>2318</v>
      </c>
      <c r="D219" s="234"/>
      <c r="E219" s="31"/>
      <c r="F219" s="216"/>
      <c r="G219" s="31"/>
      <c r="H219" s="217"/>
    </row>
    <row r="220" spans="1:8" x14ac:dyDescent="0.2">
      <c r="A220" s="26" t="s">
        <v>3195</v>
      </c>
      <c r="B220" s="26"/>
      <c r="C220" s="214" t="s">
        <v>5314</v>
      </c>
      <c r="D220" s="234" t="s">
        <v>1071</v>
      </c>
      <c r="E220" s="31">
        <v>4390</v>
      </c>
      <c r="F220" s="216">
        <v>13.72</v>
      </c>
      <c r="G220" s="31"/>
      <c r="H220" s="217"/>
    </row>
    <row r="221" spans="1:8" x14ac:dyDescent="0.2">
      <c r="A221" s="26"/>
      <c r="B221" s="26"/>
      <c r="C221" s="26" t="s">
        <v>5315</v>
      </c>
      <c r="D221" s="234" t="s">
        <v>1736</v>
      </c>
      <c r="E221" s="31">
        <v>2701</v>
      </c>
      <c r="F221" s="216">
        <v>72.849999999999994</v>
      </c>
      <c r="G221" s="31"/>
      <c r="H221" s="217"/>
    </row>
    <row r="222" spans="1:8" x14ac:dyDescent="0.2">
      <c r="A222" s="26"/>
      <c r="B222" s="26"/>
      <c r="C222" s="26" t="s">
        <v>5316</v>
      </c>
      <c r="D222" s="234" t="s">
        <v>1072</v>
      </c>
      <c r="E222" s="31">
        <v>2025</v>
      </c>
      <c r="F222" s="216">
        <v>5.25</v>
      </c>
      <c r="G222" s="31"/>
      <c r="H222" s="217"/>
    </row>
    <row r="223" spans="1:8" x14ac:dyDescent="0.2">
      <c r="A223" s="26"/>
      <c r="B223" s="26"/>
      <c r="C223" s="26" t="s">
        <v>5317</v>
      </c>
      <c r="D223" s="234" t="s">
        <v>655</v>
      </c>
      <c r="E223" s="31">
        <v>1819</v>
      </c>
      <c r="F223" s="216"/>
      <c r="G223" s="31"/>
      <c r="H223" s="217"/>
    </row>
    <row r="224" spans="1:8" x14ac:dyDescent="0.2">
      <c r="A224" s="26"/>
      <c r="B224" s="26"/>
      <c r="C224" s="26" t="s">
        <v>2318</v>
      </c>
      <c r="D224" s="234"/>
      <c r="E224" s="218">
        <v>10985</v>
      </c>
      <c r="F224" s="219">
        <f>SUM(F220:F223)</f>
        <v>91.82</v>
      </c>
      <c r="G224" s="218">
        <v>16104</v>
      </c>
      <c r="H224" s="220">
        <v>68.2</v>
      </c>
    </row>
    <row r="225" spans="1:8" x14ac:dyDescent="0.2">
      <c r="A225" s="26"/>
      <c r="B225" s="26"/>
      <c r="C225" s="26"/>
      <c r="D225" s="234"/>
      <c r="E225" s="88"/>
      <c r="F225" s="84"/>
      <c r="G225" s="88"/>
      <c r="H225" s="235"/>
    </row>
    <row r="226" spans="1:8" x14ac:dyDescent="0.2">
      <c r="A226" s="26" t="s">
        <v>716</v>
      </c>
      <c r="B226" s="26"/>
      <c r="C226" s="214" t="s">
        <v>5112</v>
      </c>
      <c r="D226" s="234" t="s">
        <v>1071</v>
      </c>
      <c r="E226" s="31">
        <v>2289</v>
      </c>
      <c r="F226" s="216">
        <v>70.16</v>
      </c>
      <c r="G226" s="31"/>
      <c r="H226" s="217"/>
    </row>
    <row r="227" spans="1:8" x14ac:dyDescent="0.2">
      <c r="A227" s="26"/>
      <c r="B227" s="26"/>
      <c r="C227" s="26" t="s">
        <v>5321</v>
      </c>
      <c r="D227" s="234" t="s">
        <v>1736</v>
      </c>
      <c r="E227" s="31">
        <v>2097</v>
      </c>
      <c r="F227" s="216">
        <v>27.57</v>
      </c>
      <c r="G227" s="31"/>
      <c r="H227" s="217"/>
    </row>
    <row r="228" spans="1:8" x14ac:dyDescent="0.2">
      <c r="A228" s="26"/>
      <c r="B228" s="26"/>
      <c r="C228" s="26" t="s">
        <v>5322</v>
      </c>
      <c r="D228" s="234" t="s">
        <v>655</v>
      </c>
      <c r="E228" s="31">
        <v>212</v>
      </c>
      <c r="F228" s="216"/>
      <c r="G228" s="31"/>
      <c r="H228" s="217"/>
    </row>
    <row r="229" spans="1:8" x14ac:dyDescent="0.2">
      <c r="A229" s="26"/>
      <c r="B229" s="26"/>
      <c r="C229" s="26" t="s">
        <v>5323</v>
      </c>
      <c r="D229" s="234" t="s">
        <v>1072</v>
      </c>
      <c r="E229" s="31">
        <v>88</v>
      </c>
      <c r="F229" s="216">
        <v>1.67</v>
      </c>
      <c r="G229" s="31"/>
      <c r="H229" s="217"/>
    </row>
    <row r="230" spans="1:8" x14ac:dyDescent="0.2">
      <c r="A230" s="26"/>
      <c r="B230" s="26"/>
      <c r="C230" s="26" t="s">
        <v>2318</v>
      </c>
      <c r="D230" s="234"/>
      <c r="E230" s="218">
        <v>4720</v>
      </c>
      <c r="F230" s="219">
        <f>SUM(F226:F229)</f>
        <v>99.399999999999991</v>
      </c>
      <c r="G230" s="218">
        <v>6607</v>
      </c>
      <c r="H230" s="220">
        <v>71.400000000000006</v>
      </c>
    </row>
    <row r="231" spans="1:8" x14ac:dyDescent="0.2">
      <c r="A231" s="26"/>
      <c r="B231" s="26"/>
      <c r="C231" s="26" t="s">
        <v>2318</v>
      </c>
      <c r="D231" s="234"/>
      <c r="E231" s="31"/>
      <c r="F231" s="216"/>
      <c r="G231" s="31"/>
      <c r="H231" s="217"/>
    </row>
    <row r="232" spans="1:8" x14ac:dyDescent="0.2">
      <c r="A232" s="26" t="s">
        <v>1978</v>
      </c>
      <c r="B232" s="26"/>
      <c r="C232" s="214" t="s">
        <v>5139</v>
      </c>
      <c r="D232" s="234" t="s">
        <v>1071</v>
      </c>
      <c r="E232" s="31">
        <v>4346</v>
      </c>
      <c r="F232" s="216">
        <v>70.16</v>
      </c>
      <c r="G232" s="31"/>
      <c r="H232" s="217"/>
    </row>
    <row r="233" spans="1:8" x14ac:dyDescent="0.2">
      <c r="A233" s="26"/>
      <c r="B233" s="26"/>
      <c r="C233" s="26" t="s">
        <v>5318</v>
      </c>
      <c r="D233" s="234" t="s">
        <v>1072</v>
      </c>
      <c r="E233" s="31">
        <v>1129</v>
      </c>
      <c r="F233" s="216">
        <v>27.57</v>
      </c>
      <c r="G233" s="31"/>
      <c r="H233" s="217"/>
    </row>
    <row r="234" spans="1:8" x14ac:dyDescent="0.2">
      <c r="A234" s="26"/>
      <c r="B234" s="26"/>
      <c r="C234" s="26" t="s">
        <v>5319</v>
      </c>
      <c r="D234" s="234" t="s">
        <v>717</v>
      </c>
      <c r="E234" s="31">
        <v>547</v>
      </c>
      <c r="F234" s="216"/>
      <c r="G234" s="31"/>
      <c r="H234" s="217"/>
    </row>
    <row r="235" spans="1:8" x14ac:dyDescent="0.2">
      <c r="A235" s="26"/>
      <c r="B235" s="26"/>
      <c r="C235" s="26" t="s">
        <v>5320</v>
      </c>
      <c r="D235" s="234" t="s">
        <v>655</v>
      </c>
      <c r="E235" s="31">
        <v>485</v>
      </c>
      <c r="F235" s="216">
        <v>1.67</v>
      </c>
      <c r="G235" s="31"/>
      <c r="H235" s="217"/>
    </row>
    <row r="236" spans="1:8" x14ac:dyDescent="0.2">
      <c r="A236" s="26"/>
      <c r="B236" s="26"/>
      <c r="C236" s="26" t="s">
        <v>2318</v>
      </c>
      <c r="D236" s="234"/>
      <c r="E236" s="218">
        <v>6232</v>
      </c>
      <c r="F236" s="219">
        <f>SUM(F232:F235)</f>
        <v>99.399999999999991</v>
      </c>
      <c r="G236" s="218">
        <v>8988</v>
      </c>
      <c r="H236" s="220">
        <v>69.3</v>
      </c>
    </row>
    <row r="237" spans="1:8" x14ac:dyDescent="0.2">
      <c r="A237" s="26"/>
      <c r="B237" s="26"/>
      <c r="C237" s="26" t="s">
        <v>2318</v>
      </c>
      <c r="D237" s="234"/>
      <c r="E237" s="31"/>
      <c r="F237" s="216"/>
      <c r="G237" s="31"/>
      <c r="H237" s="217"/>
    </row>
    <row r="238" spans="1:8" x14ac:dyDescent="0.2">
      <c r="A238" s="26" t="s">
        <v>415</v>
      </c>
      <c r="B238" s="26"/>
      <c r="C238" s="214" t="s">
        <v>5328</v>
      </c>
      <c r="D238" s="234" t="s">
        <v>1071</v>
      </c>
      <c r="E238" s="31">
        <v>2860</v>
      </c>
      <c r="F238" s="216">
        <v>59.8</v>
      </c>
      <c r="G238" s="31"/>
      <c r="H238" s="217"/>
    </row>
    <row r="239" spans="1:8" x14ac:dyDescent="0.2">
      <c r="A239" s="26"/>
      <c r="B239" s="26"/>
      <c r="C239" s="26" t="s">
        <v>5329</v>
      </c>
      <c r="D239" s="234" t="s">
        <v>655</v>
      </c>
      <c r="E239" s="31">
        <v>1338</v>
      </c>
      <c r="F239" s="216">
        <v>24.59</v>
      </c>
      <c r="G239" s="31"/>
      <c r="H239" s="217"/>
    </row>
    <row r="240" spans="1:8" x14ac:dyDescent="0.2">
      <c r="A240" s="26"/>
      <c r="B240" s="26"/>
      <c r="C240" s="26" t="s">
        <v>5330</v>
      </c>
      <c r="D240" s="234" t="s">
        <v>653</v>
      </c>
      <c r="E240" s="31">
        <v>1149</v>
      </c>
      <c r="F240" s="216"/>
      <c r="G240" s="31"/>
      <c r="H240" s="217"/>
    </row>
    <row r="241" spans="1:8" x14ac:dyDescent="0.2">
      <c r="A241" s="26"/>
      <c r="B241" s="26"/>
      <c r="C241" s="26" t="s">
        <v>2318</v>
      </c>
      <c r="D241" s="234"/>
      <c r="E241" s="218">
        <v>5347</v>
      </c>
      <c r="F241" s="219">
        <f>SUM(F238:F240)</f>
        <v>84.39</v>
      </c>
      <c r="G241" s="218">
        <v>9756</v>
      </c>
      <c r="H241" s="220">
        <v>54.8</v>
      </c>
    </row>
    <row r="242" spans="1:8" x14ac:dyDescent="0.2">
      <c r="A242" s="26"/>
      <c r="B242" s="26"/>
      <c r="C242" s="26" t="s">
        <v>2318</v>
      </c>
      <c r="D242" s="234"/>
      <c r="E242" s="31"/>
      <c r="F242" s="216"/>
      <c r="G242" s="31"/>
      <c r="H242" s="217"/>
    </row>
    <row r="243" spans="1:8" x14ac:dyDescent="0.2">
      <c r="A243" s="26" t="s">
        <v>718</v>
      </c>
      <c r="B243" s="26"/>
      <c r="C243" s="214" t="s">
        <v>5324</v>
      </c>
      <c r="D243" s="234" t="s">
        <v>1071</v>
      </c>
      <c r="E243" s="31">
        <v>2866</v>
      </c>
      <c r="F243" s="216">
        <v>59.8</v>
      </c>
      <c r="G243" s="31"/>
      <c r="H243" s="217"/>
    </row>
    <row r="244" spans="1:8" x14ac:dyDescent="0.2">
      <c r="A244" s="26"/>
      <c r="B244" s="26"/>
      <c r="C244" s="26" t="s">
        <v>5325</v>
      </c>
      <c r="D244" s="234" t="s">
        <v>1736</v>
      </c>
      <c r="E244" s="31">
        <v>2098</v>
      </c>
      <c r="F244" s="216">
        <v>24.59</v>
      </c>
      <c r="G244" s="31"/>
      <c r="H244" s="217"/>
    </row>
    <row r="245" spans="1:8" x14ac:dyDescent="0.2">
      <c r="A245" s="26"/>
      <c r="B245" s="26"/>
      <c r="C245" s="26" t="s">
        <v>5326</v>
      </c>
      <c r="D245" s="234" t="s">
        <v>655</v>
      </c>
      <c r="E245" s="31">
        <v>576</v>
      </c>
      <c r="F245" s="216"/>
      <c r="G245" s="31"/>
      <c r="H245" s="217"/>
    </row>
    <row r="246" spans="1:8" x14ac:dyDescent="0.2">
      <c r="A246" s="26"/>
      <c r="B246" s="26"/>
      <c r="C246" s="26" t="s">
        <v>5327</v>
      </c>
      <c r="D246" s="234" t="s">
        <v>1072</v>
      </c>
      <c r="E246" s="31">
        <v>255</v>
      </c>
      <c r="F246" s="216">
        <v>3.59</v>
      </c>
      <c r="G246" s="31"/>
      <c r="H246" s="217"/>
    </row>
    <row r="247" spans="1:8" x14ac:dyDescent="0.2">
      <c r="A247" s="26"/>
      <c r="B247" s="26"/>
      <c r="C247" s="26" t="s">
        <v>2318</v>
      </c>
      <c r="D247" s="234"/>
      <c r="E247" s="218">
        <v>6068</v>
      </c>
      <c r="F247" s="219">
        <f>SUM(F243:F246)</f>
        <v>87.98</v>
      </c>
      <c r="G247" s="218">
        <v>8945</v>
      </c>
      <c r="H247" s="220">
        <v>67.8</v>
      </c>
    </row>
    <row r="248" spans="1:8" x14ac:dyDescent="0.2">
      <c r="A248" s="26"/>
      <c r="B248" s="26"/>
      <c r="C248" s="26" t="s">
        <v>2318</v>
      </c>
      <c r="D248" s="234"/>
      <c r="E248" s="31"/>
      <c r="F248" s="216"/>
      <c r="G248" s="31"/>
      <c r="H248" s="217"/>
    </row>
    <row r="249" spans="1:8" x14ac:dyDescent="0.2">
      <c r="A249" s="26" t="s">
        <v>584</v>
      </c>
      <c r="B249" s="26"/>
      <c r="C249" s="214" t="s">
        <v>5144</v>
      </c>
      <c r="D249" s="234" t="s">
        <v>1071</v>
      </c>
      <c r="E249" s="31">
        <v>2345</v>
      </c>
      <c r="F249" s="216">
        <v>60.67</v>
      </c>
      <c r="G249" s="31"/>
      <c r="H249" s="217"/>
    </row>
    <row r="250" spans="1:8" x14ac:dyDescent="0.2">
      <c r="A250" s="26"/>
      <c r="B250" s="26"/>
      <c r="C250" s="26" t="s">
        <v>5331</v>
      </c>
      <c r="D250" s="234" t="s">
        <v>655</v>
      </c>
      <c r="E250" s="31">
        <v>1772</v>
      </c>
      <c r="F250" s="216">
        <v>10.68</v>
      </c>
      <c r="G250" s="31"/>
      <c r="H250" s="217"/>
    </row>
    <row r="251" spans="1:8" x14ac:dyDescent="0.2">
      <c r="A251" s="26"/>
      <c r="B251" s="26"/>
      <c r="C251" s="26" t="s">
        <v>5332</v>
      </c>
      <c r="D251" s="234" t="s">
        <v>1736</v>
      </c>
      <c r="E251" s="31">
        <v>722</v>
      </c>
      <c r="F251" s="216">
        <v>3.08</v>
      </c>
      <c r="G251" s="31"/>
      <c r="H251" s="217"/>
    </row>
    <row r="252" spans="1:8" x14ac:dyDescent="0.2">
      <c r="A252" s="26"/>
      <c r="B252" s="26"/>
      <c r="C252" s="26" t="s">
        <v>5333</v>
      </c>
      <c r="D252" s="234" t="s">
        <v>1072</v>
      </c>
      <c r="E252" s="31">
        <v>255</v>
      </c>
      <c r="F252" s="216">
        <v>3.08</v>
      </c>
      <c r="G252" s="31"/>
      <c r="H252" s="217"/>
    </row>
    <row r="253" spans="1:8" x14ac:dyDescent="0.2">
      <c r="A253" s="26"/>
      <c r="B253" s="26"/>
      <c r="C253" s="26" t="s">
        <v>2318</v>
      </c>
      <c r="D253" s="234"/>
      <c r="E253" s="218">
        <v>5122</v>
      </c>
      <c r="F253" s="219">
        <f>SUM(F249:F252)</f>
        <v>77.509999999999991</v>
      </c>
      <c r="G253" s="218">
        <v>6574</v>
      </c>
      <c r="H253" s="220">
        <v>77.900000000000006</v>
      </c>
    </row>
    <row r="254" spans="1:8" x14ac:dyDescent="0.2">
      <c r="A254" s="26"/>
      <c r="B254" s="26"/>
      <c r="C254" s="26" t="s">
        <v>2318</v>
      </c>
      <c r="D254" s="234"/>
      <c r="E254" s="31"/>
      <c r="F254" s="216"/>
      <c r="G254" s="31"/>
      <c r="H254" s="217"/>
    </row>
    <row r="255" spans="1:8" x14ac:dyDescent="0.2">
      <c r="A255" s="26" t="s">
        <v>2340</v>
      </c>
      <c r="B255" s="26"/>
      <c r="C255" s="214" t="s">
        <v>5334</v>
      </c>
      <c r="D255" s="234" t="s">
        <v>1071</v>
      </c>
      <c r="E255" s="31">
        <v>3286</v>
      </c>
      <c r="F255" s="216">
        <v>19.48</v>
      </c>
      <c r="G255" s="31"/>
      <c r="H255" s="217"/>
    </row>
    <row r="256" spans="1:8" x14ac:dyDescent="0.2">
      <c r="A256" s="26"/>
      <c r="B256" s="26"/>
      <c r="C256" s="26" t="s">
        <v>5148</v>
      </c>
      <c r="D256" s="234" t="s">
        <v>655</v>
      </c>
      <c r="E256" s="31">
        <v>1464</v>
      </c>
      <c r="F256" s="216">
        <v>1.72</v>
      </c>
      <c r="G256" s="31"/>
      <c r="H256" s="217"/>
    </row>
    <row r="257" spans="1:8" x14ac:dyDescent="0.2">
      <c r="A257" s="26"/>
      <c r="B257" s="26"/>
      <c r="C257" s="26" t="s">
        <v>5335</v>
      </c>
      <c r="D257" s="234" t="s">
        <v>1072</v>
      </c>
      <c r="E257" s="224">
        <v>514</v>
      </c>
      <c r="F257" s="216">
        <v>28.27</v>
      </c>
      <c r="G257" s="31"/>
      <c r="H257" s="217"/>
    </row>
    <row r="258" spans="1:8" x14ac:dyDescent="0.2">
      <c r="A258" s="26"/>
      <c r="B258" s="26"/>
      <c r="C258" s="26" t="s">
        <v>2318</v>
      </c>
      <c r="D258" s="234"/>
      <c r="E258" s="218">
        <v>5297</v>
      </c>
      <c r="F258" s="219">
        <f>SUM(F255:F257)</f>
        <v>49.47</v>
      </c>
      <c r="G258" s="218">
        <v>8181</v>
      </c>
      <c r="H258" s="220">
        <v>64.7</v>
      </c>
    </row>
    <row r="259" spans="1:8" x14ac:dyDescent="0.2">
      <c r="A259" s="26"/>
      <c r="B259" s="26"/>
      <c r="C259" s="26" t="s">
        <v>2318</v>
      </c>
      <c r="D259" s="234"/>
      <c r="E259" s="31"/>
      <c r="F259" s="216"/>
      <c r="G259" s="31"/>
      <c r="H259" s="217"/>
    </row>
    <row r="260" spans="1:8" x14ac:dyDescent="0.2">
      <c r="A260" s="26" t="s">
        <v>2341</v>
      </c>
      <c r="B260" s="26"/>
      <c r="C260" s="214" t="s">
        <v>5336</v>
      </c>
      <c r="D260" s="234" t="s">
        <v>1071</v>
      </c>
      <c r="E260" s="31">
        <v>6166</v>
      </c>
      <c r="F260" s="216">
        <v>1.95</v>
      </c>
      <c r="G260" s="31"/>
      <c r="H260" s="217"/>
    </row>
    <row r="261" spans="1:8" x14ac:dyDescent="0.2">
      <c r="A261" s="26"/>
      <c r="B261" s="26"/>
      <c r="C261" s="26" t="s">
        <v>5337</v>
      </c>
      <c r="D261" s="234" t="s">
        <v>1736</v>
      </c>
      <c r="E261" s="31">
        <v>4628</v>
      </c>
      <c r="F261" s="216">
        <v>43.22</v>
      </c>
      <c r="G261" s="31"/>
      <c r="H261" s="217"/>
    </row>
    <row r="262" spans="1:8" x14ac:dyDescent="0.2">
      <c r="A262" s="26"/>
      <c r="B262" s="26"/>
      <c r="C262" s="26" t="s">
        <v>5338</v>
      </c>
      <c r="D262" s="234" t="s">
        <v>655</v>
      </c>
      <c r="E262" s="31">
        <v>1799</v>
      </c>
      <c r="F262" s="216">
        <v>40.79</v>
      </c>
      <c r="G262" s="31"/>
      <c r="H262" s="217"/>
    </row>
    <row r="263" spans="1:8" x14ac:dyDescent="0.2">
      <c r="A263" s="26"/>
      <c r="B263" s="26"/>
      <c r="C263" s="26" t="s">
        <v>5152</v>
      </c>
      <c r="D263" s="234" t="s">
        <v>1072</v>
      </c>
      <c r="E263" s="31">
        <v>636</v>
      </c>
      <c r="F263" s="216">
        <v>14.04</v>
      </c>
      <c r="G263" s="31"/>
      <c r="H263" s="217"/>
    </row>
    <row r="264" spans="1:8" x14ac:dyDescent="0.2">
      <c r="A264" s="26"/>
      <c r="B264" s="26"/>
      <c r="C264" s="26" t="s">
        <v>2318</v>
      </c>
      <c r="D264" s="234"/>
      <c r="E264" s="218">
        <v>13284</v>
      </c>
      <c r="F264" s="219">
        <f>SUM(F260:F263)</f>
        <v>100</v>
      </c>
      <c r="G264" s="218">
        <v>19677</v>
      </c>
      <c r="H264" s="220">
        <v>67.5</v>
      </c>
    </row>
    <row r="265" spans="1:8" x14ac:dyDescent="0.2">
      <c r="A265" s="26"/>
      <c r="B265" s="26"/>
      <c r="C265" s="26" t="s">
        <v>2318</v>
      </c>
      <c r="D265" s="234"/>
      <c r="E265" s="31"/>
      <c r="F265" s="216"/>
      <c r="G265" s="31"/>
      <c r="H265" s="217"/>
    </row>
    <row r="266" spans="1:8" x14ac:dyDescent="0.2">
      <c r="A266" s="26" t="s">
        <v>436</v>
      </c>
      <c r="B266" s="26"/>
      <c r="C266" s="214" t="s">
        <v>813</v>
      </c>
      <c r="D266" s="234" t="s">
        <v>1071</v>
      </c>
      <c r="E266" s="31">
        <v>1588</v>
      </c>
      <c r="F266" s="216">
        <v>7.28</v>
      </c>
      <c r="G266" s="31"/>
      <c r="H266" s="217"/>
    </row>
    <row r="267" spans="1:8" x14ac:dyDescent="0.2">
      <c r="A267" s="26"/>
      <c r="B267" s="26"/>
      <c r="C267" s="26" t="s">
        <v>5339</v>
      </c>
      <c r="D267" s="234" t="s">
        <v>1736</v>
      </c>
      <c r="E267" s="31">
        <v>1314</v>
      </c>
      <c r="F267" s="216">
        <v>38.22</v>
      </c>
      <c r="G267" s="31"/>
      <c r="H267" s="217"/>
    </row>
    <row r="268" spans="1:8" x14ac:dyDescent="0.2">
      <c r="A268" s="26"/>
      <c r="B268" s="26"/>
      <c r="C268" s="26" t="s">
        <v>5340</v>
      </c>
      <c r="D268" s="234" t="s">
        <v>655</v>
      </c>
      <c r="E268" s="31">
        <v>737</v>
      </c>
      <c r="F268" s="216">
        <v>1.97</v>
      </c>
      <c r="G268" s="31"/>
      <c r="H268" s="217"/>
    </row>
    <row r="269" spans="1:8" x14ac:dyDescent="0.2">
      <c r="A269" s="26"/>
      <c r="B269" s="26"/>
      <c r="C269" s="26" t="s">
        <v>2318</v>
      </c>
      <c r="D269" s="234"/>
      <c r="E269" s="218">
        <v>3657</v>
      </c>
      <c r="F269" s="219">
        <f>SUM(F266:F268)</f>
        <v>47.47</v>
      </c>
      <c r="G269" s="218">
        <v>5263</v>
      </c>
      <c r="H269" s="220">
        <v>69.5</v>
      </c>
    </row>
    <row r="270" spans="1:8" x14ac:dyDescent="0.2">
      <c r="A270" s="26"/>
      <c r="B270" s="26"/>
      <c r="C270" s="26" t="s">
        <v>2318</v>
      </c>
      <c r="D270" s="234"/>
      <c r="E270" s="31"/>
      <c r="F270" s="216"/>
      <c r="G270" s="31"/>
      <c r="H270" s="217"/>
    </row>
    <row r="271" spans="1:8" ht="12.75" customHeight="1" x14ac:dyDescent="0.2">
      <c r="A271" s="26" t="s">
        <v>441</v>
      </c>
      <c r="B271" s="26"/>
      <c r="C271" s="214" t="s">
        <v>5341</v>
      </c>
      <c r="D271" s="234" t="s">
        <v>1071</v>
      </c>
      <c r="E271" s="31">
        <v>2538</v>
      </c>
      <c r="F271" s="216">
        <v>34.21</v>
      </c>
      <c r="G271" s="31"/>
      <c r="H271" s="217"/>
    </row>
    <row r="272" spans="1:8" x14ac:dyDescent="0.2">
      <c r="A272" s="26"/>
      <c r="B272" s="26"/>
      <c r="C272" s="26" t="s">
        <v>5342</v>
      </c>
      <c r="D272" s="234" t="s">
        <v>4877</v>
      </c>
      <c r="E272" s="31">
        <v>1406</v>
      </c>
      <c r="F272" s="216">
        <v>53.1</v>
      </c>
      <c r="G272" s="31"/>
      <c r="H272" s="217"/>
    </row>
    <row r="273" spans="1:8" x14ac:dyDescent="0.2">
      <c r="A273" s="26"/>
      <c r="B273" s="26"/>
      <c r="C273" s="26" t="s">
        <v>5343</v>
      </c>
      <c r="D273" s="234" t="s">
        <v>655</v>
      </c>
      <c r="E273" s="31">
        <v>792</v>
      </c>
      <c r="F273" s="216">
        <v>1.35</v>
      </c>
      <c r="G273" s="31"/>
      <c r="H273" s="217"/>
    </row>
    <row r="274" spans="1:8" x14ac:dyDescent="0.2">
      <c r="A274" s="26"/>
      <c r="B274" s="26"/>
      <c r="C274" s="26" t="s">
        <v>2318</v>
      </c>
      <c r="D274" s="234"/>
      <c r="E274" s="218">
        <v>4770</v>
      </c>
      <c r="F274" s="219">
        <f>SUM(F271:F273)</f>
        <v>88.66</v>
      </c>
      <c r="G274" s="218">
        <v>7241</v>
      </c>
      <c r="H274" s="220">
        <v>65.900000000000006</v>
      </c>
    </row>
    <row r="275" spans="1:8" x14ac:dyDescent="0.2">
      <c r="A275" s="26"/>
      <c r="B275" s="26"/>
      <c r="C275" s="26" t="s">
        <v>2318</v>
      </c>
      <c r="D275" s="234"/>
      <c r="E275" s="31"/>
      <c r="F275" s="216"/>
      <c r="G275" s="31"/>
      <c r="H275" s="217"/>
    </row>
    <row r="276" spans="1:8" x14ac:dyDescent="0.2">
      <c r="A276" s="26" t="s">
        <v>446</v>
      </c>
      <c r="B276" s="26"/>
      <c r="C276" s="214" t="s">
        <v>4980</v>
      </c>
      <c r="D276" s="234" t="s">
        <v>1071</v>
      </c>
      <c r="E276" s="31">
        <v>2824</v>
      </c>
      <c r="F276" s="216">
        <v>19.98</v>
      </c>
      <c r="G276" s="31"/>
      <c r="H276" s="217"/>
    </row>
    <row r="277" spans="1:8" x14ac:dyDescent="0.2">
      <c r="A277" s="26"/>
      <c r="B277" s="26"/>
      <c r="C277" s="26" t="s">
        <v>5344</v>
      </c>
      <c r="D277" s="234" t="s">
        <v>1072</v>
      </c>
      <c r="E277" s="31">
        <v>2297</v>
      </c>
      <c r="F277" s="216">
        <v>58.85</v>
      </c>
      <c r="G277" s="31"/>
      <c r="H277" s="217"/>
    </row>
    <row r="278" spans="1:8" x14ac:dyDescent="0.2">
      <c r="A278" s="26"/>
      <c r="B278" s="26"/>
      <c r="C278" s="26" t="s">
        <v>5345</v>
      </c>
      <c r="D278" s="234" t="s">
        <v>1736</v>
      </c>
      <c r="E278" s="31">
        <v>1469</v>
      </c>
      <c r="F278" s="216">
        <v>10.6</v>
      </c>
      <c r="G278" s="31"/>
      <c r="H278" s="217"/>
    </row>
    <row r="279" spans="1:8" x14ac:dyDescent="0.2">
      <c r="A279" s="26"/>
      <c r="B279" s="26"/>
      <c r="C279" s="26" t="s">
        <v>5346</v>
      </c>
      <c r="D279" s="234" t="s">
        <v>655</v>
      </c>
      <c r="E279" s="31">
        <v>1339</v>
      </c>
      <c r="F279" s="216">
        <v>10.57</v>
      </c>
      <c r="G279" s="31"/>
      <c r="H279" s="217"/>
    </row>
    <row r="280" spans="1:8" x14ac:dyDescent="0.2">
      <c r="A280" s="26"/>
      <c r="B280" s="26"/>
      <c r="C280" s="26" t="s">
        <v>2318</v>
      </c>
      <c r="D280" s="234"/>
      <c r="E280" s="218">
        <v>7969</v>
      </c>
      <c r="F280" s="219">
        <f>SUM(F276:F279)</f>
        <v>100</v>
      </c>
      <c r="G280" s="218">
        <v>12480</v>
      </c>
      <c r="H280" s="220">
        <v>63.8</v>
      </c>
    </row>
    <row r="281" spans="1:8" x14ac:dyDescent="0.2">
      <c r="A281" s="26"/>
      <c r="B281" s="26"/>
      <c r="C281" s="26"/>
      <c r="D281" s="234"/>
      <c r="E281" s="88"/>
      <c r="F281" s="84"/>
      <c r="G281" s="88"/>
      <c r="H281" s="235"/>
    </row>
    <row r="282" spans="1:8" x14ac:dyDescent="0.2">
      <c r="A282" s="26" t="s">
        <v>3262</v>
      </c>
      <c r="B282" s="26"/>
      <c r="C282" s="214" t="s">
        <v>5347</v>
      </c>
      <c r="D282" s="234" t="s">
        <v>1071</v>
      </c>
      <c r="E282" s="31">
        <v>2275</v>
      </c>
      <c r="F282" s="216">
        <v>29.83</v>
      </c>
      <c r="G282" s="31"/>
      <c r="H282" s="217"/>
    </row>
    <row r="283" spans="1:8" x14ac:dyDescent="0.2">
      <c r="A283" s="26"/>
      <c r="B283" s="26"/>
      <c r="C283" s="26" t="s">
        <v>5348</v>
      </c>
      <c r="D283" s="234" t="s">
        <v>1072</v>
      </c>
      <c r="E283" s="31">
        <v>1489</v>
      </c>
      <c r="F283" s="216">
        <v>14.62</v>
      </c>
      <c r="G283" s="31"/>
      <c r="H283" s="217"/>
    </row>
    <row r="284" spans="1:8" x14ac:dyDescent="0.2">
      <c r="A284" s="26"/>
      <c r="B284" s="26"/>
      <c r="C284" s="26" t="s">
        <v>5349</v>
      </c>
      <c r="D284" s="234" t="s">
        <v>655</v>
      </c>
      <c r="E284" s="31">
        <v>788</v>
      </c>
      <c r="F284" s="216"/>
      <c r="G284" s="31"/>
      <c r="H284" s="217"/>
    </row>
    <row r="285" spans="1:8" x14ac:dyDescent="0.2">
      <c r="A285" s="26"/>
      <c r="B285" s="26"/>
      <c r="C285" s="26" t="s">
        <v>5350</v>
      </c>
      <c r="D285" s="234" t="s">
        <v>5351</v>
      </c>
      <c r="E285" s="31">
        <v>571</v>
      </c>
      <c r="F285" s="216">
        <v>3.66</v>
      </c>
      <c r="G285" s="31"/>
      <c r="H285" s="217"/>
    </row>
    <row r="286" spans="1:8" x14ac:dyDescent="0.2">
      <c r="A286" s="26"/>
      <c r="B286" s="26"/>
      <c r="C286" s="26" t="s">
        <v>2318</v>
      </c>
      <c r="D286" s="234"/>
      <c r="E286" s="218">
        <v>5137</v>
      </c>
      <c r="F286" s="219">
        <f>SUM(F282:F285)</f>
        <v>48.11</v>
      </c>
      <c r="G286" s="218">
        <v>7512</v>
      </c>
      <c r="H286" s="220">
        <v>68.400000000000006</v>
      </c>
    </row>
    <row r="287" spans="1:8" x14ac:dyDescent="0.2">
      <c r="A287" s="26"/>
      <c r="B287" s="26"/>
      <c r="C287" s="26" t="s">
        <v>2318</v>
      </c>
      <c r="D287" s="234"/>
      <c r="E287" s="31"/>
      <c r="F287" s="216"/>
      <c r="G287" s="31"/>
      <c r="H287" s="217"/>
    </row>
    <row r="288" spans="1:8" x14ac:dyDescent="0.2">
      <c r="A288" s="26" t="s">
        <v>5352</v>
      </c>
      <c r="B288" s="26"/>
      <c r="C288" s="214" t="s">
        <v>5353</v>
      </c>
      <c r="D288" s="234" t="s">
        <v>1071</v>
      </c>
      <c r="E288" s="31">
        <v>3470</v>
      </c>
      <c r="F288" s="216">
        <v>1</v>
      </c>
      <c r="G288" s="31"/>
      <c r="H288" s="217"/>
    </row>
    <row r="289" spans="1:8" x14ac:dyDescent="0.2">
      <c r="A289" s="26"/>
      <c r="B289" s="26"/>
      <c r="C289" s="26" t="s">
        <v>5354</v>
      </c>
      <c r="D289" s="234" t="s">
        <v>1736</v>
      </c>
      <c r="E289" s="31">
        <v>1103</v>
      </c>
      <c r="F289" s="216"/>
      <c r="G289" s="31"/>
      <c r="H289" s="217"/>
    </row>
    <row r="290" spans="1:8" x14ac:dyDescent="0.2">
      <c r="A290" s="26"/>
      <c r="B290" s="26"/>
      <c r="C290" s="26" t="s">
        <v>4590</v>
      </c>
      <c r="D290" s="234" t="s">
        <v>655</v>
      </c>
      <c r="E290" s="31">
        <v>680</v>
      </c>
      <c r="F290" s="216"/>
      <c r="G290" s="31"/>
      <c r="H290" s="217"/>
    </row>
    <row r="291" spans="1:8" x14ac:dyDescent="0.2">
      <c r="A291" s="26"/>
      <c r="B291" s="26"/>
      <c r="C291" s="26" t="s">
        <v>5355</v>
      </c>
      <c r="D291" s="234" t="s">
        <v>1072</v>
      </c>
      <c r="E291" s="31">
        <v>547</v>
      </c>
      <c r="F291" s="216">
        <v>5.28</v>
      </c>
      <c r="G291" s="31"/>
      <c r="H291" s="217"/>
    </row>
    <row r="292" spans="1:8" x14ac:dyDescent="0.2">
      <c r="A292" s="26"/>
      <c r="B292" s="26"/>
      <c r="C292" s="26"/>
      <c r="D292" s="234"/>
      <c r="E292" s="218">
        <v>5841</v>
      </c>
      <c r="F292" s="219">
        <f>SUM(F288:F291)</f>
        <v>6.28</v>
      </c>
      <c r="G292" s="218">
        <v>8559</v>
      </c>
      <c r="H292" s="220">
        <v>68.2</v>
      </c>
    </row>
    <row r="293" spans="1:8" x14ac:dyDescent="0.2">
      <c r="A293" s="26"/>
      <c r="B293" s="26"/>
      <c r="C293" s="26" t="s">
        <v>2318</v>
      </c>
      <c r="D293" s="234"/>
      <c r="E293" s="31"/>
      <c r="F293" s="216"/>
      <c r="G293" s="31"/>
      <c r="H293" s="217"/>
    </row>
    <row r="294" spans="1:8" x14ac:dyDescent="0.2">
      <c r="A294" s="26" t="s">
        <v>5356</v>
      </c>
      <c r="B294" s="26"/>
      <c r="C294" s="214" t="s">
        <v>5357</v>
      </c>
      <c r="D294" s="234" t="s">
        <v>1071</v>
      </c>
      <c r="E294" s="31">
        <v>2627</v>
      </c>
      <c r="F294" s="216">
        <v>1</v>
      </c>
      <c r="G294" s="31"/>
      <c r="H294" s="217"/>
    </row>
    <row r="295" spans="1:8" x14ac:dyDescent="0.2">
      <c r="A295" s="26"/>
      <c r="B295" s="26"/>
      <c r="C295" s="26" t="s">
        <v>5358</v>
      </c>
      <c r="D295" s="234" t="s">
        <v>655</v>
      </c>
      <c r="E295" s="31">
        <v>1634</v>
      </c>
      <c r="F295" s="216"/>
      <c r="G295" s="31"/>
      <c r="H295" s="217"/>
    </row>
    <row r="296" spans="1:8" x14ac:dyDescent="0.2">
      <c r="A296" s="26"/>
      <c r="B296" s="26"/>
      <c r="C296" s="26" t="s">
        <v>5359</v>
      </c>
      <c r="D296" s="234" t="s">
        <v>1072</v>
      </c>
      <c r="E296" s="31">
        <v>413</v>
      </c>
      <c r="F296" s="216"/>
      <c r="G296" s="31"/>
      <c r="H296" s="217"/>
    </row>
    <row r="297" spans="1:8" x14ac:dyDescent="0.2">
      <c r="A297" s="26"/>
      <c r="B297" s="26"/>
      <c r="C297" s="26"/>
      <c r="D297" s="234"/>
      <c r="E297" s="218">
        <v>4681</v>
      </c>
      <c r="F297" s="219">
        <f>SUM(F294:F296)</f>
        <v>1</v>
      </c>
      <c r="G297" s="218">
        <v>6382</v>
      </c>
      <c r="H297" s="220">
        <v>73.3</v>
      </c>
    </row>
    <row r="298" spans="1:8" x14ac:dyDescent="0.2">
      <c r="A298" s="26"/>
      <c r="B298" s="26"/>
      <c r="C298" s="26" t="s">
        <v>2318</v>
      </c>
      <c r="D298" s="234"/>
      <c r="E298" s="31"/>
      <c r="F298" s="216"/>
      <c r="G298" s="31"/>
      <c r="H298" s="217"/>
    </row>
    <row r="299" spans="1:8" x14ac:dyDescent="0.2">
      <c r="A299" s="26"/>
      <c r="B299" s="26"/>
      <c r="C299" s="26" t="s">
        <v>2318</v>
      </c>
      <c r="D299" s="234"/>
      <c r="E299" s="31"/>
      <c r="F299" s="216"/>
      <c r="G299" s="31"/>
      <c r="H299" s="217"/>
    </row>
    <row r="300" spans="1:8" x14ac:dyDescent="0.2">
      <c r="A300" s="26" t="s">
        <v>715</v>
      </c>
      <c r="B300" s="26"/>
      <c r="C300" s="214" t="s">
        <v>5360</v>
      </c>
      <c r="D300" s="234" t="s">
        <v>1071</v>
      </c>
      <c r="E300" s="31">
        <v>2659</v>
      </c>
      <c r="F300" s="216">
        <v>1.81</v>
      </c>
      <c r="G300" s="31"/>
      <c r="H300" s="217"/>
    </row>
    <row r="301" spans="1:8" x14ac:dyDescent="0.2">
      <c r="A301" s="26"/>
      <c r="B301" s="26"/>
      <c r="C301" s="26" t="s">
        <v>5361</v>
      </c>
      <c r="D301" s="234" t="s">
        <v>1736</v>
      </c>
      <c r="E301" s="31">
        <v>1461</v>
      </c>
      <c r="F301" s="216">
        <v>8.2899999999999991</v>
      </c>
      <c r="G301" s="31"/>
      <c r="H301" s="217"/>
    </row>
    <row r="302" spans="1:8" x14ac:dyDescent="0.2">
      <c r="A302" s="26"/>
      <c r="B302" s="26"/>
      <c r="C302" s="26" t="s">
        <v>5362</v>
      </c>
      <c r="D302" s="234" t="s">
        <v>655</v>
      </c>
      <c r="E302" s="31">
        <v>635</v>
      </c>
      <c r="F302" s="216"/>
      <c r="G302" s="31"/>
      <c r="H302" s="217"/>
    </row>
    <row r="303" spans="1:8" x14ac:dyDescent="0.2">
      <c r="A303" s="26"/>
      <c r="B303" s="26"/>
      <c r="C303" s="26" t="s">
        <v>2318</v>
      </c>
      <c r="D303" s="234"/>
      <c r="E303" s="218">
        <v>4845</v>
      </c>
      <c r="F303" s="219">
        <f>SUM(F300:F301)</f>
        <v>10.1</v>
      </c>
      <c r="G303" s="218">
        <v>6881</v>
      </c>
      <c r="H303" s="220">
        <v>70.400000000000006</v>
      </c>
    </row>
    <row r="304" spans="1:8" x14ac:dyDescent="0.2">
      <c r="A304" s="26"/>
      <c r="B304" s="26"/>
      <c r="C304" s="26" t="s">
        <v>2318</v>
      </c>
      <c r="D304" s="234"/>
      <c r="E304" s="31"/>
      <c r="F304" s="216"/>
      <c r="G304" s="31"/>
      <c r="H304" s="217"/>
    </row>
    <row r="305" spans="1:8" x14ac:dyDescent="0.2">
      <c r="A305" s="26" t="s">
        <v>2545</v>
      </c>
      <c r="B305" s="26"/>
      <c r="C305" s="214" t="s">
        <v>5163</v>
      </c>
      <c r="D305" s="234" t="s">
        <v>1071</v>
      </c>
      <c r="E305" s="31">
        <v>2316</v>
      </c>
      <c r="F305" s="216">
        <v>10.36</v>
      </c>
      <c r="G305" s="31"/>
      <c r="H305" s="217"/>
    </row>
    <row r="306" spans="1:8" x14ac:dyDescent="0.2">
      <c r="A306" s="26"/>
      <c r="B306" s="26"/>
      <c r="C306" s="26" t="s">
        <v>5363</v>
      </c>
      <c r="D306" s="234" t="s">
        <v>655</v>
      </c>
      <c r="E306" s="31">
        <v>1855</v>
      </c>
      <c r="F306" s="216">
        <v>0.71</v>
      </c>
      <c r="G306" s="31"/>
      <c r="H306" s="217"/>
    </row>
    <row r="307" spans="1:8" x14ac:dyDescent="0.2">
      <c r="A307" s="26"/>
      <c r="B307" s="26"/>
      <c r="C307" s="26" t="s">
        <v>5364</v>
      </c>
      <c r="D307" s="234" t="s">
        <v>1736</v>
      </c>
      <c r="E307" s="31">
        <v>1670</v>
      </c>
      <c r="F307" s="216"/>
      <c r="G307" s="31"/>
      <c r="H307" s="217"/>
    </row>
    <row r="308" spans="1:8" x14ac:dyDescent="0.2">
      <c r="A308" s="26"/>
      <c r="B308" s="26"/>
      <c r="C308" s="26" t="s">
        <v>5365</v>
      </c>
      <c r="D308" s="234" t="s">
        <v>4860</v>
      </c>
      <c r="E308" s="31">
        <v>517</v>
      </c>
      <c r="F308" s="216">
        <v>10.64</v>
      </c>
      <c r="G308" s="31"/>
      <c r="H308" s="217"/>
    </row>
    <row r="309" spans="1:8" x14ac:dyDescent="0.2">
      <c r="A309" s="26"/>
      <c r="B309" s="26"/>
      <c r="C309" s="26" t="s">
        <v>2318</v>
      </c>
      <c r="D309" s="234"/>
      <c r="E309" s="218">
        <v>6389</v>
      </c>
      <c r="F309" s="219">
        <f>SUM(F305:F308)</f>
        <v>21.71</v>
      </c>
      <c r="G309" s="218">
        <v>9838</v>
      </c>
      <c r="H309" s="220">
        <v>64.900000000000006</v>
      </c>
    </row>
    <row r="310" spans="1:8" x14ac:dyDescent="0.2">
      <c r="A310" s="26"/>
      <c r="B310" s="26"/>
      <c r="C310" s="26" t="s">
        <v>2318</v>
      </c>
      <c r="D310" s="234"/>
      <c r="E310" s="31"/>
      <c r="F310" s="216"/>
      <c r="G310" s="31"/>
      <c r="H310" s="217"/>
    </row>
    <row r="311" spans="1:8" x14ac:dyDescent="0.2">
      <c r="A311" s="26" t="s">
        <v>5366</v>
      </c>
      <c r="B311" s="26"/>
      <c r="C311" s="214" t="s">
        <v>5097</v>
      </c>
      <c r="D311" s="234" t="s">
        <v>1071</v>
      </c>
      <c r="E311" s="31">
        <v>4052</v>
      </c>
      <c r="F311" s="216">
        <v>46.47</v>
      </c>
      <c r="G311" s="31"/>
      <c r="H311" s="217"/>
    </row>
    <row r="312" spans="1:8" x14ac:dyDescent="0.2">
      <c r="A312" s="26"/>
      <c r="B312" s="26"/>
      <c r="C312" s="26" t="s">
        <v>5367</v>
      </c>
      <c r="D312" s="234" t="s">
        <v>1736</v>
      </c>
      <c r="E312" s="31">
        <v>2493</v>
      </c>
      <c r="F312" s="216">
        <v>3.24</v>
      </c>
      <c r="G312" s="31"/>
      <c r="H312" s="217"/>
    </row>
    <row r="313" spans="1:8" x14ac:dyDescent="0.2">
      <c r="A313" s="26"/>
      <c r="B313" s="26"/>
      <c r="C313" s="26" t="s">
        <v>5368</v>
      </c>
      <c r="D313" s="234" t="s">
        <v>1072</v>
      </c>
      <c r="E313" s="31">
        <v>1794</v>
      </c>
      <c r="F313" s="216">
        <v>41.8</v>
      </c>
      <c r="G313" s="31"/>
      <c r="H313" s="217"/>
    </row>
    <row r="314" spans="1:8" x14ac:dyDescent="0.2">
      <c r="A314" s="26"/>
      <c r="B314" s="26"/>
      <c r="C314" s="26" t="s">
        <v>5369</v>
      </c>
      <c r="D314" s="234" t="s">
        <v>655</v>
      </c>
      <c r="E314" s="31">
        <v>1627</v>
      </c>
      <c r="F314" s="216">
        <v>8.52</v>
      </c>
      <c r="G314" s="31"/>
      <c r="H314" s="217"/>
    </row>
    <row r="315" spans="1:8" x14ac:dyDescent="0.2">
      <c r="A315" s="26"/>
      <c r="B315" s="26"/>
      <c r="C315" s="26" t="s">
        <v>2318</v>
      </c>
      <c r="D315" s="234"/>
      <c r="E315" s="218">
        <v>10004</v>
      </c>
      <c r="F315" s="219">
        <f>SUM(F311:F314)</f>
        <v>100.02999999999999</v>
      </c>
      <c r="G315" s="218">
        <v>16750</v>
      </c>
      <c r="H315" s="220">
        <v>59.7</v>
      </c>
    </row>
    <row r="316" spans="1:8" x14ac:dyDescent="0.2">
      <c r="A316" s="26"/>
      <c r="B316" s="26"/>
      <c r="C316" s="26" t="s">
        <v>2318</v>
      </c>
      <c r="D316" s="234"/>
      <c r="E316" s="31"/>
      <c r="F316" s="216"/>
      <c r="G316" s="31"/>
      <c r="H316" s="217"/>
    </row>
    <row r="317" spans="1:8" x14ac:dyDescent="0.2">
      <c r="A317" s="26" t="s">
        <v>5370</v>
      </c>
      <c r="B317" s="26"/>
      <c r="C317" s="214" t="s">
        <v>5371</v>
      </c>
      <c r="D317" s="234" t="s">
        <v>1071</v>
      </c>
      <c r="E317" s="31">
        <v>6314</v>
      </c>
      <c r="F317" s="216">
        <v>46.47</v>
      </c>
      <c r="G317" s="31"/>
      <c r="H317" s="217"/>
    </row>
    <row r="318" spans="1:8" x14ac:dyDescent="0.2">
      <c r="A318" s="26"/>
      <c r="B318" s="26"/>
      <c r="C318" s="26" t="s">
        <v>5372</v>
      </c>
      <c r="D318" s="234" t="s">
        <v>1736</v>
      </c>
      <c r="E318" s="31">
        <v>2976</v>
      </c>
      <c r="F318" s="216">
        <v>3.24</v>
      </c>
      <c r="G318" s="31"/>
      <c r="H318" s="217"/>
    </row>
    <row r="319" spans="1:8" x14ac:dyDescent="0.2">
      <c r="A319" s="26"/>
      <c r="B319" s="26"/>
      <c r="C319" s="26" t="s">
        <v>5373</v>
      </c>
      <c r="D319" s="234" t="s">
        <v>655</v>
      </c>
      <c r="E319" s="31">
        <v>1909</v>
      </c>
      <c r="F319" s="216">
        <v>41.8</v>
      </c>
      <c r="G319" s="31"/>
      <c r="H319" s="217"/>
    </row>
    <row r="320" spans="1:8" x14ac:dyDescent="0.2">
      <c r="A320" s="26"/>
      <c r="B320" s="26"/>
      <c r="C320" s="26" t="s">
        <v>5374</v>
      </c>
      <c r="D320" s="234" t="s">
        <v>1072</v>
      </c>
      <c r="E320" s="31">
        <v>1458</v>
      </c>
      <c r="F320" s="216">
        <v>8.52</v>
      </c>
      <c r="G320" s="31"/>
      <c r="H320" s="217"/>
    </row>
    <row r="321" spans="1:8" x14ac:dyDescent="0.2">
      <c r="A321" s="26"/>
      <c r="B321" s="26"/>
      <c r="C321" s="26" t="s">
        <v>2318</v>
      </c>
      <c r="D321" s="234"/>
      <c r="E321" s="218">
        <v>12703</v>
      </c>
      <c r="F321" s="219">
        <f>SUM(F317:F320)</f>
        <v>100.02999999999999</v>
      </c>
      <c r="G321" s="218">
        <v>19282</v>
      </c>
      <c r="H321" s="220">
        <v>65.900000000000006</v>
      </c>
    </row>
    <row r="322" spans="1:8" x14ac:dyDescent="0.2">
      <c r="A322" s="26"/>
      <c r="B322" s="26"/>
      <c r="C322" s="26" t="s">
        <v>2318</v>
      </c>
      <c r="D322" s="234"/>
      <c r="E322" s="31"/>
      <c r="F322" s="216"/>
      <c r="G322" s="31"/>
      <c r="H322" s="217"/>
    </row>
    <row r="323" spans="1:8" x14ac:dyDescent="0.2">
      <c r="A323" s="26" t="s">
        <v>5375</v>
      </c>
      <c r="B323" s="26"/>
      <c r="C323" s="214" t="s">
        <v>5376</v>
      </c>
      <c r="D323" s="234" t="s">
        <v>1071</v>
      </c>
      <c r="E323" s="31">
        <v>3934</v>
      </c>
      <c r="F323" s="216">
        <v>46.47</v>
      </c>
      <c r="G323" s="31"/>
      <c r="H323" s="217"/>
    </row>
    <row r="324" spans="1:8" x14ac:dyDescent="0.2">
      <c r="A324" s="26"/>
      <c r="B324" s="26"/>
      <c r="C324" s="26" t="s">
        <v>5377</v>
      </c>
      <c r="D324" s="234" t="s">
        <v>1736</v>
      </c>
      <c r="E324" s="31">
        <v>2594</v>
      </c>
      <c r="F324" s="216">
        <v>3.24</v>
      </c>
      <c r="G324" s="31"/>
      <c r="H324" s="217"/>
    </row>
    <row r="325" spans="1:8" x14ac:dyDescent="0.2">
      <c r="A325" s="26"/>
      <c r="B325" s="26"/>
      <c r="C325" s="26" t="s">
        <v>5061</v>
      </c>
      <c r="D325" s="234" t="s">
        <v>655</v>
      </c>
      <c r="E325" s="31">
        <v>2123</v>
      </c>
      <c r="F325" s="216">
        <v>41.8</v>
      </c>
      <c r="G325" s="31"/>
      <c r="H325" s="217"/>
    </row>
    <row r="326" spans="1:8" x14ac:dyDescent="0.2">
      <c r="A326" s="26"/>
      <c r="B326" s="26"/>
      <c r="C326" s="26" t="s">
        <v>5062</v>
      </c>
      <c r="D326" s="234" t="s">
        <v>1072</v>
      </c>
      <c r="E326" s="31">
        <v>968</v>
      </c>
      <c r="F326" s="216">
        <v>8.52</v>
      </c>
      <c r="G326" s="31"/>
      <c r="H326" s="217"/>
    </row>
    <row r="327" spans="1:8" x14ac:dyDescent="0.2">
      <c r="A327" s="26"/>
      <c r="B327" s="26"/>
      <c r="C327" s="26" t="s">
        <v>2318</v>
      </c>
      <c r="D327" s="234"/>
      <c r="E327" s="218">
        <v>9659</v>
      </c>
      <c r="F327" s="219">
        <f>SUM(F323:F326)</f>
        <v>100.02999999999999</v>
      </c>
      <c r="G327" s="218">
        <v>15241</v>
      </c>
      <c r="H327" s="220">
        <v>63.4</v>
      </c>
    </row>
    <row r="328" spans="1:8" x14ac:dyDescent="0.2">
      <c r="A328" s="26"/>
      <c r="B328" s="26"/>
      <c r="C328" s="26" t="s">
        <v>2318</v>
      </c>
      <c r="D328" s="234"/>
      <c r="E328" s="31"/>
      <c r="F328" s="216"/>
      <c r="G328" s="31"/>
      <c r="H328" s="217"/>
    </row>
    <row r="329" spans="1:8" x14ac:dyDescent="0.2">
      <c r="A329" s="26" t="s">
        <v>5378</v>
      </c>
      <c r="B329" s="26"/>
      <c r="C329" s="214" t="s">
        <v>1283</v>
      </c>
      <c r="D329" s="234" t="s">
        <v>1736</v>
      </c>
      <c r="E329" s="31">
        <v>6764</v>
      </c>
      <c r="F329" s="216">
        <v>46.47</v>
      </c>
      <c r="G329" s="31"/>
      <c r="H329" s="217"/>
    </row>
    <row r="330" spans="1:8" x14ac:dyDescent="0.2">
      <c r="A330" s="26"/>
      <c r="B330" s="26"/>
      <c r="C330" s="26" t="s">
        <v>5379</v>
      </c>
      <c r="D330" s="234" t="s">
        <v>1071</v>
      </c>
      <c r="E330" s="31">
        <v>5153</v>
      </c>
      <c r="F330" s="216">
        <v>3.24</v>
      </c>
      <c r="G330" s="31"/>
      <c r="H330" s="217"/>
    </row>
    <row r="331" spans="1:8" x14ac:dyDescent="0.2">
      <c r="A331" s="26"/>
      <c r="B331" s="26"/>
      <c r="C331" s="26" t="s">
        <v>5380</v>
      </c>
      <c r="D331" s="234" t="s">
        <v>655</v>
      </c>
      <c r="E331" s="31">
        <v>1115</v>
      </c>
      <c r="F331" s="216">
        <v>41.8</v>
      </c>
      <c r="G331" s="31"/>
      <c r="H331" s="217"/>
    </row>
    <row r="332" spans="1:8" x14ac:dyDescent="0.2">
      <c r="A332" s="26"/>
      <c r="B332" s="26"/>
      <c r="C332" s="26" t="s">
        <v>5381</v>
      </c>
      <c r="D332" s="234" t="s">
        <v>1072</v>
      </c>
      <c r="E332" s="31">
        <v>890</v>
      </c>
      <c r="F332" s="216">
        <v>8.52</v>
      </c>
      <c r="G332" s="31"/>
      <c r="H332" s="217"/>
    </row>
    <row r="333" spans="1:8" x14ac:dyDescent="0.2">
      <c r="A333" s="26"/>
      <c r="B333" s="26"/>
      <c r="C333" s="26" t="s">
        <v>2318</v>
      </c>
      <c r="D333" s="234"/>
      <c r="E333" s="218">
        <v>13978</v>
      </c>
      <c r="F333" s="219">
        <f>SUM(F329:F332)</f>
        <v>100.02999999999999</v>
      </c>
      <c r="G333" s="218">
        <v>19880</v>
      </c>
      <c r="H333" s="220">
        <v>70.3</v>
      </c>
    </row>
    <row r="334" spans="1:8" x14ac:dyDescent="0.2">
      <c r="A334" s="26"/>
      <c r="B334" s="26"/>
      <c r="C334" s="26" t="s">
        <v>2318</v>
      </c>
      <c r="D334" s="234"/>
      <c r="E334" s="31"/>
      <c r="F334" s="216"/>
      <c r="G334" s="31"/>
      <c r="H334" s="217"/>
    </row>
    <row r="335" spans="1:8" x14ac:dyDescent="0.2">
      <c r="A335" s="26" t="s">
        <v>1979</v>
      </c>
      <c r="B335" s="26"/>
      <c r="C335" s="214" t="s">
        <v>5168</v>
      </c>
      <c r="D335" s="234" t="s">
        <v>1071</v>
      </c>
      <c r="E335" s="31">
        <v>3451</v>
      </c>
      <c r="F335" s="216">
        <v>65.36</v>
      </c>
      <c r="G335" s="31"/>
      <c r="H335" s="217"/>
    </row>
    <row r="336" spans="1:8" x14ac:dyDescent="0.2">
      <c r="A336" s="26"/>
      <c r="B336" s="26"/>
      <c r="C336" s="26" t="s">
        <v>719</v>
      </c>
      <c r="D336" s="234" t="s">
        <v>1736</v>
      </c>
      <c r="E336" s="31">
        <v>1170</v>
      </c>
      <c r="F336" s="216">
        <v>27.49</v>
      </c>
      <c r="G336" s="31"/>
      <c r="H336" s="217"/>
    </row>
    <row r="337" spans="1:8" x14ac:dyDescent="0.2">
      <c r="A337" s="26"/>
      <c r="B337" s="26"/>
      <c r="C337" s="26" t="s">
        <v>5382</v>
      </c>
      <c r="D337" s="234" t="s">
        <v>1072</v>
      </c>
      <c r="E337" s="31">
        <v>683</v>
      </c>
      <c r="F337" s="216"/>
      <c r="G337" s="31"/>
      <c r="H337" s="217"/>
    </row>
    <row r="338" spans="1:8" x14ac:dyDescent="0.2">
      <c r="A338" s="26"/>
      <c r="B338" s="26"/>
      <c r="C338" s="26" t="s">
        <v>5383</v>
      </c>
      <c r="D338" s="234" t="s">
        <v>655</v>
      </c>
      <c r="E338" s="31">
        <v>292</v>
      </c>
      <c r="F338" s="216"/>
      <c r="G338" s="31"/>
      <c r="H338" s="217"/>
    </row>
    <row r="339" spans="1:8" x14ac:dyDescent="0.2">
      <c r="A339" s="26"/>
      <c r="B339" s="26"/>
      <c r="C339" s="26" t="s">
        <v>2318</v>
      </c>
      <c r="D339" s="234"/>
      <c r="E339" s="218">
        <v>5635</v>
      </c>
      <c r="F339" s="219">
        <f>SUM(F335:F336)</f>
        <v>92.85</v>
      </c>
      <c r="G339" s="218">
        <v>9402</v>
      </c>
      <c r="H339" s="220">
        <v>59.7</v>
      </c>
    </row>
    <row r="340" spans="1:8" x14ac:dyDescent="0.2">
      <c r="A340" s="26"/>
      <c r="B340" s="26"/>
      <c r="C340" s="26" t="s">
        <v>2318</v>
      </c>
      <c r="D340" s="234"/>
      <c r="E340" s="31"/>
      <c r="F340" s="216"/>
      <c r="G340" s="31"/>
      <c r="H340" s="217"/>
    </row>
    <row r="341" spans="1:8" x14ac:dyDescent="0.2">
      <c r="A341" s="26" t="s">
        <v>3087</v>
      </c>
      <c r="B341" s="26"/>
      <c r="C341" s="214" t="s">
        <v>5384</v>
      </c>
      <c r="D341" s="234" t="s">
        <v>1071</v>
      </c>
      <c r="E341" s="31">
        <v>2762</v>
      </c>
      <c r="F341" s="216">
        <v>35.909999999999997</v>
      </c>
      <c r="G341" s="31"/>
      <c r="H341" s="217"/>
    </row>
    <row r="342" spans="1:8" x14ac:dyDescent="0.2">
      <c r="A342" s="26"/>
      <c r="B342" s="26"/>
      <c r="C342" s="26" t="s">
        <v>5385</v>
      </c>
      <c r="D342" s="234" t="s">
        <v>1072</v>
      </c>
      <c r="E342" s="31">
        <v>1317</v>
      </c>
      <c r="F342" s="216">
        <v>59.42</v>
      </c>
      <c r="G342" s="31"/>
      <c r="H342" s="217"/>
    </row>
    <row r="343" spans="1:8" x14ac:dyDescent="0.2">
      <c r="A343" s="26"/>
      <c r="B343" s="26"/>
      <c r="C343" s="26" t="s">
        <v>5386</v>
      </c>
      <c r="D343" s="234" t="s">
        <v>1736</v>
      </c>
      <c r="E343" s="31">
        <v>1113</v>
      </c>
      <c r="F343" s="216"/>
      <c r="G343" s="31"/>
      <c r="H343" s="217"/>
    </row>
    <row r="344" spans="1:8" x14ac:dyDescent="0.2">
      <c r="A344" s="26"/>
      <c r="B344" s="26"/>
      <c r="C344" s="26" t="s">
        <v>5387</v>
      </c>
      <c r="D344" s="234" t="s">
        <v>655</v>
      </c>
      <c r="E344" s="31">
        <v>268</v>
      </c>
      <c r="F344" s="216">
        <v>3</v>
      </c>
      <c r="G344" s="31"/>
      <c r="H344" s="217"/>
    </row>
    <row r="345" spans="1:8" x14ac:dyDescent="0.2">
      <c r="A345" s="26"/>
      <c r="B345" s="26"/>
      <c r="C345" s="26" t="s">
        <v>2318</v>
      </c>
      <c r="D345" s="234"/>
      <c r="E345" s="218">
        <v>5472</v>
      </c>
      <c r="F345" s="219">
        <f>SUM(F341:F344)</f>
        <v>98.33</v>
      </c>
      <c r="G345" s="218">
        <v>7692</v>
      </c>
      <c r="H345" s="220">
        <v>71.099999999999994</v>
      </c>
    </row>
    <row r="346" spans="1:8" x14ac:dyDescent="0.2">
      <c r="A346" s="26"/>
      <c r="B346" s="26"/>
      <c r="C346" s="26" t="s">
        <v>2318</v>
      </c>
      <c r="D346" s="234"/>
      <c r="E346" s="31"/>
      <c r="F346" s="216"/>
      <c r="G346" s="31"/>
      <c r="H346" s="217"/>
    </row>
    <row r="347" spans="1:8" x14ac:dyDescent="0.2">
      <c r="A347" s="26" t="s">
        <v>5388</v>
      </c>
      <c r="B347" s="26"/>
      <c r="C347" s="214" t="s">
        <v>5389</v>
      </c>
      <c r="D347" s="234" t="s">
        <v>1071</v>
      </c>
      <c r="E347" s="31">
        <v>2497</v>
      </c>
      <c r="F347" s="216">
        <v>31.91</v>
      </c>
      <c r="G347" s="31"/>
      <c r="H347" s="217"/>
    </row>
    <row r="348" spans="1:8" x14ac:dyDescent="0.2">
      <c r="A348" s="26"/>
      <c r="B348" s="26"/>
      <c r="C348" s="26" t="s">
        <v>5390</v>
      </c>
      <c r="D348" s="234" t="s">
        <v>1736</v>
      </c>
      <c r="E348" s="31">
        <v>1742</v>
      </c>
      <c r="F348" s="216">
        <v>15.5</v>
      </c>
      <c r="G348" s="31"/>
      <c r="H348" s="217"/>
    </row>
    <row r="349" spans="1:8" x14ac:dyDescent="0.2">
      <c r="A349" s="26"/>
      <c r="B349" s="26"/>
      <c r="C349" s="26" t="s">
        <v>5391</v>
      </c>
      <c r="D349" s="234" t="s">
        <v>655</v>
      </c>
      <c r="E349" s="31">
        <v>1010</v>
      </c>
      <c r="F349" s="216"/>
      <c r="G349" s="31"/>
      <c r="H349" s="217"/>
    </row>
    <row r="350" spans="1:8" x14ac:dyDescent="0.2">
      <c r="A350" s="26"/>
      <c r="B350" s="26"/>
      <c r="C350" s="26" t="s">
        <v>5392</v>
      </c>
      <c r="D350" s="234" t="s">
        <v>1072</v>
      </c>
      <c r="E350" s="31">
        <v>345</v>
      </c>
      <c r="F350" s="216">
        <v>3.45</v>
      </c>
      <c r="G350" s="31"/>
      <c r="H350" s="217"/>
    </row>
    <row r="351" spans="1:8" x14ac:dyDescent="0.2">
      <c r="A351" s="26"/>
      <c r="B351" s="26"/>
      <c r="C351" s="26" t="s">
        <v>2318</v>
      </c>
      <c r="D351" s="234"/>
      <c r="E351" s="218">
        <v>5623</v>
      </c>
      <c r="F351" s="219">
        <f>SUM(F347:F350)</f>
        <v>50.86</v>
      </c>
      <c r="G351" s="218">
        <v>8846</v>
      </c>
      <c r="H351" s="220">
        <v>63.6</v>
      </c>
    </row>
    <row r="352" spans="1:8" x14ac:dyDescent="0.2">
      <c r="A352" s="26"/>
      <c r="B352" s="26"/>
      <c r="C352" s="26" t="s">
        <v>2318</v>
      </c>
      <c r="D352" s="234"/>
      <c r="E352" s="31"/>
      <c r="F352" s="216"/>
      <c r="G352" s="31"/>
      <c r="H352" s="217"/>
    </row>
    <row r="353" spans="1:8" x14ac:dyDescent="0.2">
      <c r="A353" s="26" t="s">
        <v>1309</v>
      </c>
      <c r="B353" s="26"/>
      <c r="C353" s="214" t="s">
        <v>5393</v>
      </c>
      <c r="D353" s="234" t="s">
        <v>1071</v>
      </c>
      <c r="E353" s="31">
        <v>2545</v>
      </c>
      <c r="F353" s="216">
        <v>13.76</v>
      </c>
      <c r="G353" s="31"/>
      <c r="H353" s="217"/>
    </row>
    <row r="354" spans="1:8" x14ac:dyDescent="0.2">
      <c r="A354" s="26"/>
      <c r="B354" s="26"/>
      <c r="C354" s="26" t="s">
        <v>5394</v>
      </c>
      <c r="D354" s="234" t="s">
        <v>1736</v>
      </c>
      <c r="E354" s="31">
        <v>1199</v>
      </c>
      <c r="F354" s="216">
        <v>32.74</v>
      </c>
      <c r="G354" s="31"/>
      <c r="H354" s="217"/>
    </row>
    <row r="355" spans="1:8" x14ac:dyDescent="0.2">
      <c r="A355" s="26"/>
      <c r="B355" s="26"/>
      <c r="C355" s="26" t="s">
        <v>5395</v>
      </c>
      <c r="D355" s="234" t="s">
        <v>655</v>
      </c>
      <c r="E355" s="31">
        <v>642</v>
      </c>
      <c r="F355" s="216">
        <v>1.85</v>
      </c>
      <c r="G355" s="31"/>
      <c r="H355" s="217"/>
    </row>
    <row r="356" spans="1:8" x14ac:dyDescent="0.2">
      <c r="A356" s="26"/>
      <c r="B356" s="26"/>
      <c r="C356" s="26" t="s">
        <v>2318</v>
      </c>
      <c r="D356" s="234"/>
      <c r="E356" s="218">
        <v>4403</v>
      </c>
      <c r="F356" s="219">
        <f>SUM(F353:F355)</f>
        <v>48.35</v>
      </c>
      <c r="G356" s="218">
        <v>6398</v>
      </c>
      <c r="H356" s="220">
        <v>68.8</v>
      </c>
    </row>
    <row r="357" spans="1:8" x14ac:dyDescent="0.2">
      <c r="A357" s="26"/>
      <c r="B357" s="26"/>
      <c r="C357" s="26" t="s">
        <v>2318</v>
      </c>
      <c r="D357" s="234"/>
      <c r="E357" s="31"/>
      <c r="F357" s="216"/>
      <c r="G357" s="31"/>
      <c r="H357" s="217"/>
    </row>
    <row r="358" spans="1:8" x14ac:dyDescent="0.2">
      <c r="A358" s="26" t="s">
        <v>2564</v>
      </c>
      <c r="B358" s="26"/>
      <c r="C358" s="214" t="s">
        <v>5396</v>
      </c>
      <c r="D358" s="234" t="s">
        <v>1071</v>
      </c>
      <c r="E358" s="31">
        <v>3807</v>
      </c>
      <c r="F358" s="216">
        <v>34.04</v>
      </c>
      <c r="G358" s="31"/>
      <c r="H358" s="217"/>
    </row>
    <row r="359" spans="1:8" x14ac:dyDescent="0.2">
      <c r="A359" s="26"/>
      <c r="B359" s="26"/>
      <c r="C359" s="26" t="s">
        <v>5401</v>
      </c>
      <c r="D359" s="234" t="s">
        <v>655</v>
      </c>
      <c r="E359" s="31">
        <v>789</v>
      </c>
      <c r="F359" s="216">
        <v>8.24</v>
      </c>
      <c r="G359" s="31"/>
      <c r="H359" s="217"/>
    </row>
    <row r="360" spans="1:8" x14ac:dyDescent="0.2">
      <c r="A360" s="26"/>
      <c r="B360" s="26"/>
      <c r="C360" s="26" t="s">
        <v>2318</v>
      </c>
      <c r="D360" s="234"/>
      <c r="E360" s="218">
        <v>4634</v>
      </c>
      <c r="F360" s="219">
        <f>SUM(F358:F359)</f>
        <v>42.28</v>
      </c>
      <c r="G360" s="218">
        <v>7307</v>
      </c>
      <c r="H360" s="220">
        <v>63.4</v>
      </c>
    </row>
    <row r="361" spans="1:8" x14ac:dyDescent="0.2">
      <c r="A361" s="26"/>
      <c r="B361" s="26"/>
      <c r="C361" s="26"/>
      <c r="D361" s="234"/>
      <c r="E361" s="88"/>
      <c r="F361" s="84"/>
      <c r="G361" s="88"/>
      <c r="H361" s="235"/>
    </row>
    <row r="362" spans="1:8" x14ac:dyDescent="0.2">
      <c r="A362" s="26" t="s">
        <v>1311</v>
      </c>
      <c r="B362" s="26"/>
      <c r="C362" s="214" t="s">
        <v>5402</v>
      </c>
      <c r="D362" s="234" t="s">
        <v>1071</v>
      </c>
      <c r="E362" s="31">
        <v>2879</v>
      </c>
      <c r="F362" s="216">
        <v>13.76</v>
      </c>
      <c r="G362" s="31"/>
      <c r="H362" s="217"/>
    </row>
    <row r="363" spans="1:8" x14ac:dyDescent="0.2">
      <c r="A363" s="26"/>
      <c r="B363" s="26"/>
      <c r="C363" s="26" t="s">
        <v>4762</v>
      </c>
      <c r="D363" s="234" t="s">
        <v>1736</v>
      </c>
      <c r="E363" s="31">
        <v>2408</v>
      </c>
      <c r="F363" s="216">
        <v>32.74</v>
      </c>
      <c r="G363" s="31"/>
      <c r="H363" s="217"/>
    </row>
    <row r="364" spans="1:8" x14ac:dyDescent="0.2">
      <c r="A364" s="26"/>
      <c r="B364" s="26"/>
      <c r="C364" s="26" t="s">
        <v>5403</v>
      </c>
      <c r="D364" s="234" t="s">
        <v>655</v>
      </c>
      <c r="E364" s="31">
        <v>1000</v>
      </c>
      <c r="F364" s="216">
        <v>1.85</v>
      </c>
      <c r="G364" s="31"/>
      <c r="H364" s="217"/>
    </row>
    <row r="365" spans="1:8" x14ac:dyDescent="0.2">
      <c r="A365" s="26"/>
      <c r="B365" s="26"/>
      <c r="C365" s="26" t="s">
        <v>2318</v>
      </c>
      <c r="D365" s="234"/>
      <c r="E365" s="218">
        <v>6304</v>
      </c>
      <c r="F365" s="219">
        <f>SUM(F362:F364)</f>
        <v>48.35</v>
      </c>
      <c r="G365" s="218">
        <v>6304</v>
      </c>
      <c r="H365" s="220">
        <v>69</v>
      </c>
    </row>
    <row r="366" spans="1:8" x14ac:dyDescent="0.2">
      <c r="A366" s="26"/>
      <c r="B366" s="26"/>
      <c r="C366" s="26" t="s">
        <v>2318</v>
      </c>
      <c r="D366" s="234"/>
      <c r="E366" s="31"/>
      <c r="F366" s="216"/>
      <c r="G366" s="31"/>
      <c r="H366" s="217"/>
    </row>
    <row r="367" spans="1:8" x14ac:dyDescent="0.2">
      <c r="A367" s="26" t="s">
        <v>5398</v>
      </c>
      <c r="B367" s="26"/>
      <c r="C367" s="214" t="s">
        <v>5399</v>
      </c>
      <c r="D367" s="234" t="s">
        <v>1071</v>
      </c>
      <c r="E367" s="31">
        <v>2160</v>
      </c>
      <c r="F367" s="216">
        <v>34.04</v>
      </c>
      <c r="G367" s="31"/>
      <c r="H367" s="217"/>
    </row>
    <row r="368" spans="1:8" x14ac:dyDescent="0.2">
      <c r="A368" s="26"/>
      <c r="B368" s="26"/>
      <c r="C368" s="26" t="s">
        <v>5400</v>
      </c>
      <c r="D368" s="234" t="s">
        <v>655</v>
      </c>
      <c r="E368" s="31">
        <v>1298</v>
      </c>
      <c r="F368" s="216"/>
      <c r="G368" s="31"/>
      <c r="H368" s="217"/>
    </row>
    <row r="369" spans="1:8" x14ac:dyDescent="0.2">
      <c r="A369" s="26"/>
      <c r="B369" s="26"/>
      <c r="C369" s="26" t="s">
        <v>2318</v>
      </c>
      <c r="D369" s="234"/>
      <c r="E369" s="218">
        <v>3470</v>
      </c>
      <c r="F369" s="219">
        <f>SUM(F367:F368)</f>
        <v>34.04</v>
      </c>
      <c r="G369" s="218">
        <v>3470</v>
      </c>
      <c r="H369" s="220">
        <v>64.099999999999994</v>
      </c>
    </row>
    <row r="370" spans="1:8" x14ac:dyDescent="0.2">
      <c r="A370" s="26"/>
      <c r="B370" s="26"/>
      <c r="C370" s="234"/>
      <c r="D370" s="234"/>
      <c r="E370" s="223"/>
      <c r="F370" s="217"/>
      <c r="G370" s="223"/>
      <c r="H370" s="217"/>
    </row>
    <row r="371" spans="1:8" x14ac:dyDescent="0.2">
      <c r="A371" s="145" t="s">
        <v>1131</v>
      </c>
      <c r="B371" s="145"/>
      <c r="C371" s="145"/>
      <c r="D371" s="146"/>
      <c r="E371" s="147">
        <v>501118</v>
      </c>
      <c r="F371" s="148"/>
      <c r="G371" s="147">
        <v>779795</v>
      </c>
      <c r="H371" s="148">
        <v>64.3</v>
      </c>
    </row>
    <row r="372" spans="1:8" x14ac:dyDescent="0.2">
      <c r="A372" s="77"/>
      <c r="B372" s="77"/>
      <c r="C372" s="77"/>
      <c r="D372" s="78"/>
      <c r="E372" s="88"/>
      <c r="F372" s="84"/>
      <c r="G372" s="88"/>
      <c r="H372" s="84"/>
    </row>
    <row r="373" spans="1:8" x14ac:dyDescent="0.2">
      <c r="A373" s="227" t="s">
        <v>1289</v>
      </c>
      <c r="B373" s="227"/>
      <c r="C373" s="228"/>
      <c r="D373" s="228"/>
      <c r="E373" s="229"/>
      <c r="F373" s="230"/>
      <c r="G373" s="231"/>
      <c r="H373" s="232"/>
    </row>
    <row r="374" spans="1:8" x14ac:dyDescent="0.2">
      <c r="A374" s="276" t="s">
        <v>2934</v>
      </c>
      <c r="B374" s="276"/>
      <c r="C374" s="276"/>
      <c r="D374" s="276"/>
      <c r="E374" s="276"/>
      <c r="F374" s="276"/>
      <c r="G374" s="276"/>
      <c r="H374" s="276"/>
    </row>
    <row r="375" spans="1:8" x14ac:dyDescent="0.2">
      <c r="A375" s="276" t="s">
        <v>4764</v>
      </c>
      <c r="B375" s="276"/>
      <c r="C375" s="276"/>
      <c r="D375" s="276"/>
      <c r="E375" s="276"/>
      <c r="F375" s="276"/>
      <c r="G375" s="276"/>
      <c r="H375" s="276"/>
    </row>
    <row r="376" spans="1:8" x14ac:dyDescent="0.2">
      <c r="A376" s="26" t="s">
        <v>4774</v>
      </c>
      <c r="B376" s="26"/>
      <c r="C376" s="26"/>
      <c r="D376" s="234"/>
      <c r="E376" s="31"/>
      <c r="F376" s="216"/>
      <c r="G376" s="31"/>
      <c r="H376" s="217"/>
    </row>
  </sheetData>
  <mergeCells count="4">
    <mergeCell ref="A1:H1"/>
    <mergeCell ref="F2:H2"/>
    <mergeCell ref="A374:H374"/>
    <mergeCell ref="A375:H37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8"/>
  <sheetViews>
    <sheetView topLeftCell="A362" workbookViewId="0">
      <selection activeCell="G394" sqref="G394"/>
    </sheetView>
  </sheetViews>
  <sheetFormatPr defaultRowHeight="12.75" x14ac:dyDescent="0.2"/>
  <cols>
    <col min="1" max="1" width="11.85546875" style="209" customWidth="1"/>
    <col min="2" max="2" width="9.140625" style="209"/>
    <col min="3" max="3" width="23.140625" style="209" bestFit="1" customWidth="1"/>
    <col min="4" max="4" width="22.28515625" style="209" bestFit="1" customWidth="1"/>
    <col min="5" max="5" width="12.85546875" style="209" customWidth="1"/>
    <col min="6" max="16384" width="9.140625" style="209"/>
  </cols>
  <sheetData>
    <row r="1" spans="1:10" ht="15.75" x14ac:dyDescent="0.2">
      <c r="A1" s="270" t="s">
        <v>2332</v>
      </c>
      <c r="B1" s="270"/>
      <c r="C1" s="270"/>
      <c r="D1" s="270"/>
      <c r="E1" s="270"/>
      <c r="F1" s="270"/>
      <c r="G1" s="270"/>
      <c r="H1" s="270"/>
    </row>
    <row r="2" spans="1:10" ht="13.5" thickBot="1" x14ac:dyDescent="0.25">
      <c r="A2" s="210" t="s">
        <v>4782</v>
      </c>
      <c r="B2" s="210"/>
      <c r="C2" s="210" t="s">
        <v>5009</v>
      </c>
      <c r="D2" s="211" t="s">
        <v>4784</v>
      </c>
      <c r="E2" s="212"/>
      <c r="F2" s="275" t="s">
        <v>2933</v>
      </c>
      <c r="G2" s="275"/>
      <c r="H2" s="275"/>
    </row>
    <row r="3" spans="1:10" ht="39" thickBot="1" x14ac:dyDescent="0.25">
      <c r="A3" s="58" t="s">
        <v>1284</v>
      </c>
      <c r="B3" s="59"/>
      <c r="C3" s="59" t="s">
        <v>1300</v>
      </c>
      <c r="D3" s="59" t="s">
        <v>2652</v>
      </c>
      <c r="E3" s="73" t="s">
        <v>4765</v>
      </c>
      <c r="F3" s="74" t="s">
        <v>1286</v>
      </c>
      <c r="G3" s="73" t="s">
        <v>1287</v>
      </c>
      <c r="H3" s="74" t="s">
        <v>4766</v>
      </c>
      <c r="J3" s="213"/>
    </row>
    <row r="4" spans="1:10" x14ac:dyDescent="0.2">
      <c r="A4" s="60"/>
      <c r="B4" s="60"/>
      <c r="C4" s="61"/>
      <c r="D4" s="66"/>
      <c r="E4" s="87"/>
      <c r="F4" s="80"/>
      <c r="G4" s="87"/>
      <c r="H4" s="80"/>
    </row>
    <row r="5" spans="1:10" x14ac:dyDescent="0.2">
      <c r="A5" s="26" t="s">
        <v>2266</v>
      </c>
      <c r="B5" s="26"/>
      <c r="C5" s="214" t="s">
        <v>1756</v>
      </c>
      <c r="D5" s="233" t="s">
        <v>1736</v>
      </c>
      <c r="E5" s="31">
        <v>3261</v>
      </c>
      <c r="F5" s="216">
        <v>55.4</v>
      </c>
      <c r="G5" s="31"/>
      <c r="H5" s="217"/>
    </row>
    <row r="6" spans="1:10" x14ac:dyDescent="0.2">
      <c r="A6" s="26"/>
      <c r="B6" s="26"/>
      <c r="C6" s="26" t="s">
        <v>1757</v>
      </c>
      <c r="D6" s="233" t="s">
        <v>655</v>
      </c>
      <c r="E6" s="31">
        <v>1136</v>
      </c>
      <c r="F6" s="216">
        <v>7.4</v>
      </c>
      <c r="G6" s="31"/>
      <c r="H6" s="217"/>
    </row>
    <row r="7" spans="1:10" x14ac:dyDescent="0.2">
      <c r="A7" s="26"/>
      <c r="B7" s="26"/>
      <c r="C7" s="26" t="s">
        <v>5008</v>
      </c>
      <c r="D7" s="233" t="s">
        <v>1071</v>
      </c>
      <c r="E7" s="31">
        <v>2585</v>
      </c>
      <c r="F7" s="216">
        <v>13.2</v>
      </c>
      <c r="G7" s="31"/>
      <c r="H7" s="217"/>
    </row>
    <row r="8" spans="1:10" x14ac:dyDescent="0.2">
      <c r="A8" s="26"/>
      <c r="B8" s="26"/>
      <c r="C8" s="26" t="s">
        <v>2318</v>
      </c>
      <c r="D8" s="233"/>
      <c r="E8" s="218">
        <v>7033</v>
      </c>
      <c r="F8" s="219">
        <v>100</v>
      </c>
      <c r="G8" s="218">
        <v>9200</v>
      </c>
      <c r="H8" s="220">
        <v>76.400000000000006</v>
      </c>
    </row>
    <row r="9" spans="1:10" x14ac:dyDescent="0.2">
      <c r="A9" s="26"/>
      <c r="B9" s="26"/>
      <c r="C9" s="26" t="s">
        <v>2318</v>
      </c>
      <c r="D9" s="233"/>
      <c r="E9" s="31"/>
      <c r="F9" s="216"/>
      <c r="G9" s="31"/>
      <c r="H9" s="217"/>
    </row>
    <row r="10" spans="1:10" x14ac:dyDescent="0.2">
      <c r="A10" s="26" t="s">
        <v>1008</v>
      </c>
      <c r="B10" s="26"/>
      <c r="C10" s="214" t="s">
        <v>5010</v>
      </c>
      <c r="D10" s="233" t="s">
        <v>1736</v>
      </c>
      <c r="E10" s="31">
        <v>3801</v>
      </c>
      <c r="F10" s="216">
        <v>17.5</v>
      </c>
      <c r="G10" s="31"/>
      <c r="H10" s="217"/>
    </row>
    <row r="11" spans="1:10" x14ac:dyDescent="0.2">
      <c r="A11" s="26"/>
      <c r="B11" s="26"/>
      <c r="C11" s="26" t="s">
        <v>5011</v>
      </c>
      <c r="D11" s="233" t="s">
        <v>1071</v>
      </c>
      <c r="E11" s="31">
        <v>2647</v>
      </c>
      <c r="F11" s="216">
        <v>9.1</v>
      </c>
      <c r="G11" s="31"/>
      <c r="H11" s="217"/>
    </row>
    <row r="12" spans="1:10" x14ac:dyDescent="0.2">
      <c r="A12" s="26"/>
      <c r="B12" s="26"/>
      <c r="C12" s="26" t="s">
        <v>5012</v>
      </c>
      <c r="D12" s="233" t="s">
        <v>655</v>
      </c>
      <c r="E12" s="31">
        <v>420</v>
      </c>
      <c r="F12" s="216">
        <v>6.5</v>
      </c>
      <c r="G12" s="31"/>
      <c r="H12" s="217"/>
    </row>
    <row r="13" spans="1:10" x14ac:dyDescent="0.2">
      <c r="A13" s="26"/>
      <c r="B13" s="26"/>
      <c r="C13" s="26" t="s">
        <v>2318</v>
      </c>
      <c r="D13" s="233"/>
      <c r="E13" s="218">
        <v>7055</v>
      </c>
      <c r="F13" s="219">
        <f>SUM(F10:F12)</f>
        <v>33.1</v>
      </c>
      <c r="G13" s="218">
        <v>10619</v>
      </c>
      <c r="H13" s="220">
        <v>66.400000000000006</v>
      </c>
    </row>
    <row r="14" spans="1:10" x14ac:dyDescent="0.2">
      <c r="A14" s="26"/>
      <c r="B14" s="26"/>
      <c r="C14" s="26" t="s">
        <v>2318</v>
      </c>
      <c r="D14" s="233"/>
      <c r="E14" s="31"/>
      <c r="F14" s="216"/>
      <c r="G14" s="31"/>
      <c r="H14" s="217"/>
    </row>
    <row r="15" spans="1:10" x14ac:dyDescent="0.2">
      <c r="A15" s="26" t="s">
        <v>1127</v>
      </c>
      <c r="B15" s="26"/>
      <c r="C15" s="214" t="s">
        <v>4792</v>
      </c>
      <c r="D15" s="233" t="s">
        <v>1736</v>
      </c>
      <c r="E15" s="31">
        <v>3360</v>
      </c>
      <c r="F15" s="216">
        <v>22.3</v>
      </c>
      <c r="G15" s="31"/>
      <c r="H15" s="217"/>
    </row>
    <row r="16" spans="1:10" x14ac:dyDescent="0.2">
      <c r="A16" s="26"/>
      <c r="B16" s="26"/>
      <c r="C16" s="26" t="s">
        <v>5013</v>
      </c>
      <c r="D16" s="233" t="s">
        <v>1071</v>
      </c>
      <c r="E16" s="31">
        <v>1651</v>
      </c>
      <c r="F16" s="216">
        <v>1.8</v>
      </c>
      <c r="G16" s="31"/>
      <c r="H16" s="217"/>
    </row>
    <row r="17" spans="1:8" x14ac:dyDescent="0.2">
      <c r="A17" s="26"/>
      <c r="B17" s="26"/>
      <c r="C17" s="26" t="s">
        <v>5014</v>
      </c>
      <c r="D17" s="233" t="s">
        <v>655</v>
      </c>
      <c r="E17" s="31">
        <v>643</v>
      </c>
      <c r="F17" s="216">
        <v>13.6</v>
      </c>
      <c r="G17" s="31"/>
      <c r="H17" s="217"/>
    </row>
    <row r="18" spans="1:8" x14ac:dyDescent="0.2">
      <c r="A18" s="26"/>
      <c r="B18" s="26"/>
      <c r="C18" s="26" t="s">
        <v>2318</v>
      </c>
      <c r="D18" s="233"/>
      <c r="E18" s="218">
        <v>5673</v>
      </c>
      <c r="F18" s="219">
        <v>100</v>
      </c>
      <c r="G18" s="218">
        <v>7894</v>
      </c>
      <c r="H18" s="220">
        <v>71.599999999999994</v>
      </c>
    </row>
    <row r="19" spans="1:8" x14ac:dyDescent="0.2">
      <c r="A19" s="26"/>
      <c r="B19" s="26"/>
      <c r="C19" s="26" t="s">
        <v>2318</v>
      </c>
      <c r="D19" s="233"/>
      <c r="E19" s="31"/>
      <c r="F19" s="216"/>
      <c r="G19" s="31"/>
      <c r="H19" s="217"/>
    </row>
    <row r="20" spans="1:8" x14ac:dyDescent="0.2">
      <c r="A20" s="26" t="s">
        <v>1974</v>
      </c>
      <c r="B20" s="26"/>
      <c r="C20" s="214" t="s">
        <v>4795</v>
      </c>
      <c r="D20" s="233" t="s">
        <v>1736</v>
      </c>
      <c r="E20" s="31">
        <v>2523</v>
      </c>
      <c r="F20" s="216">
        <v>3</v>
      </c>
      <c r="G20" s="31"/>
      <c r="H20" s="217"/>
    </row>
    <row r="21" spans="1:8" x14ac:dyDescent="0.2">
      <c r="A21" s="26"/>
      <c r="B21" s="26"/>
      <c r="C21" s="26" t="s">
        <v>5015</v>
      </c>
      <c r="D21" s="233" t="s">
        <v>1071</v>
      </c>
      <c r="E21" s="31">
        <v>2355</v>
      </c>
      <c r="F21" s="216">
        <v>49.8</v>
      </c>
      <c r="G21" s="31"/>
      <c r="H21" s="217"/>
    </row>
    <row r="22" spans="1:8" x14ac:dyDescent="0.2">
      <c r="A22" s="26"/>
      <c r="B22" s="26"/>
      <c r="C22" s="26" t="s">
        <v>5016</v>
      </c>
      <c r="D22" s="233" t="s">
        <v>655</v>
      </c>
      <c r="E22" s="31">
        <v>539</v>
      </c>
      <c r="F22" s="216">
        <v>18.3</v>
      </c>
      <c r="G22" s="31"/>
      <c r="H22" s="217"/>
    </row>
    <row r="23" spans="1:8" x14ac:dyDescent="0.2">
      <c r="A23" s="26"/>
      <c r="B23" s="26"/>
      <c r="C23" s="26" t="s">
        <v>2318</v>
      </c>
      <c r="D23" s="233"/>
      <c r="E23" s="218">
        <v>5438</v>
      </c>
      <c r="F23" s="219">
        <v>100</v>
      </c>
      <c r="G23" s="218">
        <v>9451</v>
      </c>
      <c r="H23" s="220">
        <v>58.9</v>
      </c>
    </row>
    <row r="24" spans="1:8" x14ac:dyDescent="0.2">
      <c r="A24" s="26"/>
      <c r="B24" s="26"/>
      <c r="C24" s="26" t="s">
        <v>2318</v>
      </c>
      <c r="D24" s="233"/>
      <c r="E24" s="31"/>
      <c r="F24" s="216"/>
      <c r="G24" s="31"/>
      <c r="H24" s="217"/>
    </row>
    <row r="25" spans="1:8" x14ac:dyDescent="0.2">
      <c r="A25" s="26" t="s">
        <v>1975</v>
      </c>
      <c r="B25" s="26"/>
      <c r="C25" s="214" t="s">
        <v>4538</v>
      </c>
      <c r="D25" s="233" t="s">
        <v>1071</v>
      </c>
      <c r="E25" s="31">
        <v>3584</v>
      </c>
      <c r="F25" s="216">
        <v>36</v>
      </c>
      <c r="G25" s="31"/>
      <c r="H25" s="217"/>
    </row>
    <row r="26" spans="1:8" x14ac:dyDescent="0.2">
      <c r="A26" s="26"/>
      <c r="B26" s="26"/>
      <c r="C26" s="26" t="s">
        <v>5017</v>
      </c>
      <c r="D26" s="233" t="s">
        <v>1736</v>
      </c>
      <c r="E26" s="31">
        <v>1674</v>
      </c>
      <c r="F26" s="216">
        <v>59.8</v>
      </c>
      <c r="G26" s="31"/>
      <c r="H26" s="217"/>
    </row>
    <row r="27" spans="1:8" x14ac:dyDescent="0.2">
      <c r="A27" s="26"/>
      <c r="B27" s="26"/>
      <c r="C27" s="26" t="s">
        <v>2318</v>
      </c>
      <c r="D27" s="233"/>
      <c r="E27" s="218">
        <v>5297</v>
      </c>
      <c r="F27" s="219">
        <v>100</v>
      </c>
      <c r="G27" s="218">
        <v>7981</v>
      </c>
      <c r="H27" s="220">
        <v>77</v>
      </c>
    </row>
    <row r="28" spans="1:8" x14ac:dyDescent="0.2">
      <c r="A28" s="26"/>
      <c r="B28" s="26"/>
      <c r="C28" s="26" t="s">
        <v>2318</v>
      </c>
      <c r="D28" s="233"/>
      <c r="E28" s="31"/>
      <c r="F28" s="216"/>
      <c r="G28" s="31"/>
      <c r="H28" s="217"/>
    </row>
    <row r="29" spans="1:8" x14ac:dyDescent="0.2">
      <c r="A29" s="26" t="s">
        <v>2354</v>
      </c>
      <c r="B29" s="26"/>
      <c r="C29" s="214" t="s">
        <v>4800</v>
      </c>
      <c r="D29" s="233" t="s">
        <v>1071</v>
      </c>
      <c r="E29" s="31">
        <v>5539</v>
      </c>
      <c r="F29" s="216">
        <v>16.7</v>
      </c>
      <c r="G29" s="31"/>
      <c r="H29" s="217"/>
    </row>
    <row r="30" spans="1:8" x14ac:dyDescent="0.2">
      <c r="B30" s="26"/>
      <c r="C30" s="26" t="s">
        <v>5018</v>
      </c>
      <c r="D30" s="233" t="s">
        <v>1736</v>
      </c>
      <c r="E30" s="31">
        <v>4563</v>
      </c>
      <c r="F30" s="216">
        <v>12.5</v>
      </c>
      <c r="G30" s="31"/>
      <c r="H30" s="217"/>
    </row>
    <row r="31" spans="1:8" x14ac:dyDescent="0.2">
      <c r="A31" s="26"/>
      <c r="B31" s="26"/>
      <c r="C31" s="26" t="s">
        <v>5019</v>
      </c>
      <c r="D31" s="233" t="s">
        <v>655</v>
      </c>
      <c r="E31" s="31">
        <v>1407</v>
      </c>
      <c r="F31" s="216">
        <v>0.4</v>
      </c>
      <c r="G31" s="31"/>
      <c r="H31" s="217"/>
    </row>
    <row r="32" spans="1:8" x14ac:dyDescent="0.2">
      <c r="A32" s="26"/>
      <c r="B32" s="26"/>
      <c r="C32" s="26" t="s">
        <v>2318</v>
      </c>
      <c r="D32" s="233"/>
      <c r="E32" s="218">
        <v>11577</v>
      </c>
      <c r="F32" s="219">
        <f>SUM(F29:F31)</f>
        <v>29.599999999999998</v>
      </c>
      <c r="G32" s="218">
        <v>17026</v>
      </c>
      <c r="H32" s="220">
        <v>68</v>
      </c>
    </row>
    <row r="33" spans="1:10" x14ac:dyDescent="0.2">
      <c r="A33" s="26"/>
      <c r="B33" s="26"/>
      <c r="C33" s="26" t="s">
        <v>2318</v>
      </c>
      <c r="D33" s="233"/>
      <c r="E33" s="31"/>
      <c r="F33" s="216"/>
      <c r="G33" s="31"/>
      <c r="H33" s="217"/>
    </row>
    <row r="34" spans="1:10" x14ac:dyDescent="0.2">
      <c r="A34" s="26" t="s">
        <v>2360</v>
      </c>
      <c r="B34" s="26"/>
      <c r="C34" s="214" t="s">
        <v>4804</v>
      </c>
      <c r="D34" s="233" t="s">
        <v>1736</v>
      </c>
      <c r="E34" s="31">
        <v>6525</v>
      </c>
      <c r="F34" s="216">
        <v>10.8</v>
      </c>
      <c r="G34" s="31"/>
      <c r="H34" s="217"/>
    </row>
    <row r="35" spans="1:10" x14ac:dyDescent="0.2">
      <c r="A35" s="26"/>
      <c r="B35" s="26"/>
      <c r="C35" s="26" t="s">
        <v>5020</v>
      </c>
      <c r="D35" s="233" t="s">
        <v>1071</v>
      </c>
      <c r="E35" s="31">
        <v>5238</v>
      </c>
      <c r="F35" s="216">
        <v>14.2</v>
      </c>
      <c r="G35" s="31"/>
      <c r="H35" s="217"/>
    </row>
    <row r="36" spans="1:10" x14ac:dyDescent="0.2">
      <c r="A36" s="26"/>
      <c r="B36" s="26"/>
      <c r="C36" s="26" t="s">
        <v>5021</v>
      </c>
      <c r="D36" s="233" t="s">
        <v>655</v>
      </c>
      <c r="E36" s="31">
        <v>1364</v>
      </c>
      <c r="F36" s="216">
        <v>64</v>
      </c>
      <c r="G36" s="31"/>
      <c r="H36" s="217"/>
    </row>
    <row r="37" spans="1:10" x14ac:dyDescent="0.2">
      <c r="A37" s="26"/>
      <c r="B37" s="26"/>
      <c r="C37" s="26" t="s">
        <v>2318</v>
      </c>
      <c r="D37" s="233"/>
      <c r="E37" s="218">
        <v>12379</v>
      </c>
      <c r="F37" s="219">
        <f>SUM(F34:F36)</f>
        <v>89</v>
      </c>
      <c r="G37" s="218">
        <v>18664</v>
      </c>
      <c r="H37" s="220">
        <v>66.3</v>
      </c>
    </row>
    <row r="38" spans="1:10" x14ac:dyDescent="0.2">
      <c r="A38" s="26"/>
      <c r="B38" s="26"/>
      <c r="C38" s="26" t="s">
        <v>2318</v>
      </c>
      <c r="D38" s="233"/>
      <c r="E38" s="31"/>
      <c r="F38" s="216"/>
      <c r="G38" s="31"/>
      <c r="H38" s="217"/>
    </row>
    <row r="39" spans="1:10" x14ac:dyDescent="0.2">
      <c r="A39" s="26" t="s">
        <v>1963</v>
      </c>
      <c r="B39" s="26"/>
      <c r="C39" s="214" t="s">
        <v>4808</v>
      </c>
      <c r="D39" s="233" t="s">
        <v>1736</v>
      </c>
      <c r="E39" s="31">
        <v>5255</v>
      </c>
      <c r="F39" s="216">
        <v>59.7</v>
      </c>
      <c r="G39" s="31"/>
      <c r="H39" s="217"/>
      <c r="J39" s="221"/>
    </row>
    <row r="40" spans="1:10" x14ac:dyDescent="0.2">
      <c r="A40" s="26"/>
      <c r="B40" s="26"/>
      <c r="C40" s="26" t="s">
        <v>5022</v>
      </c>
      <c r="D40" s="233" t="s">
        <v>1071</v>
      </c>
      <c r="E40" s="31">
        <v>4679</v>
      </c>
      <c r="F40" s="216">
        <v>6.8</v>
      </c>
      <c r="G40" s="31"/>
      <c r="H40" s="217"/>
      <c r="J40" s="221"/>
    </row>
    <row r="41" spans="1:10" x14ac:dyDescent="0.2">
      <c r="A41" s="26"/>
      <c r="B41" s="26"/>
      <c r="C41" s="26" t="s">
        <v>5023</v>
      </c>
      <c r="D41" s="233" t="s">
        <v>655</v>
      </c>
      <c r="E41" s="31">
        <v>791</v>
      </c>
      <c r="F41" s="216">
        <v>24.5</v>
      </c>
      <c r="G41" s="31"/>
      <c r="H41" s="217"/>
      <c r="J41" s="221"/>
    </row>
    <row r="42" spans="1:10" x14ac:dyDescent="0.2">
      <c r="A42" s="26"/>
      <c r="B42" s="26"/>
      <c r="C42" s="26" t="s">
        <v>2318</v>
      </c>
      <c r="D42" s="233"/>
      <c r="E42" s="218">
        <v>10773</v>
      </c>
      <c r="F42" s="219">
        <f>SUM(F39:F41)</f>
        <v>91</v>
      </c>
      <c r="G42" s="218">
        <v>14475</v>
      </c>
      <c r="H42" s="220">
        <v>74.400000000000006</v>
      </c>
    </row>
    <row r="43" spans="1:10" x14ac:dyDescent="0.2">
      <c r="A43" s="26"/>
      <c r="B43" s="26"/>
      <c r="C43" s="26" t="s">
        <v>2318</v>
      </c>
      <c r="D43" s="233"/>
      <c r="E43" s="31"/>
      <c r="F43" s="216"/>
      <c r="G43" s="31"/>
      <c r="H43" s="217"/>
    </row>
    <row r="44" spans="1:10" x14ac:dyDescent="0.2">
      <c r="A44" s="26" t="s">
        <v>1855</v>
      </c>
      <c r="B44" s="26"/>
      <c r="C44" s="214" t="s">
        <v>4551</v>
      </c>
      <c r="D44" s="233" t="s">
        <v>1736</v>
      </c>
      <c r="E44" s="31">
        <v>6791</v>
      </c>
      <c r="F44" s="216">
        <v>7.6</v>
      </c>
      <c r="G44" s="31"/>
      <c r="H44" s="217"/>
    </row>
    <row r="45" spans="1:10" x14ac:dyDescent="0.2">
      <c r="A45" s="26"/>
      <c r="B45" s="26"/>
      <c r="C45" s="26" t="s">
        <v>5024</v>
      </c>
      <c r="D45" s="233" t="s">
        <v>1071</v>
      </c>
      <c r="E45" s="31">
        <v>5503</v>
      </c>
      <c r="F45" s="216">
        <v>11.3</v>
      </c>
      <c r="G45" s="31"/>
      <c r="H45" s="217"/>
    </row>
    <row r="46" spans="1:10" x14ac:dyDescent="0.2">
      <c r="A46" s="26"/>
      <c r="B46" s="26"/>
      <c r="C46" s="26" t="s">
        <v>5025</v>
      </c>
      <c r="D46" s="233" t="s">
        <v>655</v>
      </c>
      <c r="E46" s="31">
        <v>1060</v>
      </c>
      <c r="F46" s="216">
        <v>73.5</v>
      </c>
      <c r="G46" s="31"/>
      <c r="H46" s="217"/>
    </row>
    <row r="47" spans="1:10" x14ac:dyDescent="0.2">
      <c r="A47" s="26"/>
      <c r="B47" s="26"/>
      <c r="C47" s="26" t="s">
        <v>2318</v>
      </c>
      <c r="D47" s="233"/>
      <c r="E47" s="218">
        <v>13443</v>
      </c>
      <c r="F47" s="219">
        <v>100</v>
      </c>
      <c r="G47" s="218">
        <v>18589</v>
      </c>
      <c r="H47" s="220">
        <v>72.3</v>
      </c>
    </row>
    <row r="48" spans="1:10" x14ac:dyDescent="0.2">
      <c r="A48" s="26"/>
      <c r="B48" s="26"/>
      <c r="C48" s="26" t="s">
        <v>2318</v>
      </c>
      <c r="D48" s="233"/>
      <c r="E48" s="31"/>
      <c r="F48" s="216"/>
      <c r="G48" s="31"/>
      <c r="H48" s="217"/>
    </row>
    <row r="49" spans="1:8" x14ac:dyDescent="0.2">
      <c r="A49" s="26" t="s">
        <v>1860</v>
      </c>
      <c r="B49" s="26"/>
      <c r="C49" s="214" t="s">
        <v>4814</v>
      </c>
      <c r="D49" s="233" t="s">
        <v>1736</v>
      </c>
      <c r="E49" s="31">
        <v>5547</v>
      </c>
      <c r="F49" s="216">
        <v>5.9</v>
      </c>
      <c r="G49" s="31"/>
      <c r="H49" s="217"/>
    </row>
    <row r="50" spans="1:8" x14ac:dyDescent="0.2">
      <c r="A50" s="26"/>
      <c r="B50" s="26"/>
      <c r="C50" s="26" t="s">
        <v>5026</v>
      </c>
      <c r="D50" s="233" t="s">
        <v>1071</v>
      </c>
      <c r="E50" s="31">
        <v>4480</v>
      </c>
      <c r="F50" s="216">
        <v>65.900000000000006</v>
      </c>
      <c r="G50" s="31"/>
      <c r="H50" s="217"/>
    </row>
    <row r="51" spans="1:8" x14ac:dyDescent="0.2">
      <c r="A51" s="26"/>
      <c r="B51" s="26"/>
      <c r="C51" s="26" t="s">
        <v>5027</v>
      </c>
      <c r="D51" s="233" t="s">
        <v>655</v>
      </c>
      <c r="E51" s="31">
        <v>688</v>
      </c>
      <c r="F51" s="216">
        <v>14.7</v>
      </c>
      <c r="G51" s="31"/>
      <c r="H51" s="217"/>
    </row>
    <row r="52" spans="1:8" x14ac:dyDescent="0.2">
      <c r="A52" s="26"/>
      <c r="B52" s="26"/>
      <c r="C52" s="26" t="s">
        <v>2318</v>
      </c>
      <c r="D52" s="233"/>
      <c r="E52" s="218">
        <v>10762</v>
      </c>
      <c r="F52" s="219">
        <v>100</v>
      </c>
      <c r="G52" s="218">
        <v>14606</v>
      </c>
      <c r="H52" s="220">
        <v>73.7</v>
      </c>
    </row>
    <row r="53" spans="1:8" x14ac:dyDescent="0.2">
      <c r="A53" s="26"/>
      <c r="B53" s="26"/>
      <c r="C53" s="26" t="s">
        <v>2318</v>
      </c>
      <c r="D53" s="233"/>
      <c r="E53" s="31"/>
      <c r="F53" s="216"/>
      <c r="G53" s="31"/>
      <c r="H53" s="217"/>
    </row>
    <row r="54" spans="1:8" x14ac:dyDescent="0.2">
      <c r="A54" s="26" t="s">
        <v>1869</v>
      </c>
      <c r="B54" s="26"/>
      <c r="C54" s="214" t="s">
        <v>5028</v>
      </c>
      <c r="D54" s="233" t="s">
        <v>1736</v>
      </c>
      <c r="E54" s="31">
        <v>7693</v>
      </c>
      <c r="F54" s="216">
        <v>8.1</v>
      </c>
      <c r="G54" s="31"/>
      <c r="H54" s="217"/>
    </row>
    <row r="55" spans="1:8" x14ac:dyDescent="0.2">
      <c r="A55" s="26"/>
      <c r="B55" s="26"/>
      <c r="C55" s="26" t="s">
        <v>5029</v>
      </c>
      <c r="D55" s="233" t="s">
        <v>1071</v>
      </c>
      <c r="E55" s="31">
        <v>5885</v>
      </c>
      <c r="F55" s="216">
        <v>6.5</v>
      </c>
      <c r="G55" s="31"/>
      <c r="H55" s="217"/>
    </row>
    <row r="56" spans="1:8" x14ac:dyDescent="0.2">
      <c r="A56" s="26"/>
      <c r="B56" s="26"/>
      <c r="C56" s="26" t="s">
        <v>5030</v>
      </c>
      <c r="D56" s="233" t="s">
        <v>655</v>
      </c>
      <c r="E56" s="31">
        <v>1370</v>
      </c>
      <c r="F56" s="216">
        <v>23.4</v>
      </c>
      <c r="G56" s="31"/>
      <c r="H56" s="217"/>
    </row>
    <row r="57" spans="1:8" x14ac:dyDescent="0.2">
      <c r="A57" s="26"/>
      <c r="B57" s="26"/>
      <c r="C57" s="26" t="s">
        <v>2318</v>
      </c>
      <c r="D57" s="233"/>
      <c r="E57" s="218">
        <v>14974</v>
      </c>
      <c r="F57" s="219">
        <f>SUM(F54:F56)</f>
        <v>38</v>
      </c>
      <c r="G57" s="218">
        <v>18624</v>
      </c>
      <c r="H57" s="220">
        <v>80.400000000000006</v>
      </c>
    </row>
    <row r="58" spans="1:8" x14ac:dyDescent="0.2">
      <c r="A58" s="26"/>
      <c r="B58" s="26"/>
      <c r="C58" s="26" t="s">
        <v>2318</v>
      </c>
      <c r="D58" s="233"/>
      <c r="E58" s="31"/>
      <c r="F58" s="216"/>
      <c r="G58" s="31"/>
      <c r="H58" s="217"/>
    </row>
    <row r="59" spans="1:8" x14ac:dyDescent="0.2">
      <c r="A59" s="26" t="s">
        <v>3211</v>
      </c>
      <c r="B59" s="26"/>
      <c r="C59" s="214" t="s">
        <v>5031</v>
      </c>
      <c r="D59" s="233" t="s">
        <v>1736</v>
      </c>
      <c r="E59" s="31">
        <v>7658</v>
      </c>
      <c r="F59" s="216">
        <v>3</v>
      </c>
      <c r="G59" s="31"/>
      <c r="H59" s="217"/>
    </row>
    <row r="60" spans="1:8" x14ac:dyDescent="0.2">
      <c r="A60" s="26"/>
      <c r="B60" s="26"/>
      <c r="C60" s="26" t="s">
        <v>5032</v>
      </c>
      <c r="D60" s="233" t="s">
        <v>1071</v>
      </c>
      <c r="E60" s="31">
        <v>5122</v>
      </c>
      <c r="F60" s="216">
        <v>55.8</v>
      </c>
      <c r="G60" s="31"/>
      <c r="H60" s="217"/>
    </row>
    <row r="61" spans="1:8" x14ac:dyDescent="0.2">
      <c r="A61" s="26"/>
      <c r="B61" s="26"/>
      <c r="C61" s="26" t="s">
        <v>5033</v>
      </c>
      <c r="D61" s="233" t="s">
        <v>655</v>
      </c>
      <c r="E61" s="31">
        <v>806</v>
      </c>
      <c r="F61" s="216">
        <v>32.5</v>
      </c>
      <c r="G61" s="31"/>
      <c r="H61" s="217"/>
    </row>
    <row r="62" spans="1:8" x14ac:dyDescent="0.2">
      <c r="A62" s="26"/>
      <c r="B62" s="26"/>
      <c r="C62" s="26" t="s">
        <v>2318</v>
      </c>
      <c r="D62" s="233"/>
      <c r="E62" s="218">
        <v>17873</v>
      </c>
      <c r="F62" s="219">
        <f>SUM(F59:F61)</f>
        <v>91.3</v>
      </c>
      <c r="G62" s="218">
        <v>17873</v>
      </c>
      <c r="H62" s="220">
        <v>77</v>
      </c>
    </row>
    <row r="63" spans="1:8" x14ac:dyDescent="0.2">
      <c r="A63" s="26"/>
      <c r="B63" s="26"/>
      <c r="C63" s="26" t="s">
        <v>2318</v>
      </c>
      <c r="D63" s="233"/>
      <c r="E63" s="31"/>
      <c r="F63" s="216"/>
      <c r="G63" s="31"/>
      <c r="H63" s="217"/>
    </row>
    <row r="64" spans="1:8" x14ac:dyDescent="0.2">
      <c r="A64" s="26" t="s">
        <v>3220</v>
      </c>
      <c r="B64" s="26"/>
      <c r="C64" s="214" t="s">
        <v>4827</v>
      </c>
      <c r="D64" s="234" t="s">
        <v>1071</v>
      </c>
      <c r="E64" s="31">
        <v>5116</v>
      </c>
      <c r="F64" s="216">
        <v>6.2</v>
      </c>
      <c r="G64" s="31"/>
      <c r="H64" s="217"/>
    </row>
    <row r="65" spans="1:8" x14ac:dyDescent="0.2">
      <c r="A65" s="26"/>
      <c r="B65" s="26"/>
      <c r="C65" s="26" t="s">
        <v>5034</v>
      </c>
      <c r="D65" s="233" t="s">
        <v>1736</v>
      </c>
      <c r="E65" s="31">
        <v>4187</v>
      </c>
      <c r="F65" s="216">
        <v>7.5</v>
      </c>
      <c r="G65" s="31"/>
      <c r="H65" s="217"/>
    </row>
    <row r="66" spans="1:8" x14ac:dyDescent="0.2">
      <c r="A66" s="26"/>
      <c r="B66" s="26"/>
      <c r="C66" s="26" t="s">
        <v>5035</v>
      </c>
      <c r="D66" s="233" t="s">
        <v>655</v>
      </c>
      <c r="E66" s="31">
        <v>1984</v>
      </c>
      <c r="F66" s="216">
        <v>70.5</v>
      </c>
      <c r="G66" s="31"/>
      <c r="H66" s="217"/>
    </row>
    <row r="67" spans="1:8" x14ac:dyDescent="0.2">
      <c r="A67" s="26"/>
      <c r="B67" s="26"/>
      <c r="C67" s="26" t="s">
        <v>5036</v>
      </c>
      <c r="D67" s="233" t="s">
        <v>1072</v>
      </c>
      <c r="E67" s="31">
        <v>151</v>
      </c>
      <c r="F67" s="216">
        <v>0.2</v>
      </c>
      <c r="G67" s="31"/>
      <c r="H67" s="217"/>
    </row>
    <row r="68" spans="1:8" x14ac:dyDescent="0.2">
      <c r="A68" s="26"/>
      <c r="B68" s="26"/>
      <c r="C68" s="26" t="s">
        <v>2318</v>
      </c>
      <c r="D68" s="233"/>
      <c r="E68" s="218">
        <v>11708</v>
      </c>
      <c r="F68" s="219">
        <v>100</v>
      </c>
      <c r="G68" s="218">
        <v>17309</v>
      </c>
      <c r="H68" s="220">
        <v>67.599999999999994</v>
      </c>
    </row>
    <row r="69" spans="1:8" x14ac:dyDescent="0.2">
      <c r="A69" s="26"/>
      <c r="B69" s="26"/>
      <c r="C69" s="26" t="s">
        <v>2318</v>
      </c>
      <c r="D69" s="233"/>
      <c r="E69" s="31"/>
      <c r="F69" s="216"/>
      <c r="G69" s="31"/>
      <c r="H69" s="217"/>
    </row>
    <row r="70" spans="1:8" x14ac:dyDescent="0.2">
      <c r="A70" s="26" t="s">
        <v>1414</v>
      </c>
      <c r="B70" s="26"/>
      <c r="C70" s="214" t="s">
        <v>5037</v>
      </c>
      <c r="D70" s="233" t="s">
        <v>1736</v>
      </c>
      <c r="E70" s="31">
        <v>6134</v>
      </c>
      <c r="F70" s="216">
        <v>9.4</v>
      </c>
      <c r="G70" s="31"/>
      <c r="H70" s="217"/>
    </row>
    <row r="71" spans="1:8" x14ac:dyDescent="0.2">
      <c r="A71" s="26"/>
      <c r="B71" s="26"/>
      <c r="C71" s="26" t="s">
        <v>4572</v>
      </c>
      <c r="D71" s="233" t="s">
        <v>1071</v>
      </c>
      <c r="E71" s="31">
        <v>5368</v>
      </c>
      <c r="F71" s="216">
        <v>5.7</v>
      </c>
      <c r="G71" s="31"/>
      <c r="H71" s="217"/>
    </row>
    <row r="72" spans="1:8" x14ac:dyDescent="0.2">
      <c r="A72" s="26"/>
      <c r="B72" s="26"/>
      <c r="C72" s="26" t="s">
        <v>5038</v>
      </c>
      <c r="D72" s="233" t="s">
        <v>655</v>
      </c>
      <c r="E72" s="31">
        <v>1097</v>
      </c>
      <c r="F72" s="216">
        <v>23</v>
      </c>
      <c r="G72" s="31"/>
      <c r="H72" s="217"/>
    </row>
    <row r="73" spans="1:8" x14ac:dyDescent="0.2">
      <c r="A73" s="26"/>
      <c r="B73" s="26"/>
      <c r="C73" s="26" t="s">
        <v>5039</v>
      </c>
      <c r="D73" s="233" t="s">
        <v>1072</v>
      </c>
      <c r="E73" s="31">
        <v>246</v>
      </c>
      <c r="F73" s="216">
        <v>62</v>
      </c>
      <c r="G73" s="31"/>
      <c r="H73" s="217"/>
    </row>
    <row r="74" spans="1:8" x14ac:dyDescent="0.2">
      <c r="A74" s="26"/>
      <c r="B74" s="26"/>
      <c r="C74" s="26" t="s">
        <v>2318</v>
      </c>
      <c r="D74" s="233"/>
      <c r="E74" s="218">
        <v>12903</v>
      </c>
      <c r="F74" s="219">
        <f>SUM(F70:F73)</f>
        <v>100.1</v>
      </c>
      <c r="G74" s="218">
        <v>17756</v>
      </c>
      <c r="H74" s="220">
        <v>72.7</v>
      </c>
    </row>
    <row r="75" spans="1:8" x14ac:dyDescent="0.2">
      <c r="A75" s="26"/>
      <c r="B75" s="26"/>
      <c r="C75" s="26" t="s">
        <v>2318</v>
      </c>
      <c r="D75" s="233"/>
      <c r="E75" s="31"/>
      <c r="F75" s="216"/>
      <c r="G75" s="31"/>
      <c r="H75" s="217"/>
    </row>
    <row r="76" spans="1:8" x14ac:dyDescent="0.2">
      <c r="A76" s="26" t="s">
        <v>1416</v>
      </c>
      <c r="B76" s="26"/>
      <c r="C76" s="214" t="s">
        <v>4577</v>
      </c>
      <c r="D76" s="222" t="s">
        <v>1071</v>
      </c>
      <c r="E76" s="31">
        <v>4539</v>
      </c>
      <c r="F76" s="216">
        <v>62.1</v>
      </c>
      <c r="G76" s="31"/>
      <c r="H76" s="217"/>
    </row>
    <row r="77" spans="1:8" x14ac:dyDescent="0.2">
      <c r="A77" s="26"/>
      <c r="B77" s="26"/>
      <c r="C77" s="26" t="s">
        <v>5040</v>
      </c>
      <c r="D77" s="233" t="s">
        <v>1736</v>
      </c>
      <c r="E77" s="31">
        <v>2973</v>
      </c>
      <c r="F77" s="216"/>
      <c r="G77" s="31"/>
      <c r="H77" s="217"/>
    </row>
    <row r="78" spans="1:8" x14ac:dyDescent="0.2">
      <c r="A78" s="26"/>
      <c r="B78" s="26"/>
      <c r="C78" s="26" t="s">
        <v>5041</v>
      </c>
      <c r="D78" s="233" t="s">
        <v>655</v>
      </c>
      <c r="E78" s="31">
        <v>1543</v>
      </c>
      <c r="F78" s="216"/>
      <c r="G78" s="31"/>
      <c r="H78" s="217"/>
    </row>
    <row r="79" spans="1:8" x14ac:dyDescent="0.2">
      <c r="A79" s="26"/>
      <c r="B79" s="26"/>
      <c r="C79" s="26" t="s">
        <v>5042</v>
      </c>
      <c r="D79" s="233" t="s">
        <v>1072</v>
      </c>
      <c r="E79" s="31">
        <v>153</v>
      </c>
      <c r="F79" s="216">
        <v>23.7</v>
      </c>
      <c r="G79" s="31"/>
      <c r="H79" s="217"/>
    </row>
    <row r="80" spans="1:8" x14ac:dyDescent="0.2">
      <c r="A80" s="26"/>
      <c r="B80" s="26"/>
      <c r="C80" s="26" t="s">
        <v>2318</v>
      </c>
      <c r="D80" s="26"/>
      <c r="E80" s="218">
        <v>9312</v>
      </c>
      <c r="F80" s="219">
        <v>100</v>
      </c>
      <c r="G80" s="218">
        <v>15182</v>
      </c>
      <c r="H80" s="220">
        <v>61.3</v>
      </c>
    </row>
    <row r="81" spans="1:8" x14ac:dyDescent="0.2">
      <c r="A81" s="26"/>
      <c r="B81" s="26"/>
      <c r="C81" s="26" t="s">
        <v>2318</v>
      </c>
      <c r="D81" s="26"/>
      <c r="E81" s="31"/>
      <c r="F81" s="216"/>
      <c r="G81" s="31"/>
      <c r="H81" s="217"/>
    </row>
    <row r="82" spans="1:8" x14ac:dyDescent="0.2">
      <c r="A82" s="26" t="s">
        <v>3231</v>
      </c>
      <c r="B82" s="26"/>
      <c r="C82" s="214" t="s">
        <v>1149</v>
      </c>
      <c r="D82" s="234" t="s">
        <v>1071</v>
      </c>
      <c r="E82" s="31">
        <v>4990</v>
      </c>
      <c r="F82" s="216">
        <v>8.6</v>
      </c>
      <c r="G82" s="31"/>
      <c r="H82" s="217"/>
    </row>
    <row r="83" spans="1:8" x14ac:dyDescent="0.2">
      <c r="A83" s="26"/>
      <c r="B83" s="26"/>
      <c r="C83" s="26" t="s">
        <v>5043</v>
      </c>
      <c r="D83" s="233" t="s">
        <v>1736</v>
      </c>
      <c r="E83" s="31">
        <v>3533</v>
      </c>
      <c r="F83" s="216"/>
      <c r="G83" s="31"/>
      <c r="H83" s="217"/>
    </row>
    <row r="84" spans="1:8" x14ac:dyDescent="0.2">
      <c r="A84" s="26"/>
      <c r="B84" s="26"/>
      <c r="C84" s="26" t="s">
        <v>5044</v>
      </c>
      <c r="D84" s="233" t="s">
        <v>655</v>
      </c>
      <c r="E84" s="31">
        <v>1149</v>
      </c>
      <c r="F84" s="216">
        <v>21</v>
      </c>
      <c r="G84" s="31"/>
      <c r="H84" s="217"/>
    </row>
    <row r="85" spans="1:8" x14ac:dyDescent="0.2">
      <c r="A85" s="26"/>
      <c r="B85" s="26"/>
      <c r="C85" s="26" t="s">
        <v>2318</v>
      </c>
      <c r="D85" s="233"/>
      <c r="E85" s="218">
        <v>9763</v>
      </c>
      <c r="F85" s="219">
        <f>SUM(F82:F84)</f>
        <v>29.6</v>
      </c>
      <c r="G85" s="218">
        <v>14291</v>
      </c>
      <c r="H85" s="220">
        <v>68.3</v>
      </c>
    </row>
    <row r="86" spans="1:8" x14ac:dyDescent="0.2">
      <c r="A86" s="26"/>
      <c r="B86" s="26"/>
      <c r="C86" s="26" t="s">
        <v>2318</v>
      </c>
      <c r="D86" s="233"/>
      <c r="E86" s="31"/>
      <c r="F86" s="216"/>
      <c r="G86" s="31"/>
      <c r="H86" s="217"/>
    </row>
    <row r="87" spans="1:8" x14ac:dyDescent="0.2">
      <c r="A87" s="26" t="s">
        <v>3235</v>
      </c>
      <c r="B87" s="26"/>
      <c r="C87" s="214" t="s">
        <v>4838</v>
      </c>
      <c r="D87" s="233" t="s">
        <v>1736</v>
      </c>
      <c r="E87" s="31">
        <v>4961</v>
      </c>
      <c r="F87" s="216">
        <v>7.2</v>
      </c>
      <c r="G87" s="31"/>
      <c r="H87" s="217"/>
    </row>
    <row r="88" spans="1:8" x14ac:dyDescent="0.2">
      <c r="A88" s="26"/>
      <c r="B88" s="26"/>
      <c r="C88" s="26" t="s">
        <v>4839</v>
      </c>
      <c r="D88" s="233" t="s">
        <v>1071</v>
      </c>
      <c r="E88" s="31">
        <v>4900</v>
      </c>
      <c r="F88" s="216">
        <v>0.7</v>
      </c>
      <c r="G88" s="31"/>
      <c r="H88" s="217"/>
    </row>
    <row r="89" spans="1:8" x14ac:dyDescent="0.2">
      <c r="A89" s="26"/>
      <c r="B89" s="26"/>
      <c r="C89" s="26" t="s">
        <v>2267</v>
      </c>
      <c r="D89" s="233" t="s">
        <v>655</v>
      </c>
      <c r="E89" s="31">
        <v>1341</v>
      </c>
      <c r="F89" s="216">
        <v>10.1</v>
      </c>
      <c r="G89" s="31"/>
      <c r="H89" s="217"/>
    </row>
    <row r="90" spans="1:8" x14ac:dyDescent="0.2">
      <c r="A90" s="26"/>
      <c r="B90" s="26"/>
      <c r="C90" s="26" t="s">
        <v>5045</v>
      </c>
      <c r="D90" s="233" t="s">
        <v>653</v>
      </c>
      <c r="E90" s="31">
        <v>121</v>
      </c>
      <c r="F90" s="216">
        <v>64.8</v>
      </c>
      <c r="G90" s="31"/>
      <c r="H90" s="217"/>
    </row>
    <row r="91" spans="1:8" x14ac:dyDescent="0.2">
      <c r="A91" s="26"/>
      <c r="B91" s="26"/>
      <c r="C91" s="26" t="s">
        <v>2318</v>
      </c>
      <c r="D91" s="233"/>
      <c r="E91" s="218">
        <v>11427</v>
      </c>
      <c r="F91" s="219">
        <v>100</v>
      </c>
      <c r="G91" s="218">
        <v>16080</v>
      </c>
      <c r="H91" s="220">
        <v>71.7</v>
      </c>
    </row>
    <row r="92" spans="1:8" x14ac:dyDescent="0.2">
      <c r="A92" s="26"/>
      <c r="B92" s="26"/>
      <c r="C92" s="26" t="s">
        <v>2318</v>
      </c>
      <c r="D92" s="233"/>
      <c r="E92" s="31"/>
      <c r="F92" s="216"/>
      <c r="G92" s="31"/>
      <c r="H92" s="217"/>
    </row>
    <row r="93" spans="1:8" x14ac:dyDescent="0.2">
      <c r="A93" s="26" t="s">
        <v>1188</v>
      </c>
      <c r="B93" s="26"/>
      <c r="C93" s="214" t="s">
        <v>1889</v>
      </c>
      <c r="D93" s="233" t="s">
        <v>1736</v>
      </c>
      <c r="E93" s="31">
        <v>7049</v>
      </c>
      <c r="F93" s="216">
        <v>3.8</v>
      </c>
      <c r="G93" s="31"/>
      <c r="H93" s="217"/>
    </row>
    <row r="94" spans="1:8" x14ac:dyDescent="0.2">
      <c r="A94" s="26"/>
      <c r="B94" s="26"/>
      <c r="C94" s="26" t="s">
        <v>4843</v>
      </c>
      <c r="D94" s="233" t="s">
        <v>1071</v>
      </c>
      <c r="E94" s="31">
        <v>4319</v>
      </c>
      <c r="F94" s="216">
        <v>8.6999999999999993</v>
      </c>
      <c r="G94" s="31"/>
      <c r="H94" s="217"/>
    </row>
    <row r="95" spans="1:8" x14ac:dyDescent="0.2">
      <c r="A95" s="26"/>
      <c r="B95" s="26"/>
      <c r="C95" s="26" t="s">
        <v>5046</v>
      </c>
      <c r="D95" s="233" t="s">
        <v>655</v>
      </c>
      <c r="E95" s="31">
        <v>1066</v>
      </c>
      <c r="F95" s="216">
        <v>8.1</v>
      </c>
      <c r="G95" s="31"/>
      <c r="H95" s="217"/>
    </row>
    <row r="96" spans="1:8" x14ac:dyDescent="0.2">
      <c r="A96" s="26"/>
      <c r="B96" s="26"/>
      <c r="C96" s="26" t="s">
        <v>5047</v>
      </c>
      <c r="D96" s="233" t="s">
        <v>1072</v>
      </c>
      <c r="E96" s="31">
        <v>333</v>
      </c>
      <c r="F96" s="216">
        <v>6.5</v>
      </c>
      <c r="G96" s="31"/>
      <c r="H96" s="217"/>
    </row>
    <row r="97" spans="1:10" x14ac:dyDescent="0.2">
      <c r="A97" s="26"/>
      <c r="B97" s="26"/>
      <c r="C97" s="26" t="s">
        <v>2318</v>
      </c>
      <c r="D97" s="233"/>
      <c r="E97" s="218">
        <v>12825</v>
      </c>
      <c r="F97" s="219">
        <f>SUM(F93:F96)</f>
        <v>27.1</v>
      </c>
      <c r="G97" s="218">
        <v>16848</v>
      </c>
      <c r="H97" s="220">
        <v>76.099999999999994</v>
      </c>
    </row>
    <row r="98" spans="1:10" x14ac:dyDescent="0.2">
      <c r="A98" s="26"/>
      <c r="B98" s="26"/>
      <c r="C98" s="26" t="s">
        <v>2318</v>
      </c>
      <c r="D98" s="233"/>
      <c r="E98" s="31"/>
      <c r="F98" s="216"/>
      <c r="G98" s="31"/>
      <c r="H98" s="217"/>
    </row>
    <row r="99" spans="1:10" x14ac:dyDescent="0.2">
      <c r="A99" s="26" t="s">
        <v>1125</v>
      </c>
      <c r="B99" s="26"/>
      <c r="C99" s="214" t="s">
        <v>2335</v>
      </c>
      <c r="D99" s="233" t="s">
        <v>1736</v>
      </c>
      <c r="E99" s="31">
        <v>4552</v>
      </c>
      <c r="F99" s="216">
        <v>14.2</v>
      </c>
      <c r="G99" s="31"/>
      <c r="H99" s="217"/>
    </row>
    <row r="100" spans="1:10" x14ac:dyDescent="0.2">
      <c r="A100" s="26"/>
      <c r="B100" s="26"/>
      <c r="C100" s="26" t="s">
        <v>5048</v>
      </c>
      <c r="D100" s="233" t="s">
        <v>1071</v>
      </c>
      <c r="E100" s="31">
        <v>3965</v>
      </c>
      <c r="F100" s="216">
        <v>2.1</v>
      </c>
      <c r="G100" s="31"/>
      <c r="H100" s="217"/>
    </row>
    <row r="101" spans="1:10" x14ac:dyDescent="0.2">
      <c r="A101" s="26"/>
      <c r="B101" s="26"/>
      <c r="C101" s="26" t="s">
        <v>5049</v>
      </c>
      <c r="D101" s="233" t="s">
        <v>655</v>
      </c>
      <c r="E101" s="31">
        <v>988</v>
      </c>
      <c r="F101" s="216">
        <v>23.5</v>
      </c>
      <c r="G101" s="31"/>
      <c r="H101" s="217"/>
      <c r="J101" s="221"/>
    </row>
    <row r="102" spans="1:10" x14ac:dyDescent="0.2">
      <c r="A102" s="26"/>
      <c r="B102" s="26"/>
      <c r="C102" s="26" t="s">
        <v>2318</v>
      </c>
      <c r="D102" s="233"/>
      <c r="E102" s="218">
        <v>9549</v>
      </c>
      <c r="F102" s="219">
        <f>SUM(F99:F101)</f>
        <v>39.799999999999997</v>
      </c>
      <c r="G102" s="218">
        <v>12631</v>
      </c>
      <c r="H102" s="220">
        <v>75.599999999999994</v>
      </c>
    </row>
    <row r="103" spans="1:10" x14ac:dyDescent="0.2">
      <c r="A103" s="26"/>
      <c r="B103" s="26"/>
      <c r="C103" s="26" t="s">
        <v>2318</v>
      </c>
      <c r="D103" s="233"/>
      <c r="E103" s="31"/>
      <c r="F103" s="216"/>
      <c r="G103" s="31"/>
      <c r="H103" s="217"/>
    </row>
    <row r="104" spans="1:10" x14ac:dyDescent="0.2">
      <c r="A104" s="26" t="s">
        <v>1427</v>
      </c>
      <c r="B104" s="26"/>
      <c r="C104" s="214" t="s">
        <v>5050</v>
      </c>
      <c r="D104" s="233" t="s">
        <v>1071</v>
      </c>
      <c r="E104" s="31">
        <v>2831</v>
      </c>
      <c r="F104" s="216">
        <v>2</v>
      </c>
      <c r="G104" s="31"/>
      <c r="H104" s="217"/>
    </row>
    <row r="105" spans="1:10" x14ac:dyDescent="0.2">
      <c r="A105" s="26"/>
      <c r="B105" s="26"/>
      <c r="C105" s="26" t="s">
        <v>5051</v>
      </c>
      <c r="D105" s="233" t="s">
        <v>1736</v>
      </c>
      <c r="E105" s="31">
        <v>2392</v>
      </c>
      <c r="F105" s="216">
        <v>2.2000000000000002</v>
      </c>
      <c r="G105" s="31"/>
      <c r="H105" s="217"/>
    </row>
    <row r="106" spans="1:10" x14ac:dyDescent="0.2">
      <c r="A106" s="26"/>
      <c r="B106" s="26"/>
      <c r="C106" s="26" t="s">
        <v>2318</v>
      </c>
      <c r="D106" s="233"/>
      <c r="E106" s="218">
        <v>5286</v>
      </c>
      <c r="F106" s="219">
        <v>100</v>
      </c>
      <c r="G106" s="218">
        <v>8975</v>
      </c>
      <c r="H106" s="220">
        <v>58.9</v>
      </c>
    </row>
    <row r="107" spans="1:10" x14ac:dyDescent="0.2">
      <c r="A107" s="26"/>
      <c r="B107" s="26"/>
      <c r="C107" s="26" t="s">
        <v>2318</v>
      </c>
      <c r="D107" s="233"/>
      <c r="E107" s="31"/>
      <c r="F107" s="216"/>
      <c r="G107" s="31"/>
      <c r="H107" s="217"/>
    </row>
    <row r="108" spans="1:10" x14ac:dyDescent="0.2">
      <c r="A108" s="26" t="s">
        <v>1430</v>
      </c>
      <c r="B108" s="26"/>
      <c r="C108" s="214" t="s">
        <v>4849</v>
      </c>
      <c r="D108" s="233" t="s">
        <v>1071</v>
      </c>
      <c r="E108" s="31">
        <v>4041</v>
      </c>
      <c r="F108" s="216">
        <v>53.4</v>
      </c>
      <c r="G108" s="31"/>
      <c r="H108" s="217"/>
    </row>
    <row r="109" spans="1:10" x14ac:dyDescent="0.2">
      <c r="A109" s="26"/>
      <c r="B109" s="26"/>
      <c r="C109" s="26" t="s">
        <v>5052</v>
      </c>
      <c r="D109" s="233" t="s">
        <v>1736</v>
      </c>
      <c r="E109" s="31">
        <v>3468</v>
      </c>
      <c r="F109" s="216">
        <v>1.9</v>
      </c>
      <c r="G109" s="31"/>
      <c r="H109" s="217"/>
    </row>
    <row r="110" spans="1:10" x14ac:dyDescent="0.2">
      <c r="A110" s="26"/>
      <c r="B110" s="26"/>
      <c r="C110" s="26" t="s">
        <v>5053</v>
      </c>
      <c r="D110" s="233" t="s">
        <v>655</v>
      </c>
      <c r="E110" s="31">
        <v>736</v>
      </c>
      <c r="F110" s="216">
        <v>9.8000000000000007</v>
      </c>
      <c r="G110" s="31"/>
      <c r="H110" s="217"/>
    </row>
    <row r="111" spans="1:10" x14ac:dyDescent="0.2">
      <c r="A111" s="26"/>
      <c r="B111" s="26"/>
      <c r="C111" s="26" t="s">
        <v>2318</v>
      </c>
      <c r="D111" s="233"/>
      <c r="E111" s="218">
        <v>8271</v>
      </c>
      <c r="F111" s="219">
        <v>100</v>
      </c>
      <c r="G111" s="218">
        <v>11532</v>
      </c>
      <c r="H111" s="220">
        <v>71.7</v>
      </c>
    </row>
    <row r="112" spans="1:10" x14ac:dyDescent="0.2">
      <c r="A112" s="26"/>
      <c r="B112" s="26"/>
      <c r="C112" s="26" t="s">
        <v>2318</v>
      </c>
      <c r="D112" s="233"/>
      <c r="E112" s="31"/>
      <c r="F112" s="216"/>
      <c r="G112" s="31"/>
      <c r="H112" s="217"/>
    </row>
    <row r="113" spans="1:8" x14ac:dyDescent="0.2">
      <c r="A113" s="26" t="s">
        <v>2268</v>
      </c>
      <c r="B113" s="26"/>
      <c r="C113" s="214" t="s">
        <v>5054</v>
      </c>
      <c r="D113" s="233" t="s">
        <v>1071</v>
      </c>
      <c r="E113" s="31">
        <v>2777</v>
      </c>
      <c r="F113" s="216">
        <v>32.4</v>
      </c>
      <c r="G113" s="31"/>
      <c r="H113" s="217"/>
    </row>
    <row r="114" spans="1:8" x14ac:dyDescent="0.2">
      <c r="A114" s="26"/>
      <c r="B114" s="26"/>
      <c r="C114" s="26" t="s">
        <v>5055</v>
      </c>
      <c r="D114" s="233" t="s">
        <v>1736</v>
      </c>
      <c r="E114" s="31">
        <v>1635</v>
      </c>
      <c r="F114" s="216">
        <v>57</v>
      </c>
      <c r="G114" s="31"/>
      <c r="H114" s="217"/>
    </row>
    <row r="115" spans="1:8" x14ac:dyDescent="0.2">
      <c r="A115" s="26"/>
      <c r="B115" s="26"/>
      <c r="C115" s="26" t="s">
        <v>5056</v>
      </c>
      <c r="D115" s="233" t="s">
        <v>655</v>
      </c>
      <c r="E115" s="31">
        <v>196</v>
      </c>
      <c r="F115" s="216">
        <v>2.1</v>
      </c>
      <c r="G115" s="31"/>
      <c r="H115" s="217"/>
    </row>
    <row r="116" spans="1:8" x14ac:dyDescent="0.2">
      <c r="A116" s="26"/>
      <c r="B116" s="26"/>
      <c r="C116" s="26" t="s">
        <v>2318</v>
      </c>
      <c r="D116" s="233"/>
      <c r="E116" s="218">
        <v>4617</v>
      </c>
      <c r="F116" s="219">
        <f>SUM(F113:F115)</f>
        <v>91.5</v>
      </c>
      <c r="G116" s="218">
        <v>5860</v>
      </c>
      <c r="H116" s="220">
        <v>78.8</v>
      </c>
    </row>
    <row r="117" spans="1:8" x14ac:dyDescent="0.2">
      <c r="A117" s="26"/>
      <c r="B117" s="26"/>
      <c r="C117" s="26" t="s">
        <v>2318</v>
      </c>
      <c r="D117" s="233"/>
      <c r="E117" s="31"/>
      <c r="F117" s="216"/>
      <c r="G117" s="31"/>
      <c r="H117" s="217"/>
    </row>
    <row r="118" spans="1:8" x14ac:dyDescent="0.2">
      <c r="A118" s="26" t="s">
        <v>1434</v>
      </c>
      <c r="B118" s="26"/>
      <c r="C118" s="214" t="s">
        <v>5057</v>
      </c>
      <c r="D118" s="233" t="s">
        <v>1736</v>
      </c>
      <c r="E118" s="31">
        <v>2603</v>
      </c>
      <c r="F118" s="216">
        <v>57</v>
      </c>
      <c r="G118" s="31"/>
      <c r="H118" s="217"/>
    </row>
    <row r="119" spans="1:8" x14ac:dyDescent="0.2">
      <c r="A119" s="26"/>
      <c r="B119" s="26"/>
      <c r="C119" s="26" t="s">
        <v>5058</v>
      </c>
      <c r="D119" s="233" t="s">
        <v>1071</v>
      </c>
      <c r="E119" s="31">
        <v>1304</v>
      </c>
      <c r="F119" s="216">
        <v>20.8</v>
      </c>
      <c r="G119" s="31"/>
      <c r="H119" s="217"/>
    </row>
    <row r="120" spans="1:8" x14ac:dyDescent="0.2">
      <c r="A120" s="26"/>
      <c r="B120" s="26"/>
      <c r="C120" s="26" t="s">
        <v>5059</v>
      </c>
      <c r="D120" s="233" t="s">
        <v>655</v>
      </c>
      <c r="E120" s="31">
        <v>963</v>
      </c>
      <c r="F120" s="216">
        <v>1.5</v>
      </c>
      <c r="G120" s="31"/>
      <c r="H120" s="217"/>
    </row>
    <row r="121" spans="1:8" x14ac:dyDescent="0.2">
      <c r="A121" s="26"/>
      <c r="B121" s="26"/>
      <c r="C121" s="26" t="s">
        <v>2318</v>
      </c>
      <c r="D121" s="233"/>
      <c r="E121" s="218">
        <v>4898</v>
      </c>
      <c r="F121" s="219">
        <f>SUM(F118:F120)</f>
        <v>79.3</v>
      </c>
      <c r="G121" s="218">
        <v>7235</v>
      </c>
      <c r="H121" s="220">
        <v>67.7</v>
      </c>
    </row>
    <row r="122" spans="1:8" x14ac:dyDescent="0.2">
      <c r="A122" s="26"/>
      <c r="B122" s="26"/>
      <c r="C122" s="26" t="s">
        <v>2318</v>
      </c>
      <c r="D122" s="233"/>
      <c r="E122" s="31"/>
      <c r="F122" s="216"/>
      <c r="G122" s="31"/>
      <c r="H122" s="217"/>
    </row>
    <row r="123" spans="1:8" x14ac:dyDescent="0.2">
      <c r="A123" s="26" t="s">
        <v>1977</v>
      </c>
      <c r="B123" s="26"/>
      <c r="C123" s="214" t="s">
        <v>4859</v>
      </c>
      <c r="D123" s="233" t="s">
        <v>4860</v>
      </c>
      <c r="E123" s="31">
        <v>5044</v>
      </c>
      <c r="F123" s="216">
        <v>55</v>
      </c>
      <c r="G123" s="31"/>
      <c r="H123" s="217"/>
    </row>
    <row r="124" spans="1:8" x14ac:dyDescent="0.2">
      <c r="A124" s="26"/>
      <c r="B124" s="26"/>
      <c r="C124" s="26" t="s">
        <v>4861</v>
      </c>
      <c r="D124" s="233" t="s">
        <v>1736</v>
      </c>
      <c r="E124" s="31">
        <v>2285</v>
      </c>
      <c r="F124" s="216">
        <v>2.1</v>
      </c>
      <c r="G124" s="31"/>
      <c r="H124" s="217"/>
    </row>
    <row r="125" spans="1:8" x14ac:dyDescent="0.2">
      <c r="A125" s="26"/>
      <c r="B125" s="26"/>
      <c r="C125" s="26" t="s">
        <v>5060</v>
      </c>
      <c r="D125" s="233" t="s">
        <v>655</v>
      </c>
      <c r="E125" s="31">
        <v>547</v>
      </c>
      <c r="F125" s="216">
        <v>5.2</v>
      </c>
      <c r="G125" s="31"/>
      <c r="H125" s="217"/>
    </row>
    <row r="126" spans="1:8" x14ac:dyDescent="0.2">
      <c r="A126" s="26"/>
      <c r="B126" s="26"/>
      <c r="C126" s="26" t="s">
        <v>2318</v>
      </c>
      <c r="D126" s="233"/>
      <c r="E126" s="218">
        <v>7936</v>
      </c>
      <c r="F126" s="219">
        <v>100</v>
      </c>
      <c r="G126" s="218">
        <v>10991</v>
      </c>
      <c r="H126" s="220">
        <v>72.2</v>
      </c>
    </row>
    <row r="127" spans="1:8" x14ac:dyDescent="0.2">
      <c r="A127" s="26"/>
      <c r="B127" s="26"/>
      <c r="C127" s="26" t="s">
        <v>2318</v>
      </c>
      <c r="D127" s="233"/>
      <c r="E127" s="31"/>
      <c r="F127" s="216"/>
      <c r="G127" s="31"/>
      <c r="H127" s="217"/>
    </row>
    <row r="128" spans="1:8" x14ac:dyDescent="0.2">
      <c r="A128" s="26" t="s">
        <v>1969</v>
      </c>
      <c r="B128" s="26"/>
      <c r="C128" s="214" t="s">
        <v>1894</v>
      </c>
      <c r="D128" s="233" t="s">
        <v>1736</v>
      </c>
      <c r="E128" s="31">
        <v>3913</v>
      </c>
      <c r="F128" s="216">
        <v>23.8</v>
      </c>
      <c r="G128" s="31"/>
      <c r="H128" s="217"/>
    </row>
    <row r="129" spans="1:8" x14ac:dyDescent="0.2">
      <c r="A129" s="26"/>
      <c r="B129" s="26"/>
      <c r="C129" s="26" t="s">
        <v>4862</v>
      </c>
      <c r="D129" s="233" t="s">
        <v>1071</v>
      </c>
      <c r="E129" s="31">
        <v>3681</v>
      </c>
      <c r="F129" s="216">
        <v>5.0999999999999996</v>
      </c>
      <c r="G129" s="31"/>
      <c r="H129" s="217"/>
    </row>
    <row r="130" spans="1:8" x14ac:dyDescent="0.2">
      <c r="A130" s="26"/>
      <c r="B130" s="26"/>
      <c r="C130" s="26" t="s">
        <v>5061</v>
      </c>
      <c r="D130" s="233" t="s">
        <v>655</v>
      </c>
      <c r="E130" s="31">
        <v>1303</v>
      </c>
      <c r="F130" s="216"/>
      <c r="G130" s="31"/>
      <c r="H130" s="217"/>
    </row>
    <row r="131" spans="1:8" x14ac:dyDescent="0.2">
      <c r="A131" s="26"/>
      <c r="B131" s="26"/>
      <c r="C131" s="26" t="s">
        <v>5062</v>
      </c>
      <c r="D131" s="233" t="s">
        <v>1072</v>
      </c>
      <c r="E131" s="31">
        <v>257</v>
      </c>
      <c r="F131" s="216">
        <v>54.1</v>
      </c>
      <c r="G131" s="31"/>
      <c r="H131" s="217"/>
    </row>
    <row r="132" spans="1:8" x14ac:dyDescent="0.2">
      <c r="A132" s="26"/>
      <c r="B132" s="26"/>
      <c r="C132" s="26" t="s">
        <v>2318</v>
      </c>
      <c r="D132" s="233"/>
      <c r="E132" s="218">
        <v>9232</v>
      </c>
      <c r="F132" s="219">
        <f>SUM(F128:F131)</f>
        <v>83</v>
      </c>
      <c r="G132" s="218">
        <v>13490</v>
      </c>
      <c r="H132" s="220">
        <v>68.400000000000006</v>
      </c>
    </row>
    <row r="133" spans="1:8" x14ac:dyDescent="0.2">
      <c r="A133" s="26"/>
      <c r="B133" s="26"/>
      <c r="C133" s="26" t="s">
        <v>2318</v>
      </c>
      <c r="D133" s="233"/>
      <c r="E133" s="31"/>
      <c r="F133" s="216"/>
      <c r="G133" s="31"/>
      <c r="H133" s="217"/>
    </row>
    <row r="134" spans="1:8" x14ac:dyDescent="0.2">
      <c r="A134" s="26" t="s">
        <v>1161</v>
      </c>
      <c r="B134" s="26"/>
      <c r="C134" s="214" t="s">
        <v>5063</v>
      </c>
      <c r="D134" s="233" t="s">
        <v>1736</v>
      </c>
      <c r="E134" s="31">
        <v>6018</v>
      </c>
      <c r="F134" s="216">
        <v>4.2</v>
      </c>
      <c r="G134" s="31"/>
      <c r="H134" s="217"/>
    </row>
    <row r="135" spans="1:8" x14ac:dyDescent="0.2">
      <c r="A135" s="26"/>
      <c r="B135" s="26"/>
      <c r="C135" s="26" t="s">
        <v>5064</v>
      </c>
      <c r="D135" s="233" t="s">
        <v>1071</v>
      </c>
      <c r="E135" s="31">
        <v>4052</v>
      </c>
      <c r="F135" s="216">
        <v>19.899999999999999</v>
      </c>
      <c r="G135" s="31"/>
      <c r="H135" s="217"/>
    </row>
    <row r="136" spans="1:8" x14ac:dyDescent="0.2">
      <c r="A136" s="26"/>
      <c r="B136" s="26"/>
      <c r="C136" s="26" t="s">
        <v>3252</v>
      </c>
      <c r="D136" s="233" t="s">
        <v>655</v>
      </c>
      <c r="E136" s="31">
        <v>1960</v>
      </c>
      <c r="F136" s="216"/>
      <c r="G136" s="31"/>
      <c r="H136" s="217"/>
    </row>
    <row r="137" spans="1:8" x14ac:dyDescent="0.2">
      <c r="A137" s="26"/>
      <c r="B137" s="26"/>
      <c r="C137" s="26" t="s">
        <v>2318</v>
      </c>
      <c r="D137" s="233"/>
      <c r="E137" s="218">
        <v>12126</v>
      </c>
      <c r="F137" s="219">
        <f>SUM(F134:F136)</f>
        <v>24.099999999999998</v>
      </c>
      <c r="G137" s="218">
        <v>16749</v>
      </c>
      <c r="H137" s="220">
        <v>72.400000000000006</v>
      </c>
    </row>
    <row r="138" spans="1:8" x14ac:dyDescent="0.2">
      <c r="A138" s="26"/>
      <c r="B138" s="26"/>
      <c r="C138" s="26" t="s">
        <v>2318</v>
      </c>
      <c r="D138" s="233"/>
      <c r="E138" s="31"/>
      <c r="F138" s="216"/>
      <c r="G138" s="31"/>
      <c r="H138" s="217"/>
    </row>
    <row r="139" spans="1:8" x14ac:dyDescent="0.2">
      <c r="A139" s="26" t="s">
        <v>1163</v>
      </c>
      <c r="B139" s="26"/>
      <c r="C139" s="214" t="s">
        <v>1911</v>
      </c>
      <c r="D139" s="233" t="s">
        <v>1736</v>
      </c>
      <c r="E139" s="31">
        <v>4471</v>
      </c>
      <c r="F139" s="216">
        <v>50.5</v>
      </c>
      <c r="G139" s="31"/>
      <c r="H139" s="217"/>
    </row>
    <row r="140" spans="1:8" x14ac:dyDescent="0.2">
      <c r="A140" s="26"/>
      <c r="B140" s="26"/>
      <c r="C140" s="26" t="s">
        <v>5065</v>
      </c>
      <c r="D140" s="233" t="s">
        <v>1071</v>
      </c>
      <c r="E140" s="31">
        <v>3050</v>
      </c>
      <c r="F140" s="216"/>
      <c r="G140" s="31"/>
      <c r="H140" s="217"/>
    </row>
    <row r="141" spans="1:8" x14ac:dyDescent="0.2">
      <c r="A141" s="26"/>
      <c r="B141" s="26"/>
      <c r="C141" s="26" t="s">
        <v>811</v>
      </c>
      <c r="D141" s="233" t="s">
        <v>655</v>
      </c>
      <c r="E141" s="31">
        <v>2769</v>
      </c>
      <c r="F141" s="216">
        <v>3.1</v>
      </c>
      <c r="G141" s="31"/>
      <c r="H141" s="217"/>
    </row>
    <row r="142" spans="1:8" x14ac:dyDescent="0.2">
      <c r="A142" s="26"/>
      <c r="B142" s="26"/>
      <c r="C142" s="26" t="s">
        <v>5066</v>
      </c>
      <c r="D142" s="233" t="s">
        <v>1072</v>
      </c>
      <c r="E142" s="31">
        <v>185</v>
      </c>
      <c r="F142" s="216">
        <v>34.9</v>
      </c>
      <c r="G142" s="31"/>
      <c r="H142" s="217"/>
    </row>
    <row r="143" spans="1:8" x14ac:dyDescent="0.2">
      <c r="A143" s="26"/>
      <c r="B143" s="26"/>
      <c r="C143" s="26" t="s">
        <v>2318</v>
      </c>
      <c r="D143" s="233"/>
      <c r="E143" s="218">
        <v>10535</v>
      </c>
      <c r="F143" s="219">
        <f>SUM(F139:F142)</f>
        <v>88.5</v>
      </c>
      <c r="G143" s="218">
        <v>15591</v>
      </c>
      <c r="H143" s="220">
        <v>67.599999999999994</v>
      </c>
    </row>
    <row r="144" spans="1:8" x14ac:dyDescent="0.2">
      <c r="A144" s="26"/>
      <c r="B144" s="26"/>
      <c r="C144" s="26" t="s">
        <v>2318</v>
      </c>
      <c r="D144" s="233"/>
      <c r="E144" s="31"/>
      <c r="F144" s="216"/>
      <c r="G144" s="31"/>
      <c r="H144" s="217"/>
    </row>
    <row r="145" spans="1:8" x14ac:dyDescent="0.2">
      <c r="A145" s="26" t="s">
        <v>469</v>
      </c>
      <c r="B145" s="26"/>
      <c r="C145" s="214" t="s">
        <v>1912</v>
      </c>
      <c r="D145" s="233" t="s">
        <v>1736</v>
      </c>
      <c r="E145" s="31">
        <v>5931</v>
      </c>
      <c r="F145" s="216">
        <v>58.5</v>
      </c>
      <c r="G145" s="31"/>
      <c r="H145" s="217"/>
    </row>
    <row r="146" spans="1:8" x14ac:dyDescent="0.2">
      <c r="A146" s="26"/>
      <c r="B146" s="26"/>
      <c r="C146" s="26" t="s">
        <v>5067</v>
      </c>
      <c r="D146" s="233" t="s">
        <v>1071</v>
      </c>
      <c r="E146" s="31">
        <v>3653</v>
      </c>
      <c r="F146" s="216">
        <v>6</v>
      </c>
      <c r="G146" s="31"/>
      <c r="H146" s="217"/>
    </row>
    <row r="147" spans="1:8" x14ac:dyDescent="0.2">
      <c r="A147" s="26"/>
      <c r="B147" s="26"/>
      <c r="C147" s="26" t="s">
        <v>5068</v>
      </c>
      <c r="D147" s="233" t="s">
        <v>655</v>
      </c>
      <c r="E147" s="31">
        <v>1772</v>
      </c>
      <c r="F147" s="216">
        <v>24.49</v>
      </c>
      <c r="G147" s="31"/>
      <c r="H147" s="217"/>
    </row>
    <row r="148" spans="1:8" x14ac:dyDescent="0.2">
      <c r="A148" s="26"/>
      <c r="B148" s="26"/>
      <c r="C148" s="26" t="s">
        <v>2318</v>
      </c>
      <c r="D148" s="233"/>
      <c r="E148" s="218">
        <v>11404</v>
      </c>
      <c r="F148" s="219">
        <f>SUM(F145:F147)</f>
        <v>88.99</v>
      </c>
      <c r="G148" s="218">
        <v>15744</v>
      </c>
      <c r="H148" s="220">
        <v>72.400000000000006</v>
      </c>
    </row>
    <row r="149" spans="1:8" x14ac:dyDescent="0.2">
      <c r="A149" s="26"/>
      <c r="B149" s="26"/>
      <c r="C149" s="26" t="s">
        <v>2318</v>
      </c>
      <c r="D149" s="233"/>
      <c r="E149" s="31"/>
      <c r="F149" s="216"/>
      <c r="G149" s="31"/>
      <c r="H149" s="217"/>
    </row>
    <row r="150" spans="1:8" x14ac:dyDescent="0.2">
      <c r="A150" s="26" t="s">
        <v>477</v>
      </c>
      <c r="B150" s="26"/>
      <c r="C150" s="214" t="s">
        <v>4878</v>
      </c>
      <c r="D150" s="233" t="s">
        <v>1736</v>
      </c>
      <c r="E150" s="31">
        <v>5281</v>
      </c>
      <c r="F150" s="216">
        <v>10</v>
      </c>
      <c r="G150" s="31"/>
      <c r="H150" s="217"/>
    </row>
    <row r="151" spans="1:8" x14ac:dyDescent="0.2">
      <c r="A151" s="26"/>
      <c r="B151" s="26"/>
      <c r="C151" s="26" t="s">
        <v>5069</v>
      </c>
      <c r="D151" s="233" t="s">
        <v>1071</v>
      </c>
      <c r="E151" s="31">
        <v>2622</v>
      </c>
      <c r="F151" s="216">
        <v>54.4</v>
      </c>
      <c r="G151" s="31"/>
      <c r="H151" s="217"/>
    </row>
    <row r="152" spans="1:8" x14ac:dyDescent="0.2">
      <c r="A152" s="26"/>
      <c r="B152" s="26"/>
      <c r="C152" s="26" t="s">
        <v>5070</v>
      </c>
      <c r="D152" s="233" t="s">
        <v>655</v>
      </c>
      <c r="E152" s="31">
        <v>931</v>
      </c>
      <c r="F152" s="216">
        <v>27.2</v>
      </c>
      <c r="G152" s="31"/>
      <c r="H152" s="217"/>
    </row>
    <row r="153" spans="1:8" x14ac:dyDescent="0.2">
      <c r="A153" s="26"/>
      <c r="B153" s="26"/>
      <c r="C153" s="26" t="s">
        <v>1194</v>
      </c>
      <c r="D153" s="233" t="s">
        <v>1072</v>
      </c>
      <c r="E153" s="31">
        <v>197</v>
      </c>
      <c r="F153" s="216">
        <v>8.4</v>
      </c>
      <c r="G153" s="31"/>
      <c r="H153" s="217"/>
    </row>
    <row r="154" spans="1:8" x14ac:dyDescent="0.2">
      <c r="A154" s="26"/>
      <c r="B154" s="26"/>
      <c r="C154" s="26" t="s">
        <v>2318</v>
      </c>
      <c r="D154" s="233"/>
      <c r="E154" s="218">
        <v>9069</v>
      </c>
      <c r="F154" s="219">
        <f>SUM(F150:F153)</f>
        <v>100.00000000000001</v>
      </c>
      <c r="G154" s="218">
        <v>13008</v>
      </c>
      <c r="H154" s="220">
        <v>69.7</v>
      </c>
    </row>
    <row r="155" spans="1:8" x14ac:dyDescent="0.2">
      <c r="A155" s="26"/>
      <c r="B155" s="26"/>
      <c r="C155" s="26" t="s">
        <v>2318</v>
      </c>
      <c r="D155" s="233"/>
      <c r="E155" s="31"/>
      <c r="F155" s="216"/>
      <c r="G155" s="31"/>
      <c r="H155" s="217"/>
    </row>
    <row r="156" spans="1:8" x14ac:dyDescent="0.2">
      <c r="A156" s="26" t="s">
        <v>1096</v>
      </c>
      <c r="B156" s="26"/>
      <c r="C156" s="214" t="s">
        <v>1914</v>
      </c>
      <c r="D156" s="233" t="s">
        <v>1736</v>
      </c>
      <c r="E156" s="31">
        <v>7661</v>
      </c>
      <c r="F156" s="216">
        <v>61.5</v>
      </c>
      <c r="G156" s="31"/>
      <c r="H156" s="217"/>
    </row>
    <row r="157" spans="1:8" x14ac:dyDescent="0.2">
      <c r="A157" s="26"/>
      <c r="B157" s="26"/>
      <c r="C157" s="26" t="s">
        <v>5071</v>
      </c>
      <c r="D157" s="233" t="s">
        <v>1071</v>
      </c>
      <c r="E157" s="31">
        <v>4001</v>
      </c>
      <c r="F157" s="216">
        <v>9</v>
      </c>
      <c r="G157" s="31"/>
      <c r="H157" s="217"/>
    </row>
    <row r="158" spans="1:8" x14ac:dyDescent="0.2">
      <c r="A158" s="26"/>
      <c r="B158" s="26"/>
      <c r="C158" s="26" t="s">
        <v>5072</v>
      </c>
      <c r="D158" s="233" t="s">
        <v>655</v>
      </c>
      <c r="E158" s="31">
        <v>848</v>
      </c>
      <c r="F158" s="216">
        <v>12.4</v>
      </c>
      <c r="G158" s="31"/>
      <c r="H158" s="217"/>
    </row>
    <row r="159" spans="1:8" x14ac:dyDescent="0.2">
      <c r="A159" s="26"/>
      <c r="B159" s="26"/>
      <c r="C159" s="26" t="s">
        <v>5073</v>
      </c>
      <c r="D159" s="233" t="s">
        <v>1072</v>
      </c>
      <c r="E159" s="31">
        <v>322</v>
      </c>
      <c r="F159" s="216">
        <v>17.100000000000001</v>
      </c>
      <c r="G159" s="31"/>
      <c r="H159" s="217"/>
    </row>
    <row r="160" spans="1:8" x14ac:dyDescent="0.2">
      <c r="A160" s="26"/>
      <c r="B160" s="26"/>
      <c r="C160" s="26" t="s">
        <v>2318</v>
      </c>
      <c r="D160" s="233"/>
      <c r="E160" s="218">
        <v>12869</v>
      </c>
      <c r="F160" s="219">
        <f>SUM(F156:F159)</f>
        <v>100</v>
      </c>
      <c r="G160" s="1">
        <v>16077</v>
      </c>
      <c r="H160" s="220">
        <v>80</v>
      </c>
    </row>
    <row r="161" spans="1:8" x14ac:dyDescent="0.2">
      <c r="A161" s="26"/>
      <c r="B161" s="26"/>
      <c r="C161" s="26" t="s">
        <v>2318</v>
      </c>
      <c r="D161" s="233"/>
      <c r="E161" s="31"/>
      <c r="F161" s="216"/>
      <c r="G161" s="31"/>
      <c r="H161" s="217"/>
    </row>
    <row r="162" spans="1:8" x14ac:dyDescent="0.2">
      <c r="A162" s="26" t="s">
        <v>1100</v>
      </c>
      <c r="B162" s="26"/>
      <c r="C162" s="214" t="s">
        <v>5074</v>
      </c>
      <c r="D162" s="233" t="s">
        <v>1736</v>
      </c>
      <c r="E162" s="31">
        <v>5789</v>
      </c>
      <c r="F162" s="216">
        <v>13</v>
      </c>
      <c r="G162" s="31"/>
      <c r="H162" s="217"/>
    </row>
    <row r="163" spans="1:8" x14ac:dyDescent="0.2">
      <c r="A163" s="26"/>
      <c r="B163" s="26"/>
      <c r="C163" s="26" t="s">
        <v>5075</v>
      </c>
      <c r="D163" s="233" t="s">
        <v>1071</v>
      </c>
      <c r="E163" s="31">
        <v>3778</v>
      </c>
      <c r="F163" s="216">
        <v>56</v>
      </c>
      <c r="G163" s="31"/>
      <c r="H163" s="217"/>
    </row>
    <row r="164" spans="1:8" x14ac:dyDescent="0.2">
      <c r="A164" s="26"/>
      <c r="B164" s="26"/>
      <c r="C164" s="26" t="s">
        <v>5076</v>
      </c>
      <c r="D164" s="233" t="s">
        <v>655</v>
      </c>
      <c r="E164" s="31">
        <v>1082</v>
      </c>
      <c r="F164" s="216"/>
      <c r="G164" s="31"/>
      <c r="H164" s="217"/>
    </row>
    <row r="165" spans="1:8" x14ac:dyDescent="0.2">
      <c r="A165" s="26"/>
      <c r="B165" s="26"/>
      <c r="C165" s="26" t="s">
        <v>2318</v>
      </c>
      <c r="D165" s="233"/>
      <c r="E165" s="218">
        <v>10700</v>
      </c>
      <c r="F165" s="219">
        <f>SUM(F162:F164)</f>
        <v>69</v>
      </c>
      <c r="G165" s="218">
        <v>14401</v>
      </c>
      <c r="H165" s="220">
        <v>74.3</v>
      </c>
    </row>
    <row r="166" spans="1:8" x14ac:dyDescent="0.2">
      <c r="A166" s="26"/>
      <c r="B166" s="26"/>
      <c r="C166" s="26" t="s">
        <v>2318</v>
      </c>
      <c r="D166" s="233"/>
      <c r="E166" s="31"/>
      <c r="F166" s="216"/>
      <c r="G166" s="31"/>
      <c r="H166" s="217"/>
    </row>
    <row r="167" spans="1:8" x14ac:dyDescent="0.2">
      <c r="A167" s="26" t="s">
        <v>1105</v>
      </c>
      <c r="B167" s="26"/>
      <c r="C167" s="214" t="s">
        <v>1916</v>
      </c>
      <c r="D167" s="233" t="s">
        <v>1736</v>
      </c>
      <c r="E167" s="31">
        <v>2848</v>
      </c>
      <c r="F167" s="216">
        <v>25.1</v>
      </c>
      <c r="G167" s="31"/>
      <c r="H167" s="217"/>
    </row>
    <row r="168" spans="1:8" x14ac:dyDescent="0.2">
      <c r="A168" s="26"/>
      <c r="B168" s="26"/>
      <c r="C168" s="26" t="s">
        <v>4890</v>
      </c>
      <c r="D168" s="233" t="s">
        <v>1071</v>
      </c>
      <c r="E168" s="31">
        <v>2748</v>
      </c>
      <c r="F168" s="216">
        <v>56.5</v>
      </c>
      <c r="G168" s="31"/>
      <c r="H168" s="217"/>
    </row>
    <row r="169" spans="1:8" x14ac:dyDescent="0.2">
      <c r="A169" s="26"/>
      <c r="B169" s="26"/>
      <c r="C169" s="26" t="s">
        <v>5077</v>
      </c>
      <c r="D169" s="233" t="s">
        <v>655</v>
      </c>
      <c r="E169" s="31">
        <v>1368</v>
      </c>
      <c r="F169" s="216">
        <v>7.2</v>
      </c>
      <c r="G169" s="31"/>
      <c r="H169" s="217"/>
    </row>
    <row r="170" spans="1:8" x14ac:dyDescent="0.2">
      <c r="A170" s="26"/>
      <c r="B170" s="26"/>
      <c r="C170" s="26" t="s">
        <v>5078</v>
      </c>
      <c r="D170" s="233" t="s">
        <v>1072</v>
      </c>
      <c r="E170" s="31">
        <v>154</v>
      </c>
      <c r="F170" s="216">
        <v>1</v>
      </c>
      <c r="G170" s="31"/>
      <c r="H170" s="217"/>
    </row>
    <row r="171" spans="1:8" x14ac:dyDescent="0.2">
      <c r="A171" s="26"/>
      <c r="B171" s="26"/>
      <c r="C171" s="26" t="s">
        <v>2318</v>
      </c>
      <c r="D171" s="233"/>
      <c r="E171" s="218">
        <v>7223</v>
      </c>
      <c r="F171" s="219">
        <f>SUM(F167:F170)</f>
        <v>89.8</v>
      </c>
      <c r="G171" s="218">
        <v>11695</v>
      </c>
      <c r="H171" s="220">
        <v>61.7</v>
      </c>
    </row>
    <row r="172" spans="1:8" x14ac:dyDescent="0.2">
      <c r="A172" s="26"/>
      <c r="B172" s="26"/>
      <c r="C172" s="26" t="s">
        <v>2318</v>
      </c>
      <c r="D172" s="233"/>
      <c r="E172" s="31"/>
      <c r="F172" s="216"/>
      <c r="G172" s="31"/>
      <c r="H172" s="217"/>
    </row>
    <row r="173" spans="1:8" x14ac:dyDescent="0.2">
      <c r="A173" s="26" t="s">
        <v>772</v>
      </c>
      <c r="B173" s="26"/>
      <c r="C173" s="214" t="s">
        <v>5079</v>
      </c>
      <c r="D173" s="233" t="s">
        <v>1736</v>
      </c>
      <c r="E173" s="31">
        <v>5758</v>
      </c>
      <c r="F173" s="216">
        <v>6.6</v>
      </c>
      <c r="G173" s="31"/>
      <c r="H173" s="217"/>
    </row>
    <row r="174" spans="1:8" x14ac:dyDescent="0.2">
      <c r="A174" s="26"/>
      <c r="B174" s="26"/>
      <c r="C174" s="26" t="s">
        <v>5080</v>
      </c>
      <c r="D174" s="233" t="s">
        <v>1071</v>
      </c>
      <c r="E174" s="31">
        <v>3789</v>
      </c>
      <c r="F174" s="216">
        <v>12.4</v>
      </c>
      <c r="G174" s="31"/>
      <c r="H174" s="217"/>
    </row>
    <row r="175" spans="1:8" x14ac:dyDescent="0.2">
      <c r="A175" s="26"/>
      <c r="B175" s="26"/>
      <c r="C175" s="26" t="s">
        <v>5081</v>
      </c>
      <c r="D175" s="233" t="s">
        <v>655</v>
      </c>
      <c r="E175" s="31">
        <v>1402</v>
      </c>
      <c r="F175" s="216">
        <v>20.7</v>
      </c>
      <c r="G175" s="31"/>
      <c r="H175" s="217"/>
    </row>
    <row r="176" spans="1:8" x14ac:dyDescent="0.2">
      <c r="A176" s="26"/>
      <c r="B176" s="26"/>
      <c r="C176" s="26" t="s">
        <v>5082</v>
      </c>
      <c r="D176" s="233" t="s">
        <v>1072</v>
      </c>
      <c r="E176" s="31">
        <v>241</v>
      </c>
      <c r="F176" s="216">
        <v>60.3</v>
      </c>
      <c r="G176" s="31"/>
      <c r="H176" s="217"/>
    </row>
    <row r="177" spans="1:8" x14ac:dyDescent="0.2">
      <c r="A177" s="26"/>
      <c r="B177" s="26"/>
      <c r="C177" s="26" t="s">
        <v>2318</v>
      </c>
      <c r="D177" s="233"/>
      <c r="E177" s="218">
        <v>11235</v>
      </c>
      <c r="F177" s="219">
        <f>SUM(F173:F176)</f>
        <v>100</v>
      </c>
      <c r="G177" s="218">
        <v>15794</v>
      </c>
      <c r="H177" s="220">
        <v>71.099999999999994</v>
      </c>
    </row>
    <row r="178" spans="1:8" x14ac:dyDescent="0.2">
      <c r="A178" s="26"/>
      <c r="B178" s="26"/>
      <c r="C178" s="26" t="s">
        <v>2318</v>
      </c>
      <c r="D178" s="233"/>
      <c r="E178" s="31"/>
      <c r="F178" s="216"/>
      <c r="G178" s="31"/>
      <c r="H178" s="217"/>
    </row>
    <row r="179" spans="1:8" x14ac:dyDescent="0.2">
      <c r="A179" s="26" t="s">
        <v>742</v>
      </c>
      <c r="B179" s="26"/>
      <c r="C179" s="214" t="s">
        <v>5083</v>
      </c>
      <c r="D179" s="233" t="s">
        <v>1736</v>
      </c>
      <c r="E179" s="31">
        <v>6316</v>
      </c>
      <c r="F179" s="216">
        <v>11.3</v>
      </c>
      <c r="G179" s="31"/>
      <c r="H179" s="217"/>
    </row>
    <row r="180" spans="1:8" x14ac:dyDescent="0.2">
      <c r="A180" s="26"/>
      <c r="B180" s="26"/>
      <c r="C180" s="26" t="s">
        <v>5084</v>
      </c>
      <c r="D180" s="233" t="s">
        <v>1071</v>
      </c>
      <c r="E180" s="31">
        <v>3535</v>
      </c>
      <c r="F180" s="216">
        <v>0.6</v>
      </c>
      <c r="G180" s="31"/>
      <c r="H180" s="217"/>
    </row>
    <row r="181" spans="1:8" x14ac:dyDescent="0.2">
      <c r="A181" s="26"/>
      <c r="B181" s="26"/>
      <c r="C181" s="26" t="s">
        <v>5085</v>
      </c>
      <c r="D181" s="233" t="s">
        <v>655</v>
      </c>
      <c r="E181" s="31">
        <v>1290</v>
      </c>
      <c r="F181" s="216">
        <v>29.6</v>
      </c>
      <c r="G181" s="31"/>
      <c r="H181" s="217"/>
    </row>
    <row r="182" spans="1:8" x14ac:dyDescent="0.2">
      <c r="A182" s="26"/>
      <c r="B182" s="26"/>
      <c r="C182" s="26" t="s">
        <v>5086</v>
      </c>
      <c r="D182" s="233" t="s">
        <v>1072</v>
      </c>
      <c r="E182" s="31">
        <v>199</v>
      </c>
      <c r="F182" s="216">
        <v>7.9</v>
      </c>
      <c r="G182" s="31"/>
      <c r="H182" s="217"/>
    </row>
    <row r="183" spans="1:8" x14ac:dyDescent="0.2">
      <c r="A183" s="26"/>
      <c r="B183" s="26"/>
      <c r="C183" s="26" t="s">
        <v>2318</v>
      </c>
      <c r="D183" s="233"/>
      <c r="E183" s="218">
        <v>11432</v>
      </c>
      <c r="F183" s="219">
        <v>100</v>
      </c>
      <c r="G183" s="218">
        <v>16597</v>
      </c>
      <c r="H183" s="220">
        <v>68.900000000000006</v>
      </c>
    </row>
    <row r="184" spans="1:8" x14ac:dyDescent="0.2">
      <c r="A184" s="26"/>
      <c r="B184" s="26"/>
      <c r="C184" s="26" t="s">
        <v>2318</v>
      </c>
      <c r="D184" s="233"/>
      <c r="E184" s="31"/>
      <c r="F184" s="216"/>
      <c r="G184" s="31"/>
      <c r="H184" s="217"/>
    </row>
    <row r="185" spans="1:8" x14ac:dyDescent="0.2">
      <c r="A185" s="26" t="s">
        <v>1118</v>
      </c>
      <c r="B185" s="26"/>
      <c r="C185" s="214" t="s">
        <v>5087</v>
      </c>
      <c r="D185" s="233" t="s">
        <v>1736</v>
      </c>
      <c r="E185" s="31">
        <v>6371</v>
      </c>
      <c r="F185" s="216">
        <v>60.2</v>
      </c>
      <c r="G185" s="31"/>
      <c r="H185" s="217"/>
    </row>
    <row r="186" spans="1:8" x14ac:dyDescent="0.2">
      <c r="A186" s="26"/>
      <c r="B186" s="26"/>
      <c r="C186" s="26" t="s">
        <v>5088</v>
      </c>
      <c r="D186" s="233" t="s">
        <v>1071</v>
      </c>
      <c r="E186" s="31">
        <v>3839</v>
      </c>
      <c r="F186" s="216">
        <v>17.8</v>
      </c>
      <c r="G186" s="31"/>
      <c r="H186" s="217"/>
    </row>
    <row r="187" spans="1:8" x14ac:dyDescent="0.2">
      <c r="A187" s="26"/>
      <c r="B187" s="26"/>
      <c r="C187" s="26" t="s">
        <v>5089</v>
      </c>
      <c r="D187" s="233" t="s">
        <v>655</v>
      </c>
      <c r="E187" s="31">
        <v>1035</v>
      </c>
      <c r="F187" s="216">
        <v>7.7</v>
      </c>
      <c r="G187" s="31"/>
      <c r="H187" s="217"/>
    </row>
    <row r="188" spans="1:8" x14ac:dyDescent="0.2">
      <c r="A188" s="26"/>
      <c r="B188" s="26"/>
      <c r="C188" s="26" t="s">
        <v>2318</v>
      </c>
      <c r="D188" s="233"/>
      <c r="E188" s="218">
        <v>11273</v>
      </c>
      <c r="F188" s="219">
        <f>SUM(F185:F187)</f>
        <v>85.7</v>
      </c>
      <c r="G188" s="218">
        <v>15944</v>
      </c>
      <c r="H188" s="220">
        <v>70.7</v>
      </c>
    </row>
    <row r="189" spans="1:8" x14ac:dyDescent="0.2">
      <c r="A189" s="26"/>
      <c r="B189" s="26"/>
      <c r="C189" s="26" t="s">
        <v>2318</v>
      </c>
      <c r="D189" s="233"/>
      <c r="E189" s="31"/>
      <c r="F189" s="216"/>
      <c r="G189" s="31"/>
      <c r="H189" s="217"/>
    </row>
    <row r="190" spans="1:8" x14ac:dyDescent="0.2">
      <c r="A190" s="26" t="s">
        <v>981</v>
      </c>
      <c r="B190" s="26"/>
      <c r="C190" s="214" t="s">
        <v>493</v>
      </c>
      <c r="D190" s="233" t="s">
        <v>1736</v>
      </c>
      <c r="E190" s="31">
        <v>4334</v>
      </c>
      <c r="F190" s="216">
        <v>0.5</v>
      </c>
      <c r="G190" s="31"/>
      <c r="H190" s="217"/>
    </row>
    <row r="191" spans="1:8" x14ac:dyDescent="0.2">
      <c r="A191" s="26"/>
      <c r="B191" s="26"/>
      <c r="C191" s="26" t="s">
        <v>5090</v>
      </c>
      <c r="D191" s="233" t="s">
        <v>1071</v>
      </c>
      <c r="E191" s="31">
        <v>3618</v>
      </c>
      <c r="F191" s="216">
        <v>47.2</v>
      </c>
      <c r="G191" s="31"/>
      <c r="H191" s="217"/>
    </row>
    <row r="192" spans="1:8" x14ac:dyDescent="0.2">
      <c r="A192" s="26"/>
      <c r="B192" s="26"/>
      <c r="C192" s="26" t="s">
        <v>5091</v>
      </c>
      <c r="D192" s="233" t="s">
        <v>655</v>
      </c>
      <c r="E192" s="31">
        <v>1954</v>
      </c>
      <c r="F192" s="216">
        <v>5.8</v>
      </c>
      <c r="G192" s="31"/>
      <c r="H192" s="217"/>
    </row>
    <row r="193" spans="1:8" x14ac:dyDescent="0.2">
      <c r="A193" s="26"/>
      <c r="B193" s="26"/>
      <c r="C193" s="26" t="s">
        <v>2318</v>
      </c>
      <c r="D193" s="233"/>
      <c r="E193" s="218">
        <v>10105</v>
      </c>
      <c r="F193" s="219">
        <f>SUM(F190:F192)</f>
        <v>53.5</v>
      </c>
      <c r="G193" s="218">
        <v>15953</v>
      </c>
      <c r="H193" s="220">
        <v>63.3</v>
      </c>
    </row>
    <row r="194" spans="1:8" x14ac:dyDescent="0.2">
      <c r="A194" s="26"/>
      <c r="B194" s="26"/>
      <c r="C194" s="26"/>
      <c r="D194" s="233"/>
      <c r="E194" s="88"/>
      <c r="F194" s="84"/>
      <c r="G194" s="88"/>
      <c r="H194" s="235"/>
    </row>
    <row r="195" spans="1:8" x14ac:dyDescent="0.2">
      <c r="A195" s="26" t="s">
        <v>4900</v>
      </c>
      <c r="B195" s="26"/>
      <c r="C195" s="214" t="s">
        <v>4901</v>
      </c>
      <c r="D195" s="233" t="s">
        <v>1736</v>
      </c>
      <c r="E195" s="31">
        <v>7009</v>
      </c>
      <c r="F195" s="216">
        <v>0.5</v>
      </c>
      <c r="G195" s="31"/>
      <c r="H195" s="217"/>
    </row>
    <row r="196" spans="1:8" x14ac:dyDescent="0.2">
      <c r="A196" s="26"/>
      <c r="B196" s="26"/>
      <c r="C196" s="26" t="s">
        <v>5092</v>
      </c>
      <c r="D196" s="233" t="s">
        <v>1071</v>
      </c>
      <c r="E196" s="31">
        <v>4188</v>
      </c>
      <c r="F196" s="216">
        <v>47.2</v>
      </c>
      <c r="G196" s="31"/>
      <c r="H196" s="217"/>
    </row>
    <row r="197" spans="1:8" x14ac:dyDescent="0.2">
      <c r="A197" s="26"/>
      <c r="B197" s="26"/>
      <c r="C197" s="26" t="s">
        <v>5093</v>
      </c>
      <c r="D197" s="233" t="s">
        <v>655</v>
      </c>
      <c r="E197" s="31">
        <v>1314</v>
      </c>
      <c r="F197" s="216">
        <v>5.8</v>
      </c>
      <c r="G197" s="31"/>
      <c r="H197" s="217"/>
    </row>
    <row r="198" spans="1:8" x14ac:dyDescent="0.2">
      <c r="A198" s="26"/>
      <c r="B198" s="26"/>
      <c r="C198" s="26" t="s">
        <v>2318</v>
      </c>
      <c r="D198" s="233"/>
      <c r="E198" s="218">
        <v>12796</v>
      </c>
      <c r="F198" s="219">
        <f>SUM(F195:F197)</f>
        <v>53.5</v>
      </c>
      <c r="G198" s="218">
        <v>16407</v>
      </c>
      <c r="H198" s="220">
        <v>80</v>
      </c>
    </row>
    <row r="199" spans="1:8" x14ac:dyDescent="0.2">
      <c r="A199" s="26"/>
      <c r="B199" s="26"/>
      <c r="C199" s="26" t="s">
        <v>2318</v>
      </c>
      <c r="D199" s="233"/>
      <c r="E199" s="31"/>
      <c r="F199" s="216"/>
      <c r="G199" s="31"/>
      <c r="H199" s="217"/>
    </row>
    <row r="200" spans="1:8" x14ac:dyDescent="0.2">
      <c r="A200" s="26" t="s">
        <v>3119</v>
      </c>
      <c r="B200" s="26"/>
      <c r="C200" s="214" t="s">
        <v>5094</v>
      </c>
      <c r="D200" s="233" t="s">
        <v>1736</v>
      </c>
      <c r="E200" s="31">
        <v>5300</v>
      </c>
      <c r="F200" s="216">
        <v>50.6</v>
      </c>
      <c r="G200" s="31"/>
      <c r="H200" s="217"/>
    </row>
    <row r="201" spans="1:8" x14ac:dyDescent="0.2">
      <c r="A201" s="26"/>
      <c r="B201" s="26"/>
      <c r="C201" s="26" t="s">
        <v>5095</v>
      </c>
      <c r="D201" s="233" t="s">
        <v>1071</v>
      </c>
      <c r="E201" s="31">
        <v>3875</v>
      </c>
      <c r="F201" s="216">
        <v>5.7</v>
      </c>
      <c r="G201" s="31"/>
      <c r="H201" s="217"/>
    </row>
    <row r="202" spans="1:8" x14ac:dyDescent="0.2">
      <c r="A202" s="26"/>
      <c r="B202" s="26"/>
      <c r="C202" s="26" t="s">
        <v>5096</v>
      </c>
      <c r="D202" s="233" t="s">
        <v>655</v>
      </c>
      <c r="E202" s="31">
        <v>1311</v>
      </c>
      <c r="F202" s="216">
        <v>11.6</v>
      </c>
      <c r="G202" s="31"/>
      <c r="H202" s="217"/>
    </row>
    <row r="203" spans="1:8" x14ac:dyDescent="0.2">
      <c r="A203" s="26"/>
      <c r="B203" s="26"/>
      <c r="C203" s="26" t="s">
        <v>4897</v>
      </c>
      <c r="D203" s="233" t="s">
        <v>1072</v>
      </c>
      <c r="E203" s="31">
        <v>221</v>
      </c>
      <c r="F203" s="216">
        <v>32.1</v>
      </c>
      <c r="G203" s="31"/>
      <c r="H203" s="217"/>
    </row>
    <row r="204" spans="1:8" x14ac:dyDescent="0.2">
      <c r="A204" s="26"/>
      <c r="B204" s="26"/>
      <c r="C204" s="26" t="s">
        <v>2318</v>
      </c>
      <c r="D204" s="233"/>
      <c r="E204" s="218">
        <v>10811</v>
      </c>
      <c r="F204" s="219">
        <f>SUM(F200:F203)</f>
        <v>100</v>
      </c>
      <c r="G204" s="218">
        <v>14815</v>
      </c>
      <c r="H204" s="220">
        <v>73</v>
      </c>
    </row>
    <row r="205" spans="1:8" x14ac:dyDescent="0.2">
      <c r="A205" s="26"/>
      <c r="B205" s="26"/>
      <c r="C205" s="26" t="s">
        <v>2318</v>
      </c>
      <c r="D205" s="233"/>
      <c r="E205" s="31"/>
      <c r="F205" s="216"/>
      <c r="G205" s="31"/>
      <c r="H205" s="217"/>
    </row>
    <row r="206" spans="1:8" x14ac:dyDescent="0.2">
      <c r="A206" s="26" t="s">
        <v>994</v>
      </c>
      <c r="B206" s="26"/>
      <c r="C206" s="214" t="s">
        <v>1513</v>
      </c>
      <c r="D206" s="233" t="s">
        <v>1736</v>
      </c>
      <c r="E206" s="31">
        <v>3996</v>
      </c>
      <c r="F206" s="216">
        <v>1.3</v>
      </c>
      <c r="G206" s="31"/>
      <c r="H206" s="217"/>
    </row>
    <row r="207" spans="1:8" x14ac:dyDescent="0.2">
      <c r="A207" s="26"/>
      <c r="B207" s="26"/>
      <c r="C207" s="26" t="s">
        <v>5097</v>
      </c>
      <c r="D207" s="233" t="s">
        <v>1071</v>
      </c>
      <c r="E207" s="31">
        <v>2973</v>
      </c>
      <c r="F207" s="216">
        <v>7.6</v>
      </c>
      <c r="G207" s="31"/>
      <c r="H207" s="217"/>
    </row>
    <row r="208" spans="1:8" x14ac:dyDescent="0.2">
      <c r="A208" s="26"/>
      <c r="B208" s="26"/>
      <c r="C208" s="26" t="s">
        <v>5098</v>
      </c>
      <c r="D208" s="233" t="s">
        <v>655</v>
      </c>
      <c r="E208" s="31">
        <v>1574</v>
      </c>
      <c r="F208" s="216">
        <v>0.4</v>
      </c>
      <c r="G208" s="31"/>
      <c r="H208" s="217"/>
    </row>
    <row r="209" spans="1:8" x14ac:dyDescent="0.2">
      <c r="A209" s="26"/>
      <c r="B209" s="26"/>
      <c r="C209" s="26" t="s">
        <v>2318</v>
      </c>
      <c r="D209" s="233"/>
      <c r="E209" s="218">
        <v>9134</v>
      </c>
      <c r="F209" s="219">
        <f>SUM(F206:F208)</f>
        <v>9.3000000000000007</v>
      </c>
      <c r="G209" s="218">
        <v>13051</v>
      </c>
      <c r="H209" s="220">
        <v>70</v>
      </c>
    </row>
    <row r="210" spans="1:8" x14ac:dyDescent="0.2">
      <c r="A210" s="26"/>
      <c r="B210" s="26"/>
      <c r="C210" s="26" t="s">
        <v>2318</v>
      </c>
      <c r="D210" s="233"/>
      <c r="E210" s="31"/>
      <c r="F210" s="216"/>
      <c r="G210" s="31"/>
      <c r="H210" s="217"/>
    </row>
    <row r="211" spans="1:8" x14ac:dyDescent="0.2">
      <c r="A211" s="26" t="s">
        <v>999</v>
      </c>
      <c r="B211" s="26"/>
      <c r="C211" s="214" t="s">
        <v>5099</v>
      </c>
      <c r="D211" s="233" t="s">
        <v>1736</v>
      </c>
      <c r="E211" s="31">
        <v>8201</v>
      </c>
      <c r="F211" s="216">
        <v>7.9</v>
      </c>
      <c r="G211" s="31"/>
      <c r="H211" s="217"/>
    </row>
    <row r="212" spans="1:8" x14ac:dyDescent="0.2">
      <c r="A212" s="26"/>
      <c r="B212" s="26"/>
      <c r="C212" s="26" t="s">
        <v>5100</v>
      </c>
      <c r="D212" s="233" t="s">
        <v>1071</v>
      </c>
      <c r="E212" s="31">
        <v>4690</v>
      </c>
      <c r="F212" s="216">
        <v>57.6</v>
      </c>
      <c r="G212" s="31"/>
      <c r="H212" s="217"/>
    </row>
    <row r="213" spans="1:8" x14ac:dyDescent="0.2">
      <c r="A213" s="26"/>
      <c r="B213" s="26"/>
      <c r="C213" s="26" t="s">
        <v>5101</v>
      </c>
      <c r="D213" s="233" t="s">
        <v>655</v>
      </c>
      <c r="E213" s="31">
        <v>936</v>
      </c>
      <c r="F213" s="216">
        <v>16.600000000000001</v>
      </c>
      <c r="G213" s="31"/>
      <c r="H213" s="217"/>
    </row>
    <row r="214" spans="1:8" x14ac:dyDescent="0.2">
      <c r="A214" s="26"/>
      <c r="B214" s="26"/>
      <c r="C214" s="26" t="s">
        <v>5102</v>
      </c>
      <c r="D214" s="233" t="s">
        <v>1072</v>
      </c>
      <c r="E214" s="31">
        <v>235</v>
      </c>
      <c r="F214" s="216">
        <v>17.899999999999999</v>
      </c>
      <c r="G214" s="31"/>
      <c r="H214" s="217"/>
    </row>
    <row r="215" spans="1:8" x14ac:dyDescent="0.2">
      <c r="A215" s="26"/>
      <c r="B215" s="26"/>
      <c r="C215" s="26" t="s">
        <v>2318</v>
      </c>
      <c r="D215" s="233"/>
      <c r="E215" s="218">
        <v>14187</v>
      </c>
      <c r="F215" s="219">
        <f>SUM(F211:F214)</f>
        <v>100</v>
      </c>
      <c r="G215" s="218">
        <v>17279</v>
      </c>
      <c r="H215" s="220">
        <v>82.1</v>
      </c>
    </row>
    <row r="216" spans="1:8" x14ac:dyDescent="0.2">
      <c r="A216" s="26"/>
      <c r="B216" s="26"/>
      <c r="C216" s="26" t="s">
        <v>2318</v>
      </c>
      <c r="D216" s="233"/>
      <c r="E216" s="31"/>
      <c r="F216" s="216"/>
      <c r="G216" s="31"/>
      <c r="H216" s="217"/>
    </row>
    <row r="217" spans="1:8" x14ac:dyDescent="0.2">
      <c r="A217" s="26" t="s">
        <v>2269</v>
      </c>
      <c r="B217" s="26"/>
      <c r="C217" s="214" t="s">
        <v>5103</v>
      </c>
      <c r="D217" s="233" t="s">
        <v>1736</v>
      </c>
      <c r="E217" s="31">
        <v>3900</v>
      </c>
      <c r="F217" s="216">
        <v>35.200000000000003</v>
      </c>
      <c r="G217" s="31"/>
      <c r="H217" s="217"/>
    </row>
    <row r="218" spans="1:8" x14ac:dyDescent="0.2">
      <c r="A218" s="26"/>
      <c r="B218" s="26"/>
      <c r="C218" s="26" t="s">
        <v>5104</v>
      </c>
      <c r="D218" s="233" t="s">
        <v>1071</v>
      </c>
      <c r="E218" s="31">
        <v>1947</v>
      </c>
      <c r="F218" s="216">
        <v>8</v>
      </c>
      <c r="G218" s="31"/>
      <c r="H218" s="217"/>
    </row>
    <row r="219" spans="1:8" x14ac:dyDescent="0.2">
      <c r="A219" s="26"/>
      <c r="B219" s="26"/>
      <c r="C219" s="26" t="s">
        <v>5105</v>
      </c>
      <c r="D219" s="233" t="s">
        <v>655</v>
      </c>
      <c r="E219" s="31">
        <v>749</v>
      </c>
      <c r="F219" s="216">
        <v>3.1</v>
      </c>
      <c r="G219" s="31"/>
      <c r="H219" s="217"/>
    </row>
    <row r="220" spans="1:8" x14ac:dyDescent="0.2">
      <c r="A220" s="26"/>
      <c r="B220" s="26"/>
      <c r="C220" s="26" t="s">
        <v>2318</v>
      </c>
      <c r="D220" s="233"/>
      <c r="E220" s="218">
        <v>6813</v>
      </c>
      <c r="F220" s="219">
        <f>SUM(F217:F219)</f>
        <v>46.300000000000004</v>
      </c>
      <c r="G220" s="218">
        <v>10058</v>
      </c>
      <c r="H220" s="220">
        <v>67.7</v>
      </c>
    </row>
    <row r="221" spans="1:8" x14ac:dyDescent="0.2">
      <c r="A221" s="26"/>
      <c r="B221" s="26"/>
      <c r="C221" s="26" t="s">
        <v>2318</v>
      </c>
      <c r="D221" s="233"/>
      <c r="E221" s="31"/>
      <c r="F221" s="216"/>
      <c r="G221" s="31"/>
      <c r="H221" s="217"/>
    </row>
    <row r="222" spans="1:8" x14ac:dyDescent="0.2">
      <c r="A222" s="26" t="s">
        <v>1920</v>
      </c>
      <c r="B222" s="26"/>
      <c r="C222" s="214" t="s">
        <v>5106</v>
      </c>
      <c r="D222" s="233" t="s">
        <v>1736</v>
      </c>
      <c r="E222" s="31">
        <v>4553</v>
      </c>
      <c r="F222" s="216">
        <v>50.3</v>
      </c>
      <c r="G222" s="31"/>
      <c r="H222" s="217"/>
    </row>
    <row r="223" spans="1:8" x14ac:dyDescent="0.2">
      <c r="A223" s="26"/>
      <c r="B223" s="26"/>
      <c r="C223" s="26" t="s">
        <v>5107</v>
      </c>
      <c r="D223" s="233" t="s">
        <v>1071</v>
      </c>
      <c r="E223" s="31">
        <v>4104</v>
      </c>
      <c r="F223" s="216">
        <v>4.8</v>
      </c>
      <c r="G223" s="31"/>
      <c r="H223" s="217"/>
    </row>
    <row r="224" spans="1:8" x14ac:dyDescent="0.2">
      <c r="A224" s="26"/>
      <c r="B224" s="26"/>
      <c r="C224" s="26" t="s">
        <v>5108</v>
      </c>
      <c r="D224" s="233" t="s">
        <v>655</v>
      </c>
      <c r="E224" s="31">
        <v>1992</v>
      </c>
      <c r="F224" s="216">
        <v>18</v>
      </c>
      <c r="G224" s="31"/>
      <c r="H224" s="217"/>
    </row>
    <row r="225" spans="1:8" x14ac:dyDescent="0.2">
      <c r="A225" s="26"/>
      <c r="B225" s="26"/>
      <c r="C225" s="26" t="s">
        <v>2318</v>
      </c>
      <c r="D225" s="233"/>
      <c r="E225" s="218">
        <v>10681</v>
      </c>
      <c r="F225" s="219">
        <f>SUM(F222:F224)</f>
        <v>73.099999999999994</v>
      </c>
      <c r="G225" s="218">
        <v>14157</v>
      </c>
      <c r="H225" s="220">
        <v>75.400000000000006</v>
      </c>
    </row>
    <row r="226" spans="1:8" x14ac:dyDescent="0.2">
      <c r="A226" s="26"/>
      <c r="B226" s="26"/>
      <c r="C226" s="26"/>
      <c r="D226" s="233"/>
      <c r="E226" s="88"/>
      <c r="F226" s="84"/>
      <c r="G226" s="88"/>
      <c r="H226" s="235"/>
    </row>
    <row r="227" spans="1:8" x14ac:dyDescent="0.2">
      <c r="A227" s="26" t="s">
        <v>4920</v>
      </c>
      <c r="B227" s="26"/>
      <c r="C227" s="214" t="s">
        <v>5109</v>
      </c>
      <c r="D227" s="233" t="s">
        <v>1071</v>
      </c>
      <c r="E227" s="31">
        <v>2231</v>
      </c>
      <c r="F227" s="216">
        <v>50.3</v>
      </c>
      <c r="G227" s="31"/>
      <c r="H227" s="217"/>
    </row>
    <row r="228" spans="1:8" x14ac:dyDescent="0.2">
      <c r="A228" s="26"/>
      <c r="B228" s="26"/>
      <c r="C228" s="26" t="s">
        <v>5110</v>
      </c>
      <c r="D228" s="233" t="s">
        <v>1736</v>
      </c>
      <c r="E228" s="31">
        <v>2216</v>
      </c>
      <c r="F228" s="216">
        <v>4.8</v>
      </c>
      <c r="G228" s="31"/>
      <c r="H228" s="217"/>
    </row>
    <row r="229" spans="1:8" x14ac:dyDescent="0.2">
      <c r="A229" s="26"/>
      <c r="B229" s="26"/>
      <c r="C229" s="26" t="s">
        <v>5111</v>
      </c>
      <c r="D229" s="233" t="s">
        <v>655</v>
      </c>
      <c r="E229" s="31">
        <v>414</v>
      </c>
      <c r="F229" s="216">
        <v>18</v>
      </c>
      <c r="G229" s="31"/>
      <c r="H229" s="217"/>
    </row>
    <row r="230" spans="1:8" x14ac:dyDescent="0.2">
      <c r="A230" s="26"/>
      <c r="B230" s="26"/>
      <c r="C230" s="26" t="s">
        <v>2318</v>
      </c>
      <c r="D230" s="233"/>
      <c r="E230" s="218">
        <v>4895</v>
      </c>
      <c r="F230" s="219">
        <f>SUM(F227:F229)</f>
        <v>73.099999999999994</v>
      </c>
      <c r="G230" s="218">
        <v>5812</v>
      </c>
      <c r="H230" s="220">
        <v>84.2</v>
      </c>
    </row>
    <row r="231" spans="1:8" x14ac:dyDescent="0.2">
      <c r="A231" s="26"/>
      <c r="B231" s="26"/>
      <c r="C231" s="26" t="s">
        <v>2318</v>
      </c>
      <c r="D231" s="233"/>
      <c r="E231" s="31"/>
      <c r="F231" s="216"/>
      <c r="G231" s="31"/>
      <c r="H231" s="217"/>
    </row>
    <row r="232" spans="1:8" x14ac:dyDescent="0.2">
      <c r="A232" s="26" t="s">
        <v>1372</v>
      </c>
      <c r="B232" s="26"/>
      <c r="C232" s="214" t="s">
        <v>5112</v>
      </c>
      <c r="D232" s="233" t="s">
        <v>1071</v>
      </c>
      <c r="E232" s="31">
        <v>2941</v>
      </c>
      <c r="F232" s="216">
        <v>2.4900000000000002</v>
      </c>
      <c r="G232" s="31"/>
      <c r="H232" s="217"/>
    </row>
    <row r="233" spans="1:8" x14ac:dyDescent="0.2">
      <c r="A233" s="26"/>
      <c r="B233" s="26"/>
      <c r="C233" s="26" t="s">
        <v>5113</v>
      </c>
      <c r="D233" s="233" t="s">
        <v>1736</v>
      </c>
      <c r="E233" s="31">
        <v>2789</v>
      </c>
      <c r="F233" s="216">
        <v>27.29</v>
      </c>
      <c r="G233" s="31"/>
      <c r="H233" s="217"/>
    </row>
    <row r="234" spans="1:8" x14ac:dyDescent="0.2">
      <c r="A234" s="26"/>
      <c r="B234" s="26"/>
      <c r="C234" s="26" t="s">
        <v>5114</v>
      </c>
      <c r="D234" s="233" t="s">
        <v>655</v>
      </c>
      <c r="E234" s="31">
        <v>389</v>
      </c>
      <c r="F234" s="216">
        <v>3.66</v>
      </c>
      <c r="G234" s="31"/>
      <c r="H234" s="217"/>
    </row>
    <row r="235" spans="1:8" x14ac:dyDescent="0.2">
      <c r="A235" s="26"/>
      <c r="B235" s="26"/>
      <c r="C235" s="26" t="s">
        <v>2318</v>
      </c>
      <c r="D235" s="233"/>
      <c r="E235" s="218">
        <v>6150</v>
      </c>
      <c r="F235" s="219">
        <f>SUM(F232:F234)</f>
        <v>33.44</v>
      </c>
      <c r="G235" s="218">
        <v>7921</v>
      </c>
      <c r="H235" s="220">
        <v>77.599999999999994</v>
      </c>
    </row>
    <row r="236" spans="1:8" x14ac:dyDescent="0.2">
      <c r="A236" s="26"/>
      <c r="B236" s="26"/>
      <c r="C236" s="26" t="s">
        <v>2318</v>
      </c>
      <c r="D236" s="233"/>
      <c r="E236" s="31"/>
      <c r="F236" s="216"/>
      <c r="G236" s="31"/>
      <c r="H236" s="217"/>
    </row>
    <row r="237" spans="1:8" x14ac:dyDescent="0.2">
      <c r="A237" s="26" t="s">
        <v>1742</v>
      </c>
      <c r="B237" s="26"/>
      <c r="C237" s="214" t="s">
        <v>5115</v>
      </c>
      <c r="D237" s="233" t="s">
        <v>1736</v>
      </c>
      <c r="E237" s="31">
        <v>3235</v>
      </c>
      <c r="F237" s="216">
        <v>1.32</v>
      </c>
      <c r="G237" s="31"/>
      <c r="H237" s="217"/>
    </row>
    <row r="238" spans="1:8" x14ac:dyDescent="0.2">
      <c r="A238" s="26"/>
      <c r="B238" s="26"/>
      <c r="C238" s="26" t="s">
        <v>5116</v>
      </c>
      <c r="D238" s="233" t="s">
        <v>1071</v>
      </c>
      <c r="E238" s="31">
        <v>2915</v>
      </c>
      <c r="F238" s="216">
        <v>4.8499999999999996</v>
      </c>
      <c r="G238" s="31"/>
      <c r="H238" s="217"/>
    </row>
    <row r="239" spans="1:8" x14ac:dyDescent="0.2">
      <c r="A239" s="26"/>
      <c r="B239" s="26"/>
      <c r="C239" s="26" t="s">
        <v>2318</v>
      </c>
      <c r="D239" s="233"/>
      <c r="E239" s="218">
        <v>6209</v>
      </c>
      <c r="F239" s="219">
        <f>SUM(F237:F238)</f>
        <v>6.17</v>
      </c>
      <c r="G239" s="218">
        <v>8205</v>
      </c>
      <c r="H239" s="220">
        <v>75.7</v>
      </c>
    </row>
    <row r="240" spans="1:8" x14ac:dyDescent="0.2">
      <c r="A240" s="26"/>
      <c r="B240" s="26"/>
      <c r="C240" s="26" t="s">
        <v>2318</v>
      </c>
      <c r="D240" s="233"/>
      <c r="E240" s="31"/>
      <c r="F240" s="216"/>
      <c r="G240" s="31"/>
      <c r="H240" s="217"/>
    </row>
    <row r="241" spans="1:8" x14ac:dyDescent="0.2">
      <c r="A241" s="26" t="s">
        <v>498</v>
      </c>
      <c r="B241" s="26"/>
      <c r="C241" s="214" t="s">
        <v>5118</v>
      </c>
      <c r="D241" s="233" t="s">
        <v>1071</v>
      </c>
      <c r="E241" s="31">
        <v>2679</v>
      </c>
      <c r="F241" s="216">
        <v>64.34</v>
      </c>
      <c r="G241" s="31"/>
      <c r="H241" s="217"/>
    </row>
    <row r="242" spans="1:8" x14ac:dyDescent="0.2">
      <c r="A242" s="26"/>
      <c r="B242" s="26"/>
      <c r="C242" s="26" t="s">
        <v>5119</v>
      </c>
      <c r="D242" s="233" t="s">
        <v>1736</v>
      </c>
      <c r="E242" s="31">
        <v>1927</v>
      </c>
      <c r="F242" s="216">
        <v>1.23</v>
      </c>
      <c r="G242" s="31"/>
      <c r="H242" s="217"/>
    </row>
    <row r="243" spans="1:8" x14ac:dyDescent="0.2">
      <c r="A243" s="26"/>
      <c r="B243" s="26"/>
      <c r="C243" s="26" t="s">
        <v>5120</v>
      </c>
      <c r="D243" s="233" t="s">
        <v>655</v>
      </c>
      <c r="E243" s="31">
        <v>414</v>
      </c>
      <c r="F243" s="216">
        <v>3.75</v>
      </c>
      <c r="G243" s="31"/>
      <c r="H243" s="217"/>
    </row>
    <row r="244" spans="1:8" x14ac:dyDescent="0.2">
      <c r="A244" s="26"/>
      <c r="B244" s="26"/>
      <c r="C244" s="26" t="s">
        <v>2318</v>
      </c>
      <c r="D244" s="233"/>
      <c r="E244" s="218">
        <v>5058</v>
      </c>
      <c r="F244" s="219">
        <v>100</v>
      </c>
      <c r="G244" s="218">
        <v>8198</v>
      </c>
      <c r="H244" s="220">
        <v>61.7</v>
      </c>
    </row>
    <row r="245" spans="1:8" x14ac:dyDescent="0.2">
      <c r="A245" s="26"/>
      <c r="B245" s="26"/>
      <c r="C245" s="26" t="s">
        <v>2318</v>
      </c>
      <c r="D245" s="233"/>
      <c r="E245" s="31"/>
      <c r="F245" s="216"/>
      <c r="G245" s="31"/>
      <c r="H245" s="217"/>
    </row>
    <row r="246" spans="1:8" x14ac:dyDescent="0.2">
      <c r="A246" s="26" t="s">
        <v>1744</v>
      </c>
      <c r="B246" s="26"/>
      <c r="C246" s="214" t="s">
        <v>4930</v>
      </c>
      <c r="D246" s="233" t="s">
        <v>1736</v>
      </c>
      <c r="E246" s="31">
        <v>3094</v>
      </c>
      <c r="F246" s="216">
        <v>4.6500000000000004</v>
      </c>
      <c r="G246" s="31"/>
      <c r="H246" s="217"/>
    </row>
    <row r="247" spans="1:8" x14ac:dyDescent="0.2">
      <c r="A247" s="26"/>
      <c r="B247" s="26"/>
      <c r="C247" s="26" t="s">
        <v>4931</v>
      </c>
      <c r="D247" s="233" t="s">
        <v>1071</v>
      </c>
      <c r="E247" s="31">
        <v>2582</v>
      </c>
      <c r="F247" s="216">
        <v>19.59</v>
      </c>
      <c r="G247" s="31"/>
      <c r="H247" s="217"/>
    </row>
    <row r="248" spans="1:8" x14ac:dyDescent="0.2">
      <c r="A248" s="26"/>
      <c r="B248" s="26"/>
      <c r="C248" s="26" t="s">
        <v>5117</v>
      </c>
      <c r="D248" s="233" t="s">
        <v>655</v>
      </c>
      <c r="E248" s="31">
        <v>452</v>
      </c>
      <c r="F248" s="216">
        <v>49.91</v>
      </c>
      <c r="G248" s="31"/>
      <c r="H248" s="217"/>
    </row>
    <row r="249" spans="1:8" x14ac:dyDescent="0.2">
      <c r="A249" s="26"/>
      <c r="B249" s="26"/>
      <c r="C249" s="26" t="s">
        <v>2318</v>
      </c>
      <c r="D249" s="233"/>
      <c r="E249" s="218">
        <v>6144</v>
      </c>
      <c r="F249" s="219">
        <f>SUM(F246:F248)</f>
        <v>74.150000000000006</v>
      </c>
      <c r="G249" s="218">
        <v>8036</v>
      </c>
      <c r="H249" s="220">
        <v>76.5</v>
      </c>
    </row>
    <row r="250" spans="1:8" x14ac:dyDescent="0.2">
      <c r="A250" s="26"/>
      <c r="B250" s="26"/>
      <c r="C250" s="26" t="s">
        <v>2318</v>
      </c>
      <c r="D250" s="233"/>
      <c r="E250" s="31"/>
      <c r="F250" s="216"/>
      <c r="G250" s="31"/>
      <c r="H250" s="217"/>
    </row>
    <row r="251" spans="1:8" x14ac:dyDescent="0.2">
      <c r="A251" s="26" t="s">
        <v>2350</v>
      </c>
      <c r="B251" s="26"/>
      <c r="C251" s="214" t="s">
        <v>4938</v>
      </c>
      <c r="D251" s="233" t="s">
        <v>1071</v>
      </c>
      <c r="E251" s="31">
        <v>1830</v>
      </c>
      <c r="F251" s="216">
        <v>3.4</v>
      </c>
      <c r="G251" s="31"/>
      <c r="H251" s="217"/>
    </row>
    <row r="252" spans="1:8" x14ac:dyDescent="0.2">
      <c r="A252" s="26"/>
      <c r="B252" s="26"/>
      <c r="C252" s="26" t="s">
        <v>5121</v>
      </c>
      <c r="D252" s="233" t="s">
        <v>1736</v>
      </c>
      <c r="E252" s="31">
        <v>1434</v>
      </c>
      <c r="F252" s="216">
        <v>34.700000000000003</v>
      </c>
      <c r="G252" s="31"/>
      <c r="H252" s="217"/>
    </row>
    <row r="253" spans="1:8" x14ac:dyDescent="0.2">
      <c r="A253" s="26"/>
      <c r="B253" s="26"/>
      <c r="C253" s="26" t="s">
        <v>5122</v>
      </c>
      <c r="D253" s="234" t="s">
        <v>655</v>
      </c>
      <c r="E253" s="31">
        <v>670</v>
      </c>
      <c r="F253" s="216"/>
      <c r="G253" s="31"/>
      <c r="H253" s="217"/>
    </row>
    <row r="254" spans="1:8" x14ac:dyDescent="0.2">
      <c r="A254" s="26"/>
      <c r="B254" s="26"/>
      <c r="C254" s="26" t="s">
        <v>5123</v>
      </c>
      <c r="D254" s="234" t="s">
        <v>1072</v>
      </c>
      <c r="E254" s="31">
        <v>246</v>
      </c>
      <c r="F254" s="216"/>
      <c r="G254" s="31"/>
      <c r="H254" s="217"/>
    </row>
    <row r="255" spans="1:8" x14ac:dyDescent="0.2">
      <c r="A255" s="26"/>
      <c r="B255" s="26"/>
      <c r="C255" s="26" t="s">
        <v>5124</v>
      </c>
      <c r="D255" s="233" t="s">
        <v>653</v>
      </c>
      <c r="E255" s="31">
        <v>231</v>
      </c>
      <c r="F255" s="216">
        <v>15.9</v>
      </c>
      <c r="G255" s="31"/>
      <c r="H255" s="217"/>
    </row>
    <row r="256" spans="1:8" x14ac:dyDescent="0.2">
      <c r="A256" s="26"/>
      <c r="B256" s="26"/>
      <c r="C256" s="26" t="s">
        <v>2318</v>
      </c>
      <c r="D256" s="233"/>
      <c r="E256" s="218">
        <v>4466</v>
      </c>
      <c r="F256" s="219">
        <f>SUM(F251:F255)</f>
        <v>54</v>
      </c>
      <c r="G256" s="218">
        <v>7174</v>
      </c>
      <c r="H256" s="220">
        <v>62.2</v>
      </c>
    </row>
    <row r="257" spans="1:8" x14ac:dyDescent="0.2">
      <c r="A257" s="26"/>
      <c r="B257" s="26"/>
      <c r="C257" s="26" t="s">
        <v>2318</v>
      </c>
      <c r="D257" s="233"/>
      <c r="E257" s="31"/>
      <c r="F257" s="216"/>
      <c r="G257" s="31"/>
      <c r="H257" s="217"/>
    </row>
    <row r="258" spans="1:8" x14ac:dyDescent="0.2">
      <c r="A258" s="26" t="s">
        <v>2270</v>
      </c>
      <c r="B258" s="26"/>
      <c r="C258" s="214" t="s">
        <v>4940</v>
      </c>
      <c r="D258" s="233" t="s">
        <v>1071</v>
      </c>
      <c r="E258" s="31">
        <v>5341</v>
      </c>
      <c r="F258" s="216">
        <v>59.7</v>
      </c>
      <c r="G258" s="31"/>
      <c r="H258" s="217"/>
    </row>
    <row r="259" spans="1:8" x14ac:dyDescent="0.2">
      <c r="A259" s="26"/>
      <c r="B259" s="26"/>
      <c r="C259" s="26" t="s">
        <v>5125</v>
      </c>
      <c r="D259" s="233" t="s">
        <v>1736</v>
      </c>
      <c r="E259" s="31">
        <v>4374</v>
      </c>
      <c r="F259" s="216">
        <v>13.99</v>
      </c>
      <c r="G259" s="31"/>
      <c r="H259" s="217"/>
    </row>
    <row r="260" spans="1:8" x14ac:dyDescent="0.2">
      <c r="A260" s="26"/>
      <c r="B260" s="26"/>
      <c r="C260" s="26" t="s">
        <v>5126</v>
      </c>
      <c r="D260" s="233" t="s">
        <v>655</v>
      </c>
      <c r="E260" s="31">
        <v>805</v>
      </c>
      <c r="F260" s="216">
        <v>12.45</v>
      </c>
      <c r="G260" s="31"/>
      <c r="H260" s="217"/>
    </row>
    <row r="261" spans="1:8" x14ac:dyDescent="0.2">
      <c r="A261" s="26"/>
      <c r="B261" s="26"/>
      <c r="C261" s="26" t="s">
        <v>2318</v>
      </c>
      <c r="D261" s="233"/>
      <c r="E261" s="218">
        <v>10625</v>
      </c>
      <c r="F261" s="219">
        <f>SUM(F258:F260)</f>
        <v>86.14</v>
      </c>
      <c r="G261" s="218">
        <v>14092</v>
      </c>
      <c r="H261" s="220">
        <v>75.400000000000006</v>
      </c>
    </row>
    <row r="262" spans="1:8" x14ac:dyDescent="0.2">
      <c r="A262" s="26"/>
      <c r="B262" s="26"/>
      <c r="C262" s="26" t="s">
        <v>2318</v>
      </c>
      <c r="D262" s="233"/>
      <c r="E262" s="31"/>
      <c r="F262" s="216"/>
      <c r="G262" s="31"/>
      <c r="H262" s="217"/>
    </row>
    <row r="263" spans="1:8" x14ac:dyDescent="0.2">
      <c r="A263" s="26" t="s">
        <v>2338</v>
      </c>
      <c r="B263" s="26"/>
      <c r="C263" s="214" t="s">
        <v>5127</v>
      </c>
      <c r="D263" s="233" t="s">
        <v>1071</v>
      </c>
      <c r="E263" s="31">
        <v>4169</v>
      </c>
      <c r="F263" s="216">
        <v>11.05</v>
      </c>
      <c r="G263" s="31"/>
      <c r="H263" s="217"/>
    </row>
    <row r="264" spans="1:8" x14ac:dyDescent="0.2">
      <c r="A264" s="26"/>
      <c r="B264" s="26"/>
      <c r="C264" s="26" t="s">
        <v>5128</v>
      </c>
      <c r="D264" s="233" t="s">
        <v>1736</v>
      </c>
      <c r="E264" s="31">
        <v>2751</v>
      </c>
      <c r="F264" s="216">
        <v>18.489999999999998</v>
      </c>
      <c r="G264" s="31"/>
      <c r="H264" s="217"/>
    </row>
    <row r="265" spans="1:8" x14ac:dyDescent="0.2">
      <c r="A265" s="26"/>
      <c r="B265" s="26"/>
      <c r="C265" s="26" t="s">
        <v>5129</v>
      </c>
      <c r="D265" s="233" t="s">
        <v>655</v>
      </c>
      <c r="E265" s="31">
        <v>670</v>
      </c>
      <c r="F265" s="216">
        <v>5.81</v>
      </c>
      <c r="G265" s="31"/>
      <c r="H265" s="217"/>
    </row>
    <row r="266" spans="1:8" x14ac:dyDescent="0.2">
      <c r="A266" s="26"/>
      <c r="B266" s="26"/>
      <c r="C266" s="26" t="s">
        <v>2318</v>
      </c>
      <c r="D266" s="233"/>
      <c r="E266" s="218">
        <v>7665</v>
      </c>
      <c r="F266" s="219">
        <f>SUM(F263:F265)</f>
        <v>35.35</v>
      </c>
      <c r="G266" s="218">
        <v>10464</v>
      </c>
      <c r="H266" s="220">
        <v>73.2</v>
      </c>
    </row>
    <row r="267" spans="1:8" x14ac:dyDescent="0.2">
      <c r="A267" s="26"/>
      <c r="B267" s="26"/>
      <c r="C267" s="26" t="s">
        <v>2318</v>
      </c>
      <c r="D267" s="233"/>
      <c r="E267" s="31"/>
      <c r="F267" s="216"/>
      <c r="G267" s="31"/>
      <c r="H267" s="217"/>
    </row>
    <row r="268" spans="1:8" x14ac:dyDescent="0.2">
      <c r="A268" s="26" t="s">
        <v>3185</v>
      </c>
      <c r="B268" s="26"/>
      <c r="C268" s="214" t="s">
        <v>4944</v>
      </c>
      <c r="D268" s="233" t="s">
        <v>1071</v>
      </c>
      <c r="E268" s="31">
        <v>3400</v>
      </c>
      <c r="F268" s="216">
        <v>0.75</v>
      </c>
      <c r="G268" s="31"/>
      <c r="H268" s="217"/>
    </row>
    <row r="269" spans="1:8" x14ac:dyDescent="0.2">
      <c r="A269" s="26"/>
      <c r="B269" s="26"/>
      <c r="C269" s="26" t="s">
        <v>5130</v>
      </c>
      <c r="D269" s="233" t="s">
        <v>1736</v>
      </c>
      <c r="E269" s="31">
        <v>2114</v>
      </c>
      <c r="F269" s="216">
        <v>4.13</v>
      </c>
      <c r="G269" s="31"/>
      <c r="H269" s="217"/>
    </row>
    <row r="270" spans="1:8" x14ac:dyDescent="0.2">
      <c r="C270" s="26" t="s">
        <v>5131</v>
      </c>
      <c r="D270" s="233" t="s">
        <v>655</v>
      </c>
      <c r="E270" s="31">
        <v>295</v>
      </c>
      <c r="F270" s="216">
        <v>29.49</v>
      </c>
    </row>
    <row r="271" spans="1:8" x14ac:dyDescent="0.2">
      <c r="A271" s="26"/>
      <c r="B271" s="26"/>
      <c r="C271" s="26" t="s">
        <v>2318</v>
      </c>
      <c r="D271" s="233"/>
      <c r="E271" s="218">
        <v>5820</v>
      </c>
      <c r="F271" s="219">
        <f>SUM(F268:F270)</f>
        <v>34.369999999999997</v>
      </c>
      <c r="G271" s="218">
        <v>7382</v>
      </c>
      <c r="H271" s="220">
        <v>78.8</v>
      </c>
    </row>
    <row r="272" spans="1:8" x14ac:dyDescent="0.2">
      <c r="A272" s="26"/>
      <c r="B272" s="26"/>
      <c r="C272" s="26" t="s">
        <v>2318</v>
      </c>
      <c r="D272" s="233"/>
      <c r="E272" s="31"/>
      <c r="F272" s="216"/>
      <c r="G272" s="31"/>
      <c r="H272" s="217"/>
    </row>
    <row r="273" spans="1:8" x14ac:dyDescent="0.2">
      <c r="A273" s="26" t="s">
        <v>2339</v>
      </c>
      <c r="B273" s="26"/>
      <c r="C273" s="214" t="s">
        <v>1520</v>
      </c>
      <c r="D273" s="233" t="s">
        <v>1736</v>
      </c>
      <c r="E273" s="31">
        <v>2774</v>
      </c>
      <c r="F273" s="216">
        <v>2.21</v>
      </c>
      <c r="G273" s="31"/>
      <c r="H273" s="217"/>
    </row>
    <row r="274" spans="1:8" x14ac:dyDescent="0.2">
      <c r="A274" s="26"/>
      <c r="B274" s="26"/>
      <c r="C274" s="26" t="s">
        <v>5132</v>
      </c>
      <c r="D274" s="234" t="s">
        <v>1071</v>
      </c>
      <c r="E274" s="31">
        <v>2585</v>
      </c>
      <c r="F274" s="216"/>
      <c r="G274" s="31"/>
      <c r="H274" s="217"/>
    </row>
    <row r="275" spans="1:8" x14ac:dyDescent="0.2">
      <c r="A275" s="26"/>
      <c r="B275" s="26"/>
      <c r="C275" s="26" t="s">
        <v>5133</v>
      </c>
      <c r="D275" s="233" t="s">
        <v>655</v>
      </c>
      <c r="E275" s="31">
        <v>635</v>
      </c>
      <c r="F275" s="216">
        <v>78.819999999999993</v>
      </c>
      <c r="G275" s="31"/>
      <c r="H275" s="217"/>
    </row>
    <row r="276" spans="1:8" x14ac:dyDescent="0.2">
      <c r="A276" s="26"/>
      <c r="B276" s="26"/>
      <c r="C276" s="26" t="s">
        <v>2318</v>
      </c>
      <c r="D276" s="233"/>
      <c r="E276" s="218">
        <v>6019</v>
      </c>
      <c r="F276" s="219">
        <f>SUM(F273:F275)</f>
        <v>81.029999999999987</v>
      </c>
      <c r="G276" s="218">
        <v>8211</v>
      </c>
      <c r="H276" s="220">
        <v>73.3</v>
      </c>
    </row>
    <row r="277" spans="1:8" x14ac:dyDescent="0.2">
      <c r="A277" s="26"/>
      <c r="B277" s="26"/>
      <c r="C277" s="26" t="s">
        <v>2318</v>
      </c>
      <c r="D277" s="233"/>
      <c r="E277" s="31"/>
      <c r="F277" s="216"/>
      <c r="G277" s="31"/>
      <c r="H277" s="217"/>
    </row>
    <row r="278" spans="1:8" x14ac:dyDescent="0.2">
      <c r="A278" s="26" t="s">
        <v>1752</v>
      </c>
      <c r="B278" s="26"/>
      <c r="C278" s="214" t="s">
        <v>4949</v>
      </c>
      <c r="D278" s="233" t="s">
        <v>1071</v>
      </c>
      <c r="E278" s="31">
        <v>3399</v>
      </c>
      <c r="F278" s="216">
        <v>5.4</v>
      </c>
      <c r="G278" s="31"/>
      <c r="H278" s="217"/>
    </row>
    <row r="279" spans="1:8" x14ac:dyDescent="0.2">
      <c r="A279" s="26"/>
      <c r="B279" s="26"/>
      <c r="C279" s="26" t="s">
        <v>5134</v>
      </c>
      <c r="D279" s="233" t="s">
        <v>1736</v>
      </c>
      <c r="E279" s="31">
        <v>2808</v>
      </c>
      <c r="F279" s="216">
        <v>58.9</v>
      </c>
      <c r="G279" s="31"/>
      <c r="H279" s="217"/>
    </row>
    <row r="280" spans="1:8" x14ac:dyDescent="0.2">
      <c r="A280" s="26"/>
      <c r="B280" s="26"/>
      <c r="C280" s="26" t="s">
        <v>5135</v>
      </c>
      <c r="D280" s="233" t="s">
        <v>655</v>
      </c>
      <c r="E280" s="31">
        <v>470</v>
      </c>
      <c r="F280" s="216">
        <v>33.299999999999997</v>
      </c>
      <c r="G280" s="31"/>
      <c r="H280" s="217"/>
    </row>
    <row r="281" spans="1:8" x14ac:dyDescent="0.2">
      <c r="A281" s="26"/>
      <c r="B281" s="26"/>
      <c r="C281" s="26" t="s">
        <v>2318</v>
      </c>
      <c r="D281" s="233"/>
      <c r="E281" s="218">
        <v>6708</v>
      </c>
      <c r="F281" s="219">
        <v>100</v>
      </c>
      <c r="G281" s="218">
        <v>8701</v>
      </c>
      <c r="H281" s="220">
        <v>77.099999999999994</v>
      </c>
    </row>
    <row r="282" spans="1:8" x14ac:dyDescent="0.2">
      <c r="A282" s="26"/>
      <c r="B282" s="26"/>
      <c r="C282" s="26" t="s">
        <v>2318</v>
      </c>
      <c r="D282" s="233"/>
      <c r="E282" s="31"/>
      <c r="F282" s="216"/>
      <c r="G282" s="31"/>
      <c r="H282" s="217"/>
    </row>
    <row r="283" spans="1:8" x14ac:dyDescent="0.2">
      <c r="A283" s="26" t="s">
        <v>4952</v>
      </c>
      <c r="B283" s="26"/>
      <c r="C283" s="214" t="s">
        <v>5136</v>
      </c>
      <c r="D283" s="233" t="s">
        <v>1071</v>
      </c>
      <c r="E283" s="31">
        <v>6447</v>
      </c>
      <c r="F283" s="216">
        <v>13.72</v>
      </c>
      <c r="G283" s="31"/>
      <c r="H283" s="217"/>
    </row>
    <row r="284" spans="1:8" x14ac:dyDescent="0.2">
      <c r="A284" s="26"/>
      <c r="B284" s="26"/>
      <c r="C284" s="26" t="s">
        <v>1521</v>
      </c>
      <c r="D284" s="233" t="s">
        <v>1736</v>
      </c>
      <c r="E284" s="31">
        <v>4140</v>
      </c>
      <c r="F284" s="216">
        <v>72.849999999999994</v>
      </c>
      <c r="G284" s="31"/>
      <c r="H284" s="217"/>
    </row>
    <row r="285" spans="1:8" x14ac:dyDescent="0.2">
      <c r="A285" s="26"/>
      <c r="B285" s="26"/>
      <c r="C285" s="26" t="s">
        <v>5137</v>
      </c>
      <c r="D285" s="233" t="s">
        <v>655</v>
      </c>
      <c r="E285" s="31">
        <v>2128</v>
      </c>
      <c r="F285" s="216">
        <v>5.25</v>
      </c>
      <c r="G285" s="31"/>
      <c r="H285" s="217"/>
    </row>
    <row r="286" spans="1:8" x14ac:dyDescent="0.2">
      <c r="A286" s="26"/>
      <c r="B286" s="26"/>
      <c r="C286" s="26" t="s">
        <v>5138</v>
      </c>
      <c r="D286" s="233" t="s">
        <v>1072</v>
      </c>
      <c r="E286" s="31">
        <v>462</v>
      </c>
      <c r="F286" s="216"/>
      <c r="G286" s="31"/>
      <c r="H286" s="217"/>
    </row>
    <row r="287" spans="1:8" x14ac:dyDescent="0.2">
      <c r="A287" s="26"/>
      <c r="B287" s="26"/>
      <c r="C287" s="26" t="s">
        <v>2318</v>
      </c>
      <c r="D287" s="233"/>
      <c r="E287" s="218">
        <v>13244</v>
      </c>
      <c r="F287" s="219">
        <f>SUM(F283:F286)</f>
        <v>91.82</v>
      </c>
      <c r="G287" s="218">
        <v>17903</v>
      </c>
      <c r="H287" s="220">
        <v>74</v>
      </c>
    </row>
    <row r="288" spans="1:8" x14ac:dyDescent="0.2">
      <c r="A288" s="26"/>
      <c r="B288" s="26"/>
      <c r="C288" s="26" t="s">
        <v>2318</v>
      </c>
      <c r="D288" s="233"/>
      <c r="E288" s="31"/>
      <c r="F288" s="216"/>
      <c r="G288" s="31"/>
      <c r="H288" s="217"/>
    </row>
    <row r="289" spans="1:8" x14ac:dyDescent="0.2">
      <c r="A289" s="26" t="s">
        <v>1978</v>
      </c>
      <c r="B289" s="26"/>
      <c r="C289" s="214" t="s">
        <v>5139</v>
      </c>
      <c r="D289" s="233" t="s">
        <v>1071</v>
      </c>
      <c r="E289" s="31">
        <v>4346</v>
      </c>
      <c r="F289" s="216">
        <v>70.16</v>
      </c>
      <c r="G289" s="31"/>
      <c r="H289" s="217"/>
    </row>
    <row r="290" spans="1:8" x14ac:dyDescent="0.2">
      <c r="A290" s="26"/>
      <c r="B290" s="26"/>
      <c r="C290" s="26" t="s">
        <v>5140</v>
      </c>
      <c r="D290" s="233" t="s">
        <v>1736</v>
      </c>
      <c r="E290" s="31">
        <v>2578</v>
      </c>
      <c r="F290" s="216">
        <v>27.57</v>
      </c>
      <c r="G290" s="31"/>
      <c r="H290" s="217"/>
    </row>
    <row r="291" spans="1:8" x14ac:dyDescent="0.2">
      <c r="A291" s="26"/>
      <c r="B291" s="26"/>
      <c r="C291" s="26" t="s">
        <v>5141</v>
      </c>
      <c r="D291" s="233" t="s">
        <v>655</v>
      </c>
      <c r="E291" s="31">
        <v>366</v>
      </c>
      <c r="F291" s="216">
        <v>1.67</v>
      </c>
      <c r="G291" s="31"/>
      <c r="H291" s="217"/>
    </row>
    <row r="292" spans="1:8" x14ac:dyDescent="0.2">
      <c r="A292" s="26"/>
      <c r="B292" s="26"/>
      <c r="C292" s="26" t="s">
        <v>2318</v>
      </c>
      <c r="D292" s="233"/>
      <c r="E292" s="218">
        <v>7322</v>
      </c>
      <c r="F292" s="219">
        <f>SUM(F289:F291)</f>
        <v>99.399999999999991</v>
      </c>
      <c r="G292" s="218">
        <v>9275</v>
      </c>
      <c r="H292" s="220">
        <v>78.900000000000006</v>
      </c>
    </row>
    <row r="293" spans="1:8" x14ac:dyDescent="0.2">
      <c r="A293" s="26"/>
      <c r="B293" s="26"/>
      <c r="C293" s="26" t="s">
        <v>2318</v>
      </c>
      <c r="D293" s="233"/>
      <c r="E293" s="31"/>
      <c r="F293" s="216"/>
      <c r="G293" s="31"/>
      <c r="H293" s="217"/>
    </row>
    <row r="294" spans="1:8" x14ac:dyDescent="0.2">
      <c r="A294" s="26" t="s">
        <v>415</v>
      </c>
      <c r="B294" s="26"/>
      <c r="C294" s="214" t="s">
        <v>1522</v>
      </c>
      <c r="D294" s="233" t="s">
        <v>1736</v>
      </c>
      <c r="E294" s="31">
        <v>3567</v>
      </c>
      <c r="F294" s="216">
        <v>59.8</v>
      </c>
      <c r="G294" s="31"/>
      <c r="H294" s="217"/>
    </row>
    <row r="295" spans="1:8" x14ac:dyDescent="0.2">
      <c r="A295" s="26"/>
      <c r="B295" s="26"/>
      <c r="C295" s="26" t="s">
        <v>5142</v>
      </c>
      <c r="D295" s="233" t="s">
        <v>1071</v>
      </c>
      <c r="E295" s="31">
        <v>2437</v>
      </c>
      <c r="F295" s="216">
        <v>24.59</v>
      </c>
      <c r="G295" s="31"/>
      <c r="H295" s="217"/>
    </row>
    <row r="296" spans="1:8" x14ac:dyDescent="0.2">
      <c r="A296" s="26"/>
      <c r="B296" s="26"/>
      <c r="C296" s="26" t="s">
        <v>5143</v>
      </c>
      <c r="D296" s="233" t="s">
        <v>655</v>
      </c>
      <c r="E296" s="31">
        <v>722</v>
      </c>
      <c r="F296" s="216">
        <v>3.59</v>
      </c>
      <c r="G296" s="31"/>
      <c r="H296" s="217"/>
    </row>
    <row r="297" spans="1:8" x14ac:dyDescent="0.2">
      <c r="A297" s="26"/>
      <c r="B297" s="26"/>
      <c r="C297" s="26" t="s">
        <v>2318</v>
      </c>
      <c r="D297" s="233"/>
      <c r="E297" s="218">
        <v>6406</v>
      </c>
      <c r="F297" s="219">
        <f>SUM(F294:F296)</f>
        <v>87.98</v>
      </c>
      <c r="G297" s="218">
        <v>11289</v>
      </c>
      <c r="H297" s="220">
        <v>56.7</v>
      </c>
    </row>
    <row r="298" spans="1:8" x14ac:dyDescent="0.2">
      <c r="A298" s="26"/>
      <c r="B298" s="26"/>
      <c r="C298" s="26" t="s">
        <v>2318</v>
      </c>
      <c r="D298" s="233"/>
      <c r="E298" s="31"/>
      <c r="F298" s="216"/>
      <c r="G298" s="31"/>
      <c r="H298" s="217"/>
    </row>
    <row r="299" spans="1:8" x14ac:dyDescent="0.2">
      <c r="A299" s="26" t="s">
        <v>584</v>
      </c>
      <c r="B299" s="26"/>
      <c r="C299" s="214" t="s">
        <v>5144</v>
      </c>
      <c r="D299" s="233" t="s">
        <v>1071</v>
      </c>
      <c r="E299" s="31">
        <v>2379</v>
      </c>
      <c r="F299" s="216">
        <v>60.67</v>
      </c>
      <c r="G299" s="31"/>
      <c r="H299" s="217"/>
    </row>
    <row r="300" spans="1:8" x14ac:dyDescent="0.2">
      <c r="A300" s="26"/>
      <c r="B300" s="26"/>
      <c r="C300" s="26" t="s">
        <v>5145</v>
      </c>
      <c r="D300" s="233" t="s">
        <v>1736</v>
      </c>
      <c r="E300" s="31">
        <v>1791</v>
      </c>
      <c r="F300" s="216">
        <v>10.68</v>
      </c>
      <c r="G300" s="31"/>
      <c r="H300" s="217"/>
    </row>
    <row r="301" spans="1:8" x14ac:dyDescent="0.2">
      <c r="A301" s="26"/>
      <c r="B301" s="26"/>
      <c r="C301" s="26" t="s">
        <v>5146</v>
      </c>
      <c r="D301" s="233" t="s">
        <v>655</v>
      </c>
      <c r="E301" s="31">
        <v>1355</v>
      </c>
      <c r="F301" s="216">
        <v>3.08</v>
      </c>
      <c r="G301" s="31"/>
      <c r="H301" s="217"/>
    </row>
    <row r="302" spans="1:8" x14ac:dyDescent="0.2">
      <c r="A302" s="26"/>
      <c r="B302" s="26"/>
      <c r="C302" s="26" t="s">
        <v>2318</v>
      </c>
      <c r="D302" s="233"/>
      <c r="E302" s="218">
        <v>5556</v>
      </c>
      <c r="F302" s="219">
        <f>SUM(F299:F301)</f>
        <v>74.429999999999993</v>
      </c>
      <c r="G302" s="218">
        <v>7284</v>
      </c>
      <c r="H302" s="220">
        <v>76.3</v>
      </c>
    </row>
    <row r="303" spans="1:8" x14ac:dyDescent="0.2">
      <c r="A303" s="26"/>
      <c r="B303" s="26"/>
      <c r="C303" s="26" t="s">
        <v>2318</v>
      </c>
      <c r="D303" s="233"/>
      <c r="E303" s="31"/>
      <c r="F303" s="216"/>
      <c r="G303" s="31"/>
      <c r="H303" s="217"/>
    </row>
    <row r="304" spans="1:8" x14ac:dyDescent="0.2">
      <c r="A304" s="26" t="s">
        <v>2340</v>
      </c>
      <c r="B304" s="26"/>
      <c r="C304" s="214" t="s">
        <v>4718</v>
      </c>
      <c r="D304" s="233" t="s">
        <v>1736</v>
      </c>
      <c r="E304" s="31">
        <v>2712</v>
      </c>
      <c r="F304" s="216">
        <v>19.48</v>
      </c>
      <c r="G304" s="31"/>
      <c r="H304" s="217"/>
    </row>
    <row r="305" spans="1:8" x14ac:dyDescent="0.2">
      <c r="A305" s="26"/>
      <c r="B305" s="26"/>
      <c r="C305" s="26" t="s">
        <v>5147</v>
      </c>
      <c r="D305" s="233" t="s">
        <v>1071</v>
      </c>
      <c r="E305" s="31">
        <v>2695</v>
      </c>
      <c r="F305" s="216">
        <v>1.72</v>
      </c>
      <c r="G305" s="31"/>
      <c r="H305" s="217"/>
    </row>
    <row r="306" spans="1:8" x14ac:dyDescent="0.2">
      <c r="A306" s="26"/>
      <c r="B306" s="26"/>
      <c r="C306" s="26" t="s">
        <v>5148</v>
      </c>
      <c r="D306" s="234" t="s">
        <v>655</v>
      </c>
      <c r="E306" s="31">
        <v>598</v>
      </c>
      <c r="F306" s="216"/>
      <c r="G306" s="31"/>
      <c r="H306" s="217"/>
    </row>
    <row r="307" spans="1:8" x14ac:dyDescent="0.2">
      <c r="A307" s="26"/>
      <c r="B307" s="26"/>
      <c r="C307" s="26" t="s">
        <v>5149</v>
      </c>
      <c r="D307" s="233" t="s">
        <v>1072</v>
      </c>
      <c r="E307" s="224">
        <v>142</v>
      </c>
      <c r="F307" s="216">
        <v>28.27</v>
      </c>
      <c r="G307" s="31"/>
      <c r="H307" s="217"/>
    </row>
    <row r="308" spans="1:8" x14ac:dyDescent="0.2">
      <c r="A308" s="26"/>
      <c r="B308" s="26"/>
      <c r="C308" s="26" t="s">
        <v>2318</v>
      </c>
      <c r="D308" s="233"/>
      <c r="E308" s="218">
        <v>6169</v>
      </c>
      <c r="F308" s="219">
        <f>SUM(F304:F307)</f>
        <v>49.47</v>
      </c>
      <c r="G308" s="218">
        <v>8426</v>
      </c>
      <c r="H308" s="220">
        <v>73.2</v>
      </c>
    </row>
    <row r="309" spans="1:8" x14ac:dyDescent="0.2">
      <c r="A309" s="26"/>
      <c r="B309" s="26"/>
      <c r="C309" s="26" t="s">
        <v>2318</v>
      </c>
      <c r="D309" s="233"/>
      <c r="E309" s="31"/>
      <c r="F309" s="216"/>
      <c r="G309" s="31"/>
      <c r="H309" s="217"/>
    </row>
    <row r="310" spans="1:8" x14ac:dyDescent="0.2">
      <c r="A310" s="26" t="s">
        <v>2341</v>
      </c>
      <c r="B310" s="26"/>
      <c r="C310" s="214" t="s">
        <v>4968</v>
      </c>
      <c r="D310" s="233" t="s">
        <v>1736</v>
      </c>
      <c r="E310" s="31">
        <v>4994</v>
      </c>
      <c r="F310" s="216">
        <v>1.95</v>
      </c>
      <c r="G310" s="31"/>
      <c r="H310" s="217"/>
    </row>
    <row r="311" spans="1:8" x14ac:dyDescent="0.2">
      <c r="A311" s="26"/>
      <c r="B311" s="26"/>
      <c r="C311" s="26" t="s">
        <v>5150</v>
      </c>
      <c r="D311" s="233" t="s">
        <v>1071</v>
      </c>
      <c r="E311" s="31">
        <v>3627</v>
      </c>
      <c r="F311" s="216">
        <v>43.22</v>
      </c>
      <c r="G311" s="31"/>
      <c r="H311" s="217"/>
    </row>
    <row r="312" spans="1:8" x14ac:dyDescent="0.2">
      <c r="A312" s="26"/>
      <c r="B312" s="26"/>
      <c r="C312" s="26" t="s">
        <v>5151</v>
      </c>
      <c r="D312" s="233" t="s">
        <v>655</v>
      </c>
      <c r="E312" s="31">
        <v>1022</v>
      </c>
      <c r="F312" s="216">
        <v>40.79</v>
      </c>
      <c r="G312" s="31"/>
      <c r="H312" s="217"/>
    </row>
    <row r="313" spans="1:8" x14ac:dyDescent="0.2">
      <c r="A313" s="26"/>
      <c r="B313" s="26"/>
      <c r="C313" s="26" t="s">
        <v>5152</v>
      </c>
      <c r="D313" s="233" t="s">
        <v>1072</v>
      </c>
      <c r="E313" s="31">
        <v>761</v>
      </c>
      <c r="F313" s="216">
        <v>14.04</v>
      </c>
      <c r="G313" s="31"/>
      <c r="H313" s="217"/>
    </row>
    <row r="314" spans="1:8" x14ac:dyDescent="0.2">
      <c r="A314" s="26"/>
      <c r="B314" s="26"/>
      <c r="C314" s="26" t="s">
        <v>2318</v>
      </c>
      <c r="D314" s="233"/>
      <c r="E314" s="218">
        <v>10425</v>
      </c>
      <c r="F314" s="219">
        <f>SUM(F310:F313)</f>
        <v>100</v>
      </c>
      <c r="G314" s="218">
        <v>14688</v>
      </c>
      <c r="H314" s="220">
        <v>71</v>
      </c>
    </row>
    <row r="315" spans="1:8" x14ac:dyDescent="0.2">
      <c r="A315" s="26"/>
      <c r="B315" s="26"/>
      <c r="C315" s="26" t="s">
        <v>2318</v>
      </c>
      <c r="D315" s="233"/>
      <c r="E315" s="31"/>
      <c r="F315" s="216"/>
      <c r="G315" s="31"/>
      <c r="H315" s="217"/>
    </row>
    <row r="316" spans="1:8" x14ac:dyDescent="0.2">
      <c r="A316" s="26" t="s">
        <v>588</v>
      </c>
      <c r="B316" s="26"/>
      <c r="C316" s="214" t="s">
        <v>962</v>
      </c>
      <c r="D316" s="233" t="s">
        <v>1736</v>
      </c>
      <c r="E316" s="31">
        <v>3277</v>
      </c>
      <c r="F316" s="216">
        <v>7.28</v>
      </c>
      <c r="G316" s="31"/>
      <c r="H316" s="217"/>
    </row>
    <row r="317" spans="1:8" x14ac:dyDescent="0.2">
      <c r="A317" s="26"/>
      <c r="B317" s="26"/>
      <c r="C317" s="26" t="s">
        <v>813</v>
      </c>
      <c r="D317" s="233" t="s">
        <v>1071</v>
      </c>
      <c r="E317" s="31">
        <v>2271</v>
      </c>
      <c r="F317" s="216">
        <v>38.22</v>
      </c>
      <c r="G317" s="31"/>
      <c r="H317" s="217"/>
    </row>
    <row r="318" spans="1:8" x14ac:dyDescent="0.2">
      <c r="A318" s="26"/>
      <c r="B318" s="26"/>
      <c r="C318" s="26" t="s">
        <v>5153</v>
      </c>
      <c r="D318" s="233" t="s">
        <v>655</v>
      </c>
      <c r="E318" s="31">
        <v>657</v>
      </c>
      <c r="F318" s="216">
        <v>1.97</v>
      </c>
      <c r="G318" s="31"/>
      <c r="H318" s="217"/>
    </row>
    <row r="319" spans="1:8" x14ac:dyDescent="0.2">
      <c r="A319" s="26"/>
      <c r="B319" s="26"/>
      <c r="C319" s="26" t="s">
        <v>2318</v>
      </c>
      <c r="D319" s="233"/>
      <c r="E319" s="218">
        <v>6551</v>
      </c>
      <c r="F319" s="219">
        <f>SUM(F316:F318)</f>
        <v>47.47</v>
      </c>
      <c r="G319" s="218">
        <v>8920</v>
      </c>
      <c r="H319" s="220">
        <v>73.400000000000006</v>
      </c>
    </row>
    <row r="320" spans="1:8" x14ac:dyDescent="0.2">
      <c r="A320" s="26"/>
      <c r="B320" s="26"/>
      <c r="C320" s="26" t="s">
        <v>2318</v>
      </c>
      <c r="D320" s="233"/>
      <c r="E320" s="31"/>
      <c r="F320" s="216"/>
      <c r="G320" s="31"/>
      <c r="H320" s="217"/>
    </row>
    <row r="321" spans="1:8" x14ac:dyDescent="0.2">
      <c r="A321" s="26" t="s">
        <v>441</v>
      </c>
      <c r="B321" s="26"/>
      <c r="C321" s="214" t="s">
        <v>4973</v>
      </c>
      <c r="D321" s="233" t="s">
        <v>1736</v>
      </c>
      <c r="E321" s="31">
        <v>3014</v>
      </c>
      <c r="F321" s="216">
        <v>34.21</v>
      </c>
      <c r="G321" s="31"/>
      <c r="H321" s="217"/>
    </row>
    <row r="322" spans="1:8" x14ac:dyDescent="0.2">
      <c r="A322" s="26"/>
      <c r="B322" s="26"/>
      <c r="C322" s="26" t="s">
        <v>4974</v>
      </c>
      <c r="D322" s="233" t="s">
        <v>1071</v>
      </c>
      <c r="E322" s="31">
        <v>2472</v>
      </c>
      <c r="F322" s="216">
        <v>53.1</v>
      </c>
      <c r="G322" s="31"/>
      <c r="H322" s="217"/>
    </row>
    <row r="323" spans="1:8" x14ac:dyDescent="0.2">
      <c r="A323" s="26"/>
      <c r="B323" s="26"/>
      <c r="C323" s="26" t="s">
        <v>4964</v>
      </c>
      <c r="D323" s="233" t="s">
        <v>655</v>
      </c>
      <c r="E323" s="31">
        <v>657</v>
      </c>
      <c r="F323" s="216">
        <v>1.35</v>
      </c>
      <c r="G323" s="31"/>
      <c r="H323" s="217"/>
    </row>
    <row r="324" spans="1:8" x14ac:dyDescent="0.2">
      <c r="A324" s="26"/>
      <c r="B324" s="26"/>
      <c r="C324" s="26" t="s">
        <v>2318</v>
      </c>
      <c r="D324" s="233"/>
      <c r="E324" s="218">
        <v>6179</v>
      </c>
      <c r="F324" s="219">
        <f>SUM(F321:F323)</f>
        <v>88.66</v>
      </c>
      <c r="G324" s="218">
        <v>9126</v>
      </c>
      <c r="H324" s="220">
        <v>67.7</v>
      </c>
    </row>
    <row r="325" spans="1:8" x14ac:dyDescent="0.2">
      <c r="A325" s="26"/>
      <c r="B325" s="26"/>
      <c r="C325" s="26" t="s">
        <v>2318</v>
      </c>
      <c r="D325" s="233"/>
      <c r="E325" s="31"/>
      <c r="F325" s="216"/>
      <c r="G325" s="31"/>
      <c r="H325" s="217"/>
    </row>
    <row r="326" spans="1:8" x14ac:dyDescent="0.2">
      <c r="A326" s="26" t="s">
        <v>3259</v>
      </c>
      <c r="B326" s="26"/>
      <c r="C326" s="214" t="s">
        <v>1525</v>
      </c>
      <c r="D326" s="233" t="s">
        <v>1736</v>
      </c>
      <c r="E326" s="31">
        <v>2254</v>
      </c>
      <c r="F326" s="216">
        <v>29.83</v>
      </c>
      <c r="G326" s="31"/>
      <c r="H326" s="217"/>
    </row>
    <row r="327" spans="1:8" x14ac:dyDescent="0.2">
      <c r="A327" s="26"/>
      <c r="B327" s="26"/>
      <c r="C327" s="26" t="s">
        <v>4976</v>
      </c>
      <c r="D327" s="233" t="s">
        <v>655</v>
      </c>
      <c r="E327" s="31">
        <v>2074</v>
      </c>
      <c r="F327" s="216">
        <v>14.62</v>
      </c>
      <c r="G327" s="31"/>
      <c r="H327" s="217"/>
    </row>
    <row r="328" spans="1:8" x14ac:dyDescent="0.2">
      <c r="A328" s="26"/>
      <c r="B328" s="26"/>
      <c r="C328" s="26" t="s">
        <v>4726</v>
      </c>
      <c r="D328" s="233" t="s">
        <v>1071</v>
      </c>
      <c r="E328" s="31">
        <v>1604</v>
      </c>
      <c r="F328" s="216">
        <v>3.66</v>
      </c>
      <c r="G328" s="31"/>
      <c r="H328" s="217"/>
    </row>
    <row r="329" spans="1:8" x14ac:dyDescent="0.2">
      <c r="A329" s="26"/>
      <c r="B329" s="26"/>
      <c r="C329" s="26" t="s">
        <v>2318</v>
      </c>
      <c r="D329" s="233"/>
      <c r="E329" s="218">
        <v>5967</v>
      </c>
      <c r="F329" s="219">
        <f>SUM(F326:F328)</f>
        <v>48.11</v>
      </c>
      <c r="G329" s="218">
        <v>7682</v>
      </c>
      <c r="H329" s="220">
        <v>77.7</v>
      </c>
    </row>
    <row r="330" spans="1:8" x14ac:dyDescent="0.2">
      <c r="A330" s="26"/>
      <c r="B330" s="26"/>
      <c r="C330" s="26" t="s">
        <v>2318</v>
      </c>
      <c r="D330" s="233"/>
      <c r="E330" s="31"/>
      <c r="F330" s="216"/>
      <c r="G330" s="31"/>
      <c r="H330" s="217"/>
    </row>
    <row r="331" spans="1:8" x14ac:dyDescent="0.2">
      <c r="A331" s="26" t="s">
        <v>1937</v>
      </c>
      <c r="B331" s="26"/>
      <c r="C331" s="214" t="s">
        <v>3081</v>
      </c>
      <c r="D331" s="233" t="s">
        <v>655</v>
      </c>
      <c r="E331" s="31">
        <v>2400</v>
      </c>
      <c r="F331" s="216">
        <v>1</v>
      </c>
      <c r="G331" s="31"/>
      <c r="H331" s="217"/>
    </row>
    <row r="332" spans="1:8" x14ac:dyDescent="0.2">
      <c r="A332" s="26"/>
      <c r="B332" s="26"/>
      <c r="C332" s="26" t="s">
        <v>5154</v>
      </c>
      <c r="D332" s="234" t="s">
        <v>1071</v>
      </c>
      <c r="E332" s="31">
        <v>2246</v>
      </c>
      <c r="F332" s="216"/>
      <c r="G332" s="31"/>
      <c r="H332" s="217"/>
    </row>
    <row r="333" spans="1:8" x14ac:dyDescent="0.2">
      <c r="A333" s="26"/>
      <c r="B333" s="26"/>
      <c r="C333" s="26" t="s">
        <v>5155</v>
      </c>
      <c r="D333" s="234" t="s">
        <v>1736</v>
      </c>
      <c r="E333" s="31">
        <v>1439</v>
      </c>
      <c r="F333" s="216"/>
      <c r="G333" s="31"/>
      <c r="H333" s="217"/>
    </row>
    <row r="334" spans="1:8" x14ac:dyDescent="0.2">
      <c r="A334" s="26"/>
      <c r="B334" s="26"/>
      <c r="C334" s="26" t="s">
        <v>5156</v>
      </c>
      <c r="D334" s="233" t="s">
        <v>653</v>
      </c>
      <c r="E334" s="31">
        <v>110</v>
      </c>
      <c r="F334" s="216">
        <v>5.28</v>
      </c>
      <c r="G334" s="31"/>
      <c r="H334" s="217"/>
    </row>
    <row r="335" spans="1:8" x14ac:dyDescent="0.2">
      <c r="A335" s="26"/>
      <c r="B335" s="26"/>
      <c r="C335" s="26"/>
      <c r="D335" s="233"/>
      <c r="E335" s="218">
        <v>6240</v>
      </c>
      <c r="F335" s="219">
        <f>SUM(F331:F334)</f>
        <v>6.28</v>
      </c>
      <c r="G335" s="218">
        <v>7705</v>
      </c>
      <c r="H335" s="220">
        <v>81</v>
      </c>
    </row>
    <row r="336" spans="1:8" x14ac:dyDescent="0.2">
      <c r="A336" s="26"/>
      <c r="B336" s="26"/>
      <c r="C336" s="26" t="s">
        <v>2318</v>
      </c>
      <c r="D336" s="233"/>
      <c r="E336" s="31"/>
      <c r="F336" s="216"/>
      <c r="G336" s="31"/>
      <c r="H336" s="217"/>
    </row>
    <row r="337" spans="1:8" x14ac:dyDescent="0.2">
      <c r="A337" s="26" t="s">
        <v>446</v>
      </c>
      <c r="B337" s="26"/>
      <c r="C337" s="214" t="s">
        <v>5157</v>
      </c>
      <c r="D337" s="233" t="s">
        <v>1736</v>
      </c>
      <c r="E337" s="31">
        <v>4623</v>
      </c>
      <c r="F337" s="216">
        <v>19.98</v>
      </c>
      <c r="G337" s="31"/>
      <c r="H337" s="217"/>
    </row>
    <row r="338" spans="1:8" x14ac:dyDescent="0.2">
      <c r="A338" s="26"/>
      <c r="B338" s="26"/>
      <c r="C338" s="26" t="s">
        <v>4980</v>
      </c>
      <c r="D338" s="233" t="s">
        <v>1071</v>
      </c>
      <c r="E338" s="31">
        <v>3592</v>
      </c>
      <c r="F338" s="216">
        <v>58.85</v>
      </c>
      <c r="G338" s="31"/>
      <c r="H338" s="217"/>
    </row>
    <row r="339" spans="1:8" x14ac:dyDescent="0.2">
      <c r="A339" s="26"/>
      <c r="B339" s="26"/>
      <c r="C339" s="26" t="s">
        <v>5158</v>
      </c>
      <c r="D339" s="233" t="s">
        <v>1072</v>
      </c>
      <c r="E339" s="31">
        <v>1660</v>
      </c>
      <c r="F339" s="216">
        <v>10.6</v>
      </c>
      <c r="G339" s="31"/>
      <c r="H339" s="217"/>
    </row>
    <row r="340" spans="1:8" x14ac:dyDescent="0.2">
      <c r="A340" s="26"/>
      <c r="B340" s="26"/>
      <c r="C340" s="26" t="s">
        <v>5159</v>
      </c>
      <c r="D340" s="233" t="s">
        <v>655</v>
      </c>
      <c r="E340" s="31">
        <v>878</v>
      </c>
      <c r="F340" s="216">
        <v>10.57</v>
      </c>
      <c r="G340" s="31"/>
      <c r="H340" s="217"/>
    </row>
    <row r="341" spans="1:8" x14ac:dyDescent="0.2">
      <c r="A341" s="26"/>
      <c r="B341" s="26"/>
      <c r="C341" s="26" t="s">
        <v>2318</v>
      </c>
      <c r="D341" s="233"/>
      <c r="E341" s="218">
        <v>10767</v>
      </c>
      <c r="F341" s="219">
        <f>SUM(F337:F340)</f>
        <v>100</v>
      </c>
      <c r="G341" s="218">
        <v>15337</v>
      </c>
      <c r="H341" s="220">
        <v>70.2</v>
      </c>
    </row>
    <row r="342" spans="1:8" x14ac:dyDescent="0.2">
      <c r="A342" s="26"/>
      <c r="B342" s="26"/>
      <c r="C342" s="26" t="s">
        <v>2318</v>
      </c>
      <c r="D342" s="233"/>
      <c r="E342" s="31"/>
      <c r="F342" s="216"/>
      <c r="G342" s="31"/>
      <c r="H342" s="217"/>
    </row>
    <row r="343" spans="1:8" x14ac:dyDescent="0.2">
      <c r="A343" s="26" t="s">
        <v>3262</v>
      </c>
      <c r="B343" s="26"/>
      <c r="C343" s="214" t="s">
        <v>4988</v>
      </c>
      <c r="D343" s="233" t="s">
        <v>1736</v>
      </c>
      <c r="E343" s="31">
        <v>2661</v>
      </c>
      <c r="F343" s="216">
        <v>46.47</v>
      </c>
      <c r="G343" s="31"/>
      <c r="H343" s="217"/>
    </row>
    <row r="344" spans="1:8" x14ac:dyDescent="0.2">
      <c r="A344" s="26"/>
      <c r="B344" s="26"/>
      <c r="C344" s="26" t="s">
        <v>5165</v>
      </c>
      <c r="D344" s="233" t="s">
        <v>1071</v>
      </c>
      <c r="E344" s="31">
        <v>2041</v>
      </c>
      <c r="F344" s="216">
        <v>3.24</v>
      </c>
      <c r="G344" s="31"/>
      <c r="H344" s="217"/>
    </row>
    <row r="345" spans="1:8" x14ac:dyDescent="0.2">
      <c r="A345" s="26"/>
      <c r="B345" s="26"/>
      <c r="C345" s="26" t="s">
        <v>5166</v>
      </c>
      <c r="D345" s="233" t="s">
        <v>655</v>
      </c>
      <c r="E345" s="31">
        <v>898</v>
      </c>
      <c r="F345" s="216">
        <v>41.8</v>
      </c>
      <c r="G345" s="31"/>
      <c r="H345" s="217"/>
    </row>
    <row r="346" spans="1:8" x14ac:dyDescent="0.2">
      <c r="A346" s="26"/>
      <c r="B346" s="26"/>
      <c r="C346" s="26" t="s">
        <v>5167</v>
      </c>
      <c r="D346" s="233" t="s">
        <v>1072</v>
      </c>
      <c r="E346" s="31">
        <v>209</v>
      </c>
      <c r="F346" s="216">
        <v>8.52</v>
      </c>
      <c r="G346" s="31"/>
      <c r="H346" s="217"/>
    </row>
    <row r="347" spans="1:8" x14ac:dyDescent="0.2">
      <c r="A347" s="26"/>
      <c r="B347" s="26"/>
      <c r="C347" s="26" t="s">
        <v>2318</v>
      </c>
      <c r="D347" s="233"/>
      <c r="E347" s="218">
        <v>5820</v>
      </c>
      <c r="F347" s="219">
        <f>SUM(F343:F346)</f>
        <v>100.02999999999999</v>
      </c>
      <c r="G347" s="218">
        <v>7720</v>
      </c>
      <c r="H347" s="220">
        <v>75.400000000000006</v>
      </c>
    </row>
    <row r="348" spans="1:8" x14ac:dyDescent="0.2">
      <c r="A348" s="26"/>
      <c r="B348" s="26"/>
      <c r="C348" s="26" t="s">
        <v>2318</v>
      </c>
      <c r="D348" s="233"/>
      <c r="E348" s="31"/>
      <c r="F348" s="216"/>
      <c r="G348" s="31"/>
      <c r="H348" s="217"/>
    </row>
    <row r="349" spans="1:8" x14ac:dyDescent="0.2">
      <c r="A349" s="26" t="s">
        <v>715</v>
      </c>
      <c r="B349" s="26"/>
      <c r="C349" s="214" t="s">
        <v>5160</v>
      </c>
      <c r="D349" s="233" t="s">
        <v>1736</v>
      </c>
      <c r="E349" s="31">
        <v>2925</v>
      </c>
      <c r="F349" s="216">
        <v>1.81</v>
      </c>
      <c r="G349" s="31"/>
      <c r="H349" s="217"/>
    </row>
    <row r="350" spans="1:8" x14ac:dyDescent="0.2">
      <c r="A350" s="26"/>
      <c r="B350" s="26"/>
      <c r="C350" s="26" t="s">
        <v>5161</v>
      </c>
      <c r="D350" s="233" t="s">
        <v>1071</v>
      </c>
      <c r="E350" s="31">
        <v>2631</v>
      </c>
      <c r="F350" s="216">
        <v>8.2899999999999991</v>
      </c>
      <c r="G350" s="31"/>
      <c r="H350" s="217"/>
    </row>
    <row r="351" spans="1:8" x14ac:dyDescent="0.2">
      <c r="A351" s="26"/>
      <c r="B351" s="26"/>
      <c r="C351" s="26" t="s">
        <v>2318</v>
      </c>
      <c r="D351" s="233"/>
      <c r="E351" s="218">
        <v>5586</v>
      </c>
      <c r="F351" s="219">
        <f>SUM(F349:F350)</f>
        <v>10.1</v>
      </c>
      <c r="G351" s="218">
        <v>7172</v>
      </c>
      <c r="H351" s="220">
        <v>77.900000000000006</v>
      </c>
    </row>
    <row r="352" spans="1:8" x14ac:dyDescent="0.2">
      <c r="A352" s="26"/>
      <c r="B352" s="26"/>
      <c r="C352" s="26" t="s">
        <v>2318</v>
      </c>
      <c r="D352" s="233"/>
      <c r="E352" s="31"/>
      <c r="F352" s="216"/>
      <c r="G352" s="31"/>
      <c r="H352" s="217"/>
    </row>
    <row r="353" spans="1:8" x14ac:dyDescent="0.2">
      <c r="A353" s="26" t="s">
        <v>2545</v>
      </c>
      <c r="B353" s="26"/>
      <c r="C353" s="214" t="s">
        <v>5162</v>
      </c>
      <c r="D353" s="233" t="s">
        <v>1736</v>
      </c>
      <c r="E353" s="31">
        <v>3348</v>
      </c>
      <c r="F353" s="216">
        <v>10.36</v>
      </c>
      <c r="G353" s="31"/>
      <c r="H353" s="217"/>
    </row>
    <row r="354" spans="1:8" x14ac:dyDescent="0.2">
      <c r="A354" s="26"/>
      <c r="B354" s="26"/>
      <c r="C354" s="26" t="s">
        <v>5163</v>
      </c>
      <c r="D354" s="233" t="s">
        <v>1071</v>
      </c>
      <c r="E354" s="31">
        <v>2788</v>
      </c>
      <c r="F354" s="216">
        <v>0.71</v>
      </c>
      <c r="G354" s="31"/>
      <c r="H354" s="217"/>
    </row>
    <row r="355" spans="1:8" x14ac:dyDescent="0.2">
      <c r="A355" s="26"/>
      <c r="B355" s="26"/>
      <c r="C355" s="26" t="s">
        <v>5164</v>
      </c>
      <c r="D355" s="233" t="s">
        <v>655</v>
      </c>
      <c r="E355" s="31">
        <v>770</v>
      </c>
      <c r="F355" s="216">
        <v>10.64</v>
      </c>
      <c r="G355" s="31"/>
      <c r="H355" s="217"/>
    </row>
    <row r="356" spans="1:8" x14ac:dyDescent="0.2">
      <c r="A356" s="26"/>
      <c r="B356" s="26"/>
      <c r="C356" s="26" t="s">
        <v>2318</v>
      </c>
      <c r="D356" s="233"/>
      <c r="E356" s="218">
        <v>6950</v>
      </c>
      <c r="F356" s="219">
        <f>SUM(F353:F355)</f>
        <v>21.71</v>
      </c>
      <c r="G356" s="218">
        <v>10098</v>
      </c>
      <c r="H356" s="220">
        <v>68.8</v>
      </c>
    </row>
    <row r="357" spans="1:8" x14ac:dyDescent="0.2">
      <c r="A357" s="26"/>
      <c r="B357" s="26"/>
      <c r="C357" s="26" t="s">
        <v>2318</v>
      </c>
      <c r="D357" s="233"/>
      <c r="E357" s="31"/>
      <c r="F357" s="216"/>
      <c r="G357" s="31"/>
      <c r="H357" s="217"/>
    </row>
    <row r="358" spans="1:8" x14ac:dyDescent="0.2">
      <c r="A358" s="26" t="s">
        <v>1979</v>
      </c>
      <c r="B358" s="26"/>
      <c r="C358" s="214" t="s">
        <v>5168</v>
      </c>
      <c r="D358" s="233" t="s">
        <v>1071</v>
      </c>
      <c r="E358" s="31">
        <v>4077</v>
      </c>
      <c r="F358" s="216">
        <v>65.36</v>
      </c>
      <c r="G358" s="31"/>
      <c r="H358" s="217"/>
    </row>
    <row r="359" spans="1:8" x14ac:dyDescent="0.2">
      <c r="A359" s="26"/>
      <c r="B359" s="26"/>
      <c r="C359" s="26" t="s">
        <v>1527</v>
      </c>
      <c r="D359" s="233" t="s">
        <v>1736</v>
      </c>
      <c r="E359" s="31">
        <v>3367</v>
      </c>
      <c r="F359" s="216">
        <v>27.49</v>
      </c>
      <c r="G359" s="31"/>
      <c r="H359" s="217"/>
    </row>
    <row r="360" spans="1:8" x14ac:dyDescent="0.2">
      <c r="A360" s="26"/>
      <c r="B360" s="26"/>
      <c r="C360" s="26" t="s">
        <v>2318</v>
      </c>
      <c r="D360" s="233"/>
      <c r="E360" s="218">
        <v>7483</v>
      </c>
      <c r="F360" s="219">
        <f>SUM(F358:F359)</f>
        <v>92.85</v>
      </c>
      <c r="G360" s="218">
        <v>10071</v>
      </c>
      <c r="H360" s="220">
        <v>74.3</v>
      </c>
    </row>
    <row r="361" spans="1:8" x14ac:dyDescent="0.2">
      <c r="A361" s="26"/>
      <c r="B361" s="26"/>
      <c r="C361" s="26" t="s">
        <v>2318</v>
      </c>
      <c r="D361" s="233"/>
      <c r="E361" s="31"/>
      <c r="F361" s="216"/>
      <c r="G361" s="31"/>
      <c r="H361" s="217"/>
    </row>
    <row r="362" spans="1:8" x14ac:dyDescent="0.2">
      <c r="A362" s="26" t="s">
        <v>3087</v>
      </c>
      <c r="B362" s="26"/>
      <c r="C362" s="214" t="s">
        <v>4994</v>
      </c>
      <c r="D362" s="233" t="s">
        <v>1736</v>
      </c>
      <c r="E362" s="31">
        <v>2978</v>
      </c>
      <c r="F362" s="216">
        <v>35.909999999999997</v>
      </c>
      <c r="G362" s="31"/>
      <c r="H362" s="217"/>
    </row>
    <row r="363" spans="1:8" x14ac:dyDescent="0.2">
      <c r="A363" s="26"/>
      <c r="B363" s="26"/>
      <c r="C363" s="26" t="s">
        <v>5169</v>
      </c>
      <c r="D363" s="233" t="s">
        <v>1071</v>
      </c>
      <c r="E363" s="31">
        <v>2970</v>
      </c>
      <c r="F363" s="216">
        <v>59.42</v>
      </c>
      <c r="G363" s="31"/>
      <c r="H363" s="217"/>
    </row>
    <row r="364" spans="1:8" x14ac:dyDescent="0.2">
      <c r="A364" s="26"/>
      <c r="B364" s="26"/>
      <c r="C364" s="26" t="s">
        <v>5170</v>
      </c>
      <c r="D364" s="233" t="s">
        <v>655</v>
      </c>
      <c r="E364" s="31">
        <v>220</v>
      </c>
      <c r="F364" s="216">
        <v>3</v>
      </c>
      <c r="G364" s="31"/>
      <c r="H364" s="217"/>
    </row>
    <row r="365" spans="1:8" x14ac:dyDescent="0.2">
      <c r="A365" s="26"/>
      <c r="B365" s="26"/>
      <c r="C365" s="26" t="s">
        <v>2318</v>
      </c>
      <c r="D365" s="233"/>
      <c r="E365" s="218">
        <v>6197</v>
      </c>
      <c r="F365" s="219">
        <f>SUM(F362:F364)</f>
        <v>98.33</v>
      </c>
      <c r="G365" s="218">
        <v>8031</v>
      </c>
      <c r="H365" s="220">
        <v>70.3</v>
      </c>
    </row>
    <row r="366" spans="1:8" x14ac:dyDescent="0.2">
      <c r="A366" s="26"/>
      <c r="B366" s="26"/>
      <c r="C366" s="26" t="s">
        <v>2318</v>
      </c>
      <c r="D366" s="233"/>
      <c r="E366" s="31"/>
      <c r="F366" s="216"/>
      <c r="G366" s="31"/>
      <c r="H366" s="217"/>
    </row>
    <row r="367" spans="1:8" x14ac:dyDescent="0.2">
      <c r="A367" s="26" t="s">
        <v>1557</v>
      </c>
      <c r="B367" s="26"/>
      <c r="C367" s="214" t="s">
        <v>1529</v>
      </c>
      <c r="D367" s="233" t="s">
        <v>1736</v>
      </c>
      <c r="E367" s="31">
        <v>3042</v>
      </c>
      <c r="F367" s="216">
        <v>31.91</v>
      </c>
      <c r="G367" s="31"/>
      <c r="H367" s="217"/>
    </row>
    <row r="368" spans="1:8" x14ac:dyDescent="0.2">
      <c r="A368" s="26"/>
      <c r="B368" s="26"/>
      <c r="C368" s="26" t="s">
        <v>5171</v>
      </c>
      <c r="D368" s="233" t="s">
        <v>1071</v>
      </c>
      <c r="E368" s="31">
        <v>2191</v>
      </c>
      <c r="F368" s="216">
        <v>15.5</v>
      </c>
      <c r="G368" s="31"/>
      <c r="H368" s="217"/>
    </row>
    <row r="369" spans="1:8" x14ac:dyDescent="0.2">
      <c r="A369" s="26"/>
      <c r="B369" s="26"/>
      <c r="C369" s="26" t="s">
        <v>5172</v>
      </c>
      <c r="D369" s="233" t="s">
        <v>655</v>
      </c>
      <c r="E369" s="31">
        <v>1537</v>
      </c>
      <c r="F369" s="216">
        <v>3.45</v>
      </c>
      <c r="G369" s="31"/>
      <c r="H369" s="217"/>
    </row>
    <row r="370" spans="1:8" x14ac:dyDescent="0.2">
      <c r="A370" s="26"/>
      <c r="B370" s="26"/>
      <c r="C370" s="26" t="s">
        <v>2318</v>
      </c>
      <c r="D370" s="233"/>
      <c r="E370" s="218">
        <v>6837</v>
      </c>
      <c r="F370" s="219">
        <f>SUM(F367:F369)</f>
        <v>50.86</v>
      </c>
      <c r="G370" s="218">
        <v>9210</v>
      </c>
      <c r="H370" s="220">
        <v>74.2</v>
      </c>
    </row>
    <row r="371" spans="1:8" x14ac:dyDescent="0.2">
      <c r="A371" s="26"/>
      <c r="B371" s="26"/>
      <c r="C371" s="26" t="s">
        <v>2318</v>
      </c>
      <c r="D371" s="233"/>
      <c r="E371" s="31"/>
      <c r="F371" s="216"/>
      <c r="G371" s="31"/>
      <c r="H371" s="217"/>
    </row>
    <row r="372" spans="1:8" x14ac:dyDescent="0.2">
      <c r="A372" s="26" t="s">
        <v>1559</v>
      </c>
      <c r="B372" s="26"/>
      <c r="C372" s="214" t="s">
        <v>5173</v>
      </c>
      <c r="D372" s="233" t="s">
        <v>1071</v>
      </c>
      <c r="E372" s="31">
        <v>2420</v>
      </c>
      <c r="F372" s="216">
        <v>13.76</v>
      </c>
      <c r="G372" s="31"/>
      <c r="H372" s="217"/>
    </row>
    <row r="373" spans="1:8" x14ac:dyDescent="0.2">
      <c r="A373" s="26"/>
      <c r="B373" s="26"/>
      <c r="C373" s="26" t="s">
        <v>5174</v>
      </c>
      <c r="D373" s="233" t="s">
        <v>1736</v>
      </c>
      <c r="E373" s="31">
        <v>2232</v>
      </c>
      <c r="F373" s="216">
        <v>32.74</v>
      </c>
      <c r="G373" s="31"/>
      <c r="H373" s="217"/>
    </row>
    <row r="374" spans="1:8" x14ac:dyDescent="0.2">
      <c r="A374" s="26"/>
      <c r="B374" s="26"/>
      <c r="C374" s="26" t="s">
        <v>5175</v>
      </c>
      <c r="D374" s="233" t="s">
        <v>655</v>
      </c>
      <c r="E374" s="31">
        <v>507</v>
      </c>
      <c r="F374" s="216">
        <v>1.85</v>
      </c>
      <c r="G374" s="31"/>
      <c r="H374" s="217"/>
    </row>
    <row r="375" spans="1:8" x14ac:dyDescent="0.2">
      <c r="A375" s="26"/>
      <c r="B375" s="26"/>
      <c r="C375" s="26" t="s">
        <v>2318</v>
      </c>
      <c r="D375" s="233"/>
      <c r="E375" s="218">
        <v>5184</v>
      </c>
      <c r="F375" s="219">
        <f>SUM(F372:F374)</f>
        <v>48.35</v>
      </c>
      <c r="G375" s="218">
        <v>6623</v>
      </c>
      <c r="H375" s="220">
        <v>78.3</v>
      </c>
    </row>
    <row r="376" spans="1:8" x14ac:dyDescent="0.2">
      <c r="A376" s="26"/>
      <c r="B376" s="26"/>
      <c r="C376" s="26" t="s">
        <v>2318</v>
      </c>
      <c r="D376" s="233"/>
      <c r="E376" s="31"/>
      <c r="F376" s="216"/>
      <c r="G376" s="31"/>
      <c r="H376" s="217"/>
    </row>
    <row r="377" spans="1:8" x14ac:dyDescent="0.2">
      <c r="A377" s="26" t="s">
        <v>2564</v>
      </c>
      <c r="B377" s="26"/>
      <c r="C377" s="214" t="s">
        <v>5176</v>
      </c>
      <c r="D377" s="233" t="s">
        <v>1071</v>
      </c>
      <c r="E377" s="31">
        <v>3311</v>
      </c>
      <c r="F377" s="216">
        <v>34.04</v>
      </c>
      <c r="G377" s="31"/>
      <c r="H377" s="217"/>
    </row>
    <row r="378" spans="1:8" x14ac:dyDescent="0.2">
      <c r="A378" s="26"/>
      <c r="B378" s="26"/>
      <c r="C378" s="26" t="s">
        <v>5177</v>
      </c>
      <c r="D378" s="233" t="s">
        <v>1736</v>
      </c>
      <c r="E378" s="31">
        <v>1366</v>
      </c>
      <c r="F378" s="216">
        <v>8.24</v>
      </c>
      <c r="G378" s="31"/>
      <c r="H378" s="217"/>
    </row>
    <row r="379" spans="1:8" x14ac:dyDescent="0.2">
      <c r="A379" s="26"/>
      <c r="B379" s="26"/>
      <c r="C379" s="26" t="s">
        <v>5178</v>
      </c>
      <c r="D379" s="233" t="s">
        <v>655</v>
      </c>
      <c r="E379" s="31">
        <v>547</v>
      </c>
      <c r="F379" s="216">
        <v>56.47</v>
      </c>
      <c r="G379" s="31"/>
      <c r="H379" s="217"/>
    </row>
    <row r="380" spans="1:8" x14ac:dyDescent="0.2">
      <c r="A380" s="26"/>
      <c r="B380" s="26"/>
      <c r="C380" s="26" t="s">
        <v>2318</v>
      </c>
      <c r="D380" s="233"/>
      <c r="E380" s="218">
        <v>5252</v>
      </c>
      <c r="F380" s="219">
        <f>SUM(F377:F379)</f>
        <v>98.75</v>
      </c>
      <c r="G380" s="218">
        <v>7272</v>
      </c>
      <c r="H380" s="220">
        <v>72.2</v>
      </c>
    </row>
    <row r="381" spans="1:8" x14ac:dyDescent="0.2">
      <c r="A381" s="26"/>
      <c r="B381" s="26"/>
      <c r="C381" s="26"/>
      <c r="D381" s="233"/>
      <c r="E381" s="88"/>
      <c r="F381" s="84"/>
      <c r="G381" s="88"/>
      <c r="H381" s="235"/>
    </row>
    <row r="382" spans="1:8" x14ac:dyDescent="0.2">
      <c r="A382" s="26" t="s">
        <v>1130</v>
      </c>
      <c r="B382" s="26"/>
      <c r="C382" s="214" t="s">
        <v>5179</v>
      </c>
      <c r="D382" s="233" t="s">
        <v>1071</v>
      </c>
      <c r="E382" s="31">
        <v>5334</v>
      </c>
      <c r="F382" s="216">
        <v>13.76</v>
      </c>
      <c r="G382" s="31"/>
      <c r="H382" s="217"/>
    </row>
    <row r="383" spans="1:8" x14ac:dyDescent="0.2">
      <c r="A383" s="26"/>
      <c r="B383" s="26"/>
      <c r="C383" s="26" t="s">
        <v>5180</v>
      </c>
      <c r="D383" s="233" t="s">
        <v>1736</v>
      </c>
      <c r="E383" s="31">
        <v>4590</v>
      </c>
      <c r="F383" s="216">
        <v>32.74</v>
      </c>
      <c r="G383" s="31"/>
      <c r="H383" s="217"/>
    </row>
    <row r="384" spans="1:8" x14ac:dyDescent="0.2">
      <c r="A384" s="26"/>
      <c r="B384" s="26"/>
      <c r="C384" s="26" t="s">
        <v>4534</v>
      </c>
      <c r="D384" s="233" t="s">
        <v>655</v>
      </c>
      <c r="E384" s="31">
        <v>1336</v>
      </c>
      <c r="F384" s="216">
        <v>1.85</v>
      </c>
      <c r="G384" s="31"/>
      <c r="H384" s="217"/>
    </row>
    <row r="385" spans="1:8" x14ac:dyDescent="0.2">
      <c r="A385" s="26"/>
      <c r="B385" s="26"/>
      <c r="C385" s="26" t="s">
        <v>2318</v>
      </c>
      <c r="D385" s="233"/>
      <c r="E385" s="218">
        <v>11289</v>
      </c>
      <c r="F385" s="219">
        <f>SUM(F382:F384)</f>
        <v>48.35</v>
      </c>
      <c r="G385" s="218">
        <v>16167</v>
      </c>
      <c r="H385" s="220">
        <v>69.8</v>
      </c>
    </row>
    <row r="386" spans="1:8" x14ac:dyDescent="0.2">
      <c r="A386" s="26"/>
      <c r="B386" s="26"/>
      <c r="C386" s="26" t="s">
        <v>2318</v>
      </c>
      <c r="D386" s="233"/>
      <c r="E386" s="31"/>
      <c r="F386" s="216"/>
      <c r="G386" s="31"/>
      <c r="H386" s="217"/>
    </row>
    <row r="387" spans="1:8" x14ac:dyDescent="0.2">
      <c r="A387" s="26" t="s">
        <v>1567</v>
      </c>
      <c r="B387" s="26"/>
      <c r="C387" s="214" t="s">
        <v>3266</v>
      </c>
      <c r="D387" s="233" t="s">
        <v>1736</v>
      </c>
      <c r="E387" s="31">
        <v>3096</v>
      </c>
      <c r="F387" s="216">
        <v>34.04</v>
      </c>
      <c r="G387" s="31"/>
      <c r="H387" s="217"/>
    </row>
    <row r="388" spans="1:8" x14ac:dyDescent="0.2">
      <c r="A388" s="26"/>
      <c r="B388" s="26"/>
      <c r="C388" s="26" t="s">
        <v>5181</v>
      </c>
      <c r="D388" s="234" t="s">
        <v>1071</v>
      </c>
      <c r="E388" s="31">
        <v>2125</v>
      </c>
      <c r="F388" s="216"/>
      <c r="G388" s="31"/>
      <c r="H388" s="217"/>
    </row>
    <row r="389" spans="1:8" x14ac:dyDescent="0.2">
      <c r="A389" s="26"/>
      <c r="B389" s="26"/>
      <c r="C389" s="26" t="s">
        <v>5182</v>
      </c>
      <c r="D389" s="233" t="s">
        <v>655</v>
      </c>
      <c r="E389" s="31">
        <v>929</v>
      </c>
      <c r="F389" s="216">
        <v>8.24</v>
      </c>
      <c r="G389" s="31"/>
      <c r="H389" s="217"/>
    </row>
    <row r="390" spans="1:8" x14ac:dyDescent="0.2">
      <c r="A390" s="26"/>
      <c r="B390" s="26"/>
      <c r="C390" s="26" t="s">
        <v>4907</v>
      </c>
      <c r="D390" s="233" t="s">
        <v>1072</v>
      </c>
      <c r="E390" s="31">
        <v>101</v>
      </c>
      <c r="F390" s="216">
        <v>56.47</v>
      </c>
      <c r="G390" s="31"/>
      <c r="H390" s="217"/>
    </row>
    <row r="391" spans="1:8" x14ac:dyDescent="0.2">
      <c r="A391" s="26"/>
      <c r="B391" s="26"/>
      <c r="C391" s="26" t="s">
        <v>2318</v>
      </c>
      <c r="D391" s="233"/>
      <c r="E391" s="218">
        <v>6294</v>
      </c>
      <c r="F391" s="219">
        <f>SUM(F387:F390)</f>
        <v>98.75</v>
      </c>
      <c r="G391" s="218">
        <v>9514</v>
      </c>
      <c r="H391" s="220">
        <v>66.2</v>
      </c>
    </row>
    <row r="392" spans="1:8" x14ac:dyDescent="0.2">
      <c r="A392" s="26"/>
      <c r="B392" s="26"/>
      <c r="C392" s="233"/>
      <c r="D392" s="233"/>
      <c r="E392" s="223"/>
      <c r="F392" s="217"/>
      <c r="G392" s="223"/>
      <c r="H392" s="217"/>
    </row>
    <row r="393" spans="1:8" x14ac:dyDescent="0.2">
      <c r="A393" s="145" t="s">
        <v>1131</v>
      </c>
      <c r="B393" s="145"/>
      <c r="C393" s="145"/>
      <c r="D393" s="146"/>
      <c r="E393" s="147">
        <v>644547</v>
      </c>
      <c r="F393" s="148"/>
      <c r="G393" s="147">
        <v>779795</v>
      </c>
      <c r="H393" s="148">
        <v>72</v>
      </c>
    </row>
    <row r="394" spans="1:8" x14ac:dyDescent="0.2">
      <c r="A394" s="77"/>
      <c r="B394" s="77"/>
      <c r="C394" s="77"/>
      <c r="D394" s="78"/>
      <c r="E394" s="88"/>
      <c r="F394" s="84"/>
      <c r="G394" s="88"/>
      <c r="H394" s="84"/>
    </row>
    <row r="395" spans="1:8" x14ac:dyDescent="0.2">
      <c r="A395" s="227" t="s">
        <v>1289</v>
      </c>
      <c r="B395" s="227"/>
      <c r="C395" s="228"/>
      <c r="D395" s="228"/>
      <c r="E395" s="229"/>
      <c r="F395" s="230"/>
      <c r="G395" s="231"/>
      <c r="H395" s="232"/>
    </row>
    <row r="396" spans="1:8" x14ac:dyDescent="0.2">
      <c r="A396" s="276" t="s">
        <v>2934</v>
      </c>
      <c r="B396" s="276"/>
      <c r="C396" s="276"/>
      <c r="D396" s="276"/>
      <c r="E396" s="276"/>
      <c r="F396" s="276"/>
      <c r="G396" s="276"/>
      <c r="H396" s="276"/>
    </row>
    <row r="397" spans="1:8" x14ac:dyDescent="0.2">
      <c r="A397" s="276" t="s">
        <v>4764</v>
      </c>
      <c r="B397" s="276"/>
      <c r="C397" s="276"/>
      <c r="D397" s="276"/>
      <c r="E397" s="276"/>
      <c r="F397" s="276"/>
      <c r="G397" s="276"/>
      <c r="H397" s="276"/>
    </row>
    <row r="398" spans="1:8" x14ac:dyDescent="0.2">
      <c r="A398" s="26" t="s">
        <v>4774</v>
      </c>
      <c r="B398" s="26"/>
      <c r="C398" s="26"/>
      <c r="D398" s="233"/>
      <c r="E398" s="31"/>
      <c r="F398" s="216"/>
      <c r="G398" s="31"/>
      <c r="H398" s="217"/>
    </row>
  </sheetData>
  <mergeCells count="4">
    <mergeCell ref="A1:H1"/>
    <mergeCell ref="F2:H2"/>
    <mergeCell ref="A396:H396"/>
    <mergeCell ref="A397:H39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3"/>
  <sheetViews>
    <sheetView topLeftCell="A414" workbookViewId="0">
      <selection activeCell="G449" sqref="G449"/>
    </sheetView>
  </sheetViews>
  <sheetFormatPr defaultRowHeight="12.75" x14ac:dyDescent="0.2"/>
  <cols>
    <col min="1" max="1" width="11.85546875" style="209" customWidth="1"/>
    <col min="2" max="2" width="9.140625" style="209"/>
    <col min="3" max="3" width="23.140625" style="209" bestFit="1" customWidth="1"/>
    <col min="4" max="4" width="22.28515625" style="209" bestFit="1" customWidth="1"/>
    <col min="5" max="5" width="12.85546875" style="209" customWidth="1"/>
    <col min="6" max="16384" width="9.140625" style="209"/>
  </cols>
  <sheetData>
    <row r="1" spans="1:10" ht="15.75" x14ac:dyDescent="0.2">
      <c r="A1" s="270" t="s">
        <v>2332</v>
      </c>
      <c r="B1" s="270"/>
      <c r="C1" s="270"/>
      <c r="D1" s="270"/>
      <c r="E1" s="270"/>
      <c r="F1" s="270"/>
      <c r="G1" s="270"/>
      <c r="H1" s="270"/>
    </row>
    <row r="2" spans="1:10" ht="13.5" thickBot="1" x14ac:dyDescent="0.25">
      <c r="A2" s="210" t="s">
        <v>4782</v>
      </c>
      <c r="B2" s="210"/>
      <c r="C2" s="210" t="s">
        <v>4783</v>
      </c>
      <c r="D2" s="211" t="s">
        <v>4784</v>
      </c>
      <c r="E2" s="212"/>
      <c r="F2" s="275" t="s">
        <v>2933</v>
      </c>
      <c r="G2" s="275"/>
      <c r="H2" s="275"/>
    </row>
    <row r="3" spans="1:10" ht="39" thickBot="1" x14ac:dyDescent="0.25">
      <c r="A3" s="58" t="s">
        <v>1284</v>
      </c>
      <c r="B3" s="59"/>
      <c r="C3" s="59" t="s">
        <v>1300</v>
      </c>
      <c r="D3" s="59" t="s">
        <v>2652</v>
      </c>
      <c r="E3" s="73" t="s">
        <v>4765</v>
      </c>
      <c r="F3" s="74" t="s">
        <v>1286</v>
      </c>
      <c r="G3" s="73" t="s">
        <v>1287</v>
      </c>
      <c r="H3" s="74" t="s">
        <v>4766</v>
      </c>
      <c r="J3" s="213"/>
    </row>
    <row r="4" spans="1:10" x14ac:dyDescent="0.2">
      <c r="A4" s="60"/>
      <c r="B4" s="60"/>
      <c r="C4" s="61"/>
      <c r="D4" s="66"/>
      <c r="E4" s="87"/>
      <c r="F4" s="80"/>
      <c r="G4" s="87"/>
      <c r="H4" s="80"/>
    </row>
    <row r="5" spans="1:10" x14ac:dyDescent="0.2">
      <c r="A5" s="26" t="s">
        <v>2266</v>
      </c>
      <c r="B5" s="26"/>
      <c r="C5" s="214" t="s">
        <v>1756</v>
      </c>
      <c r="D5" s="233" t="s">
        <v>1736</v>
      </c>
      <c r="E5" s="31">
        <v>3723</v>
      </c>
      <c r="F5" s="216">
        <v>55.4</v>
      </c>
      <c r="G5" s="31"/>
      <c r="H5" s="217"/>
    </row>
    <row r="6" spans="1:10" x14ac:dyDescent="0.2">
      <c r="A6" s="26"/>
      <c r="B6" s="26"/>
      <c r="C6" s="26" t="s">
        <v>1757</v>
      </c>
      <c r="D6" s="233" t="s">
        <v>655</v>
      </c>
      <c r="E6" s="31">
        <v>1686</v>
      </c>
      <c r="F6" s="216">
        <v>7.4</v>
      </c>
      <c r="G6" s="31"/>
      <c r="H6" s="217"/>
    </row>
    <row r="7" spans="1:10" x14ac:dyDescent="0.2">
      <c r="A7" s="26"/>
      <c r="B7" s="26"/>
      <c r="C7" s="26" t="s">
        <v>4785</v>
      </c>
      <c r="D7" s="233" t="s">
        <v>1071</v>
      </c>
      <c r="E7" s="31">
        <v>582</v>
      </c>
      <c r="F7" s="216">
        <v>13.2</v>
      </c>
      <c r="G7" s="31"/>
      <c r="H7" s="217"/>
    </row>
    <row r="8" spans="1:10" x14ac:dyDescent="0.2">
      <c r="A8" s="26"/>
      <c r="B8" s="26"/>
      <c r="C8" s="26" t="s">
        <v>4786</v>
      </c>
      <c r="D8" s="233" t="s">
        <v>1072</v>
      </c>
      <c r="E8" s="31">
        <v>226</v>
      </c>
      <c r="F8" s="216">
        <v>23.9</v>
      </c>
      <c r="G8" s="31"/>
      <c r="H8" s="217"/>
    </row>
    <row r="9" spans="1:10" x14ac:dyDescent="0.2">
      <c r="A9" s="26"/>
      <c r="B9" s="26"/>
      <c r="C9" s="26" t="s">
        <v>2318</v>
      </c>
      <c r="D9" s="233"/>
      <c r="E9" s="218">
        <v>6243</v>
      </c>
      <c r="F9" s="219">
        <v>100</v>
      </c>
      <c r="G9" s="218">
        <v>8923</v>
      </c>
      <c r="H9" s="220">
        <v>70</v>
      </c>
    </row>
    <row r="10" spans="1:10" x14ac:dyDescent="0.2">
      <c r="A10" s="26"/>
      <c r="B10" s="26"/>
      <c r="C10" s="26" t="s">
        <v>2318</v>
      </c>
      <c r="D10" s="233"/>
      <c r="E10" s="31"/>
      <c r="F10" s="216"/>
      <c r="G10" s="31"/>
      <c r="H10" s="217"/>
    </row>
    <row r="11" spans="1:10" x14ac:dyDescent="0.2">
      <c r="A11" s="26" t="s">
        <v>4787</v>
      </c>
      <c r="B11" s="26"/>
      <c r="C11" s="214" t="s">
        <v>4788</v>
      </c>
      <c r="D11" s="233" t="s">
        <v>1736</v>
      </c>
      <c r="E11" s="31">
        <v>5221</v>
      </c>
      <c r="F11" s="216">
        <v>17.5</v>
      </c>
      <c r="G11" s="31"/>
      <c r="H11" s="217"/>
    </row>
    <row r="12" spans="1:10" x14ac:dyDescent="0.2">
      <c r="A12" s="26"/>
      <c r="B12" s="26"/>
      <c r="C12" s="26" t="s">
        <v>4789</v>
      </c>
      <c r="D12" s="233" t="s">
        <v>1071</v>
      </c>
      <c r="E12" s="31">
        <v>1129</v>
      </c>
      <c r="F12" s="216">
        <v>9.1</v>
      </c>
      <c r="G12" s="31"/>
      <c r="H12" s="217"/>
    </row>
    <row r="13" spans="1:10" x14ac:dyDescent="0.2">
      <c r="A13" s="26"/>
      <c r="B13" s="26"/>
      <c r="C13" s="26" t="s">
        <v>4790</v>
      </c>
      <c r="D13" s="233" t="s">
        <v>655</v>
      </c>
      <c r="E13" s="31">
        <v>737</v>
      </c>
      <c r="F13" s="216">
        <v>6.5</v>
      </c>
      <c r="G13" s="31"/>
      <c r="H13" s="217"/>
    </row>
    <row r="14" spans="1:10" x14ac:dyDescent="0.2">
      <c r="A14" s="26"/>
      <c r="B14" s="26"/>
      <c r="C14" s="26" t="s">
        <v>4791</v>
      </c>
      <c r="D14" s="233" t="s">
        <v>1072</v>
      </c>
      <c r="E14" s="31">
        <v>453</v>
      </c>
      <c r="F14" s="216">
        <v>66.900000000000006</v>
      </c>
      <c r="G14" s="31"/>
      <c r="H14" s="217"/>
    </row>
    <row r="15" spans="1:10" x14ac:dyDescent="0.2">
      <c r="A15" s="26"/>
      <c r="B15" s="26"/>
      <c r="C15" s="26" t="s">
        <v>2318</v>
      </c>
      <c r="D15" s="233"/>
      <c r="E15" s="218">
        <v>7575</v>
      </c>
      <c r="F15" s="219">
        <f>SUM(F11:F14)</f>
        <v>100</v>
      </c>
      <c r="G15" s="218">
        <v>12186</v>
      </c>
      <c r="H15" s="220">
        <v>62.1</v>
      </c>
    </row>
    <row r="16" spans="1:10" x14ac:dyDescent="0.2">
      <c r="A16" s="26"/>
      <c r="B16" s="26"/>
      <c r="C16" s="26" t="s">
        <v>2318</v>
      </c>
      <c r="D16" s="233"/>
      <c r="E16" s="31"/>
      <c r="F16" s="216"/>
      <c r="G16" s="31"/>
      <c r="H16" s="217"/>
    </row>
    <row r="17" spans="1:8" x14ac:dyDescent="0.2">
      <c r="A17" s="26" t="s">
        <v>1127</v>
      </c>
      <c r="B17" s="26"/>
      <c r="C17" s="214" t="s">
        <v>4792</v>
      </c>
      <c r="D17" s="233" t="s">
        <v>1736</v>
      </c>
      <c r="E17" s="31">
        <v>3665</v>
      </c>
      <c r="F17" s="216">
        <v>22.3</v>
      </c>
      <c r="G17" s="31"/>
      <c r="H17" s="217"/>
    </row>
    <row r="18" spans="1:8" x14ac:dyDescent="0.2">
      <c r="A18" s="26"/>
      <c r="B18" s="26"/>
      <c r="C18" s="26" t="s">
        <v>4793</v>
      </c>
      <c r="D18" s="233" t="s">
        <v>1071</v>
      </c>
      <c r="E18" s="31">
        <v>919</v>
      </c>
      <c r="F18" s="216">
        <v>1.8</v>
      </c>
      <c r="G18" s="31"/>
      <c r="H18" s="217"/>
    </row>
    <row r="19" spans="1:8" x14ac:dyDescent="0.2">
      <c r="A19" s="26"/>
      <c r="B19" s="26"/>
      <c r="C19" s="26" t="s">
        <v>4794</v>
      </c>
      <c r="D19" s="233" t="s">
        <v>655</v>
      </c>
      <c r="E19" s="31">
        <v>826</v>
      </c>
      <c r="F19" s="216">
        <v>13.6</v>
      </c>
      <c r="G19" s="31"/>
      <c r="H19" s="217"/>
    </row>
    <row r="20" spans="1:8" x14ac:dyDescent="0.2">
      <c r="A20" s="26"/>
      <c r="B20" s="26"/>
      <c r="C20" s="26" t="s">
        <v>2318</v>
      </c>
      <c r="D20" s="233"/>
      <c r="E20" s="218">
        <v>5431</v>
      </c>
      <c r="F20" s="219">
        <v>100</v>
      </c>
      <c r="G20" s="218">
        <v>8190</v>
      </c>
      <c r="H20" s="220">
        <v>60.3</v>
      </c>
    </row>
    <row r="21" spans="1:8" x14ac:dyDescent="0.2">
      <c r="A21" s="26"/>
      <c r="B21" s="26"/>
      <c r="C21" s="26" t="s">
        <v>2318</v>
      </c>
      <c r="D21" s="233"/>
      <c r="E21" s="31"/>
      <c r="F21" s="216"/>
      <c r="G21" s="31"/>
      <c r="H21" s="217"/>
    </row>
    <row r="22" spans="1:8" x14ac:dyDescent="0.2">
      <c r="A22" s="26" t="s">
        <v>1974</v>
      </c>
      <c r="B22" s="26"/>
      <c r="C22" s="214" t="s">
        <v>4795</v>
      </c>
      <c r="D22" s="233" t="s">
        <v>1736</v>
      </c>
      <c r="E22" s="31">
        <v>3226</v>
      </c>
      <c r="F22" s="216">
        <v>3</v>
      </c>
      <c r="G22" s="31"/>
      <c r="H22" s="217"/>
    </row>
    <row r="23" spans="1:8" x14ac:dyDescent="0.2">
      <c r="A23" s="26"/>
      <c r="B23" s="26"/>
      <c r="C23" s="26" t="s">
        <v>4768</v>
      </c>
      <c r="D23" s="233" t="s">
        <v>1071</v>
      </c>
      <c r="E23" s="31">
        <v>1119</v>
      </c>
      <c r="F23" s="216">
        <v>49.8</v>
      </c>
      <c r="G23" s="31"/>
      <c r="H23" s="217"/>
    </row>
    <row r="24" spans="1:8" x14ac:dyDescent="0.2">
      <c r="A24" s="26"/>
      <c r="B24" s="26"/>
      <c r="C24" s="26" t="s">
        <v>4796</v>
      </c>
      <c r="D24" s="233" t="s">
        <v>655</v>
      </c>
      <c r="E24" s="31">
        <v>805</v>
      </c>
      <c r="F24" s="216">
        <v>18.3</v>
      </c>
      <c r="G24" s="31"/>
      <c r="H24" s="217"/>
    </row>
    <row r="25" spans="1:8" x14ac:dyDescent="0.2">
      <c r="A25" s="26"/>
      <c r="B25" s="26"/>
      <c r="C25" s="26" t="s">
        <v>4797</v>
      </c>
      <c r="D25" s="233" t="s">
        <v>1072</v>
      </c>
      <c r="E25" s="31">
        <v>526</v>
      </c>
      <c r="F25" s="216">
        <v>2.8</v>
      </c>
      <c r="G25" s="31"/>
      <c r="H25" s="217"/>
    </row>
    <row r="26" spans="1:8" x14ac:dyDescent="0.2">
      <c r="A26" s="26"/>
      <c r="B26" s="26"/>
      <c r="C26" s="26" t="s">
        <v>2318</v>
      </c>
      <c r="D26" s="233"/>
      <c r="E26" s="218">
        <v>5694</v>
      </c>
      <c r="F26" s="219">
        <v>100</v>
      </c>
      <c r="G26" s="218">
        <v>9451</v>
      </c>
      <c r="H26" s="220">
        <v>63.8</v>
      </c>
    </row>
    <row r="27" spans="1:8" x14ac:dyDescent="0.2">
      <c r="A27" s="26"/>
      <c r="B27" s="26"/>
      <c r="C27" s="26" t="s">
        <v>2318</v>
      </c>
      <c r="D27" s="233"/>
      <c r="E27" s="31"/>
      <c r="F27" s="216"/>
      <c r="G27" s="31"/>
      <c r="H27" s="217"/>
    </row>
    <row r="28" spans="1:8" x14ac:dyDescent="0.2">
      <c r="A28" s="26" t="s">
        <v>1975</v>
      </c>
      <c r="B28" s="26"/>
      <c r="C28" s="214" t="s">
        <v>4538</v>
      </c>
      <c r="D28" s="233" t="s">
        <v>1071</v>
      </c>
      <c r="E28" s="31">
        <v>2992</v>
      </c>
      <c r="F28" s="216">
        <v>36</v>
      </c>
      <c r="G28" s="31"/>
      <c r="H28" s="217"/>
    </row>
    <row r="29" spans="1:8" x14ac:dyDescent="0.2">
      <c r="A29" s="26"/>
      <c r="B29" s="26"/>
      <c r="C29" s="26" t="s">
        <v>4798</v>
      </c>
      <c r="D29" s="233" t="s">
        <v>1736</v>
      </c>
      <c r="E29" s="31">
        <v>1906</v>
      </c>
      <c r="F29" s="216">
        <v>59.8</v>
      </c>
      <c r="G29" s="31"/>
      <c r="H29" s="217"/>
    </row>
    <row r="30" spans="1:8" x14ac:dyDescent="0.2">
      <c r="A30" s="26"/>
      <c r="B30" s="26"/>
      <c r="C30" s="26" t="s">
        <v>4799</v>
      </c>
      <c r="D30" s="233" t="s">
        <v>655</v>
      </c>
      <c r="E30" s="31">
        <v>183</v>
      </c>
      <c r="F30" s="216">
        <v>1.3</v>
      </c>
      <c r="G30" s="31"/>
      <c r="H30" s="217"/>
    </row>
    <row r="31" spans="1:8" x14ac:dyDescent="0.2">
      <c r="A31" s="26"/>
      <c r="B31" s="26"/>
      <c r="C31" s="26" t="s">
        <v>2318</v>
      </c>
      <c r="D31" s="233"/>
      <c r="E31" s="218">
        <v>5095</v>
      </c>
      <c r="F31" s="219">
        <v>100</v>
      </c>
      <c r="G31" s="218">
        <v>7981</v>
      </c>
      <c r="H31" s="220">
        <v>63.8</v>
      </c>
    </row>
    <row r="32" spans="1:8" x14ac:dyDescent="0.2">
      <c r="A32" s="26"/>
      <c r="B32" s="26"/>
      <c r="C32" s="26" t="s">
        <v>2318</v>
      </c>
      <c r="D32" s="233"/>
      <c r="E32" s="31"/>
      <c r="F32" s="216"/>
      <c r="G32" s="31"/>
      <c r="H32" s="217"/>
    </row>
    <row r="33" spans="1:10" x14ac:dyDescent="0.2">
      <c r="A33" s="26" t="s">
        <v>2354</v>
      </c>
      <c r="B33" s="26"/>
      <c r="C33" s="214" t="s">
        <v>1880</v>
      </c>
      <c r="D33" s="233" t="s">
        <v>1736</v>
      </c>
      <c r="E33" s="31">
        <v>5251</v>
      </c>
      <c r="F33" s="216">
        <v>16.7</v>
      </c>
      <c r="G33" s="31"/>
      <c r="H33" s="217"/>
    </row>
    <row r="34" spans="1:10" x14ac:dyDescent="0.2">
      <c r="B34" s="26"/>
      <c r="C34" s="26" t="s">
        <v>4800</v>
      </c>
      <c r="D34" s="233" t="s">
        <v>1071</v>
      </c>
      <c r="E34" s="31">
        <v>3537</v>
      </c>
      <c r="F34" s="216">
        <v>12.5</v>
      </c>
      <c r="G34" s="31"/>
      <c r="H34" s="217"/>
    </row>
    <row r="35" spans="1:10" x14ac:dyDescent="0.2">
      <c r="A35" s="26"/>
      <c r="B35" s="26"/>
      <c r="C35" s="26" t="s">
        <v>4801</v>
      </c>
      <c r="D35" s="233" t="s">
        <v>655</v>
      </c>
      <c r="E35" s="31">
        <v>879</v>
      </c>
      <c r="F35" s="216">
        <v>0.4</v>
      </c>
      <c r="G35" s="31"/>
      <c r="H35" s="217"/>
    </row>
    <row r="36" spans="1:10" x14ac:dyDescent="0.2">
      <c r="A36" s="26"/>
      <c r="B36" s="26"/>
      <c r="C36" s="26" t="s">
        <v>4802</v>
      </c>
      <c r="D36" s="233" t="s">
        <v>1072</v>
      </c>
      <c r="E36" s="31">
        <v>314</v>
      </c>
      <c r="F36" s="216">
        <v>5.8</v>
      </c>
      <c r="G36" s="31"/>
      <c r="H36" s="217"/>
    </row>
    <row r="37" spans="1:10" x14ac:dyDescent="0.2">
      <c r="A37" s="26"/>
      <c r="B37" s="26"/>
      <c r="C37" s="26" t="s">
        <v>4803</v>
      </c>
      <c r="D37" s="233" t="s">
        <v>1547</v>
      </c>
      <c r="E37" s="31">
        <v>64</v>
      </c>
      <c r="F37" s="216">
        <v>64.599999999999994</v>
      </c>
      <c r="G37" s="31"/>
      <c r="H37" s="217"/>
    </row>
    <row r="38" spans="1:10" x14ac:dyDescent="0.2">
      <c r="A38" s="26"/>
      <c r="B38" s="26"/>
      <c r="C38" s="26" t="s">
        <v>2318</v>
      </c>
      <c r="D38" s="233"/>
      <c r="E38" s="218">
        <v>1075</v>
      </c>
      <c r="F38" s="219">
        <f>SUM(F33:F37)</f>
        <v>100</v>
      </c>
      <c r="G38" s="218">
        <v>17209</v>
      </c>
      <c r="H38" s="220">
        <v>58.5</v>
      </c>
    </row>
    <row r="39" spans="1:10" x14ac:dyDescent="0.2">
      <c r="A39" s="26"/>
      <c r="B39" s="26"/>
      <c r="C39" s="26" t="s">
        <v>2318</v>
      </c>
      <c r="D39" s="233"/>
      <c r="E39" s="31"/>
      <c r="F39" s="216"/>
      <c r="G39" s="31"/>
      <c r="H39" s="217"/>
    </row>
    <row r="40" spans="1:10" x14ac:dyDescent="0.2">
      <c r="A40" s="26" t="s">
        <v>2360</v>
      </c>
      <c r="B40" s="26"/>
      <c r="C40" s="214" t="s">
        <v>4804</v>
      </c>
      <c r="D40" s="233" t="s">
        <v>1736</v>
      </c>
      <c r="E40" s="31">
        <v>6525</v>
      </c>
      <c r="F40" s="216">
        <v>10.8</v>
      </c>
      <c r="G40" s="31"/>
      <c r="H40" s="217"/>
    </row>
    <row r="41" spans="1:10" x14ac:dyDescent="0.2">
      <c r="A41" s="26"/>
      <c r="B41" s="26"/>
      <c r="C41" s="26" t="s">
        <v>4805</v>
      </c>
      <c r="D41" s="233" t="s">
        <v>1072</v>
      </c>
      <c r="E41" s="31">
        <v>962</v>
      </c>
      <c r="F41" s="216">
        <v>10.4</v>
      </c>
      <c r="G41" s="31"/>
      <c r="H41" s="217"/>
    </row>
    <row r="42" spans="1:10" x14ac:dyDescent="0.2">
      <c r="A42" s="26"/>
      <c r="B42" s="26"/>
      <c r="C42" s="26" t="s">
        <v>4806</v>
      </c>
      <c r="D42" s="233" t="s">
        <v>655</v>
      </c>
      <c r="E42" s="31">
        <v>879</v>
      </c>
      <c r="F42" s="216">
        <v>14.2</v>
      </c>
      <c r="G42" s="31"/>
      <c r="H42" s="217"/>
    </row>
    <row r="43" spans="1:10" x14ac:dyDescent="0.2">
      <c r="A43" s="26"/>
      <c r="B43" s="26"/>
      <c r="C43" s="26" t="s">
        <v>4807</v>
      </c>
      <c r="D43" s="233" t="s">
        <v>1071</v>
      </c>
      <c r="E43" s="31">
        <v>786</v>
      </c>
      <c r="F43" s="216">
        <v>64</v>
      </c>
      <c r="G43" s="31"/>
      <c r="H43" s="217"/>
    </row>
    <row r="44" spans="1:10" x14ac:dyDescent="0.2">
      <c r="A44" s="26"/>
      <c r="B44" s="26"/>
      <c r="C44" s="26" t="s">
        <v>1759</v>
      </c>
      <c r="D44" s="233" t="s">
        <v>1547</v>
      </c>
      <c r="E44" s="31">
        <v>55</v>
      </c>
      <c r="F44" s="216">
        <v>0.6</v>
      </c>
      <c r="G44" s="31"/>
      <c r="H44" s="217"/>
    </row>
    <row r="45" spans="1:10" x14ac:dyDescent="0.2">
      <c r="A45" s="26"/>
      <c r="B45" s="26"/>
      <c r="C45" s="26" t="s">
        <v>2318</v>
      </c>
      <c r="D45" s="233"/>
      <c r="E45" s="218">
        <v>9231</v>
      </c>
      <c r="F45" s="219">
        <f>SUM(F40:F44)</f>
        <v>100</v>
      </c>
      <c r="G45" s="218">
        <v>18219</v>
      </c>
      <c r="H45" s="220">
        <v>50.7</v>
      </c>
    </row>
    <row r="46" spans="1:10" x14ac:dyDescent="0.2">
      <c r="A46" s="26"/>
      <c r="B46" s="26"/>
      <c r="C46" s="26" t="s">
        <v>2318</v>
      </c>
      <c r="D46" s="233"/>
      <c r="E46" s="31"/>
      <c r="F46" s="216"/>
      <c r="G46" s="31"/>
      <c r="H46" s="217"/>
    </row>
    <row r="47" spans="1:10" x14ac:dyDescent="0.2">
      <c r="A47" s="26" t="s">
        <v>1963</v>
      </c>
      <c r="B47" s="26"/>
      <c r="C47" s="214" t="s">
        <v>4808</v>
      </c>
      <c r="D47" s="233" t="s">
        <v>1736</v>
      </c>
      <c r="E47" s="31">
        <v>6068</v>
      </c>
      <c r="F47" s="216">
        <v>59.7</v>
      </c>
      <c r="G47" s="31"/>
      <c r="H47" s="217"/>
      <c r="J47" s="221"/>
    </row>
    <row r="48" spans="1:10" x14ac:dyDescent="0.2">
      <c r="A48" s="26"/>
      <c r="B48" s="26"/>
      <c r="C48" s="26" t="s">
        <v>4809</v>
      </c>
      <c r="D48" s="233" t="s">
        <v>1071</v>
      </c>
      <c r="E48" s="31">
        <v>939</v>
      </c>
      <c r="F48" s="216">
        <v>6.8</v>
      </c>
      <c r="G48" s="31"/>
      <c r="H48" s="217"/>
      <c r="J48" s="221"/>
    </row>
    <row r="49" spans="1:10" x14ac:dyDescent="0.2">
      <c r="A49" s="26"/>
      <c r="B49" s="26"/>
      <c r="C49" s="26" t="s">
        <v>4810</v>
      </c>
      <c r="D49" s="233" t="s">
        <v>655</v>
      </c>
      <c r="E49" s="31">
        <v>713</v>
      </c>
      <c r="F49" s="216">
        <v>24.5</v>
      </c>
      <c r="G49" s="31"/>
      <c r="H49" s="217"/>
      <c r="J49" s="221"/>
    </row>
    <row r="50" spans="1:10" x14ac:dyDescent="0.2">
      <c r="A50" s="26"/>
      <c r="B50" s="26"/>
      <c r="C50" s="26" t="s">
        <v>4568</v>
      </c>
      <c r="D50" s="233" t="s">
        <v>1072</v>
      </c>
      <c r="E50" s="31">
        <v>586</v>
      </c>
      <c r="F50" s="216">
        <v>9</v>
      </c>
      <c r="G50" s="31"/>
      <c r="H50" s="217"/>
    </row>
    <row r="51" spans="1:10" x14ac:dyDescent="0.2">
      <c r="A51" s="26"/>
      <c r="B51" s="26"/>
      <c r="C51" s="26" t="s">
        <v>2318</v>
      </c>
      <c r="D51" s="233"/>
      <c r="E51" s="218">
        <v>8329</v>
      </c>
      <c r="F51" s="219">
        <f>SUM(F47:F50)</f>
        <v>100</v>
      </c>
      <c r="G51" s="218">
        <v>14574</v>
      </c>
      <c r="H51" s="220">
        <v>57.2</v>
      </c>
    </row>
    <row r="52" spans="1:10" x14ac:dyDescent="0.2">
      <c r="A52" s="26"/>
      <c r="B52" s="26"/>
      <c r="C52" s="26" t="s">
        <v>2318</v>
      </c>
      <c r="D52" s="233"/>
      <c r="E52" s="31"/>
      <c r="F52" s="216"/>
      <c r="G52" s="31"/>
      <c r="H52" s="217"/>
    </row>
    <row r="53" spans="1:10" x14ac:dyDescent="0.2">
      <c r="A53" s="26" t="s">
        <v>1855</v>
      </c>
      <c r="B53" s="26"/>
      <c r="C53" s="214" t="s">
        <v>4551</v>
      </c>
      <c r="D53" s="233" t="s">
        <v>1736</v>
      </c>
      <c r="E53" s="31">
        <v>10867</v>
      </c>
      <c r="F53" s="216">
        <v>7.6</v>
      </c>
      <c r="G53" s="31"/>
      <c r="H53" s="217"/>
    </row>
    <row r="54" spans="1:10" x14ac:dyDescent="0.2">
      <c r="A54" s="26"/>
      <c r="B54" s="26"/>
      <c r="C54" s="26" t="s">
        <v>4811</v>
      </c>
      <c r="D54" s="233" t="s">
        <v>1072</v>
      </c>
      <c r="E54" s="31">
        <v>1634</v>
      </c>
      <c r="F54" s="216">
        <v>11.3</v>
      </c>
      <c r="G54" s="31"/>
      <c r="H54" s="217"/>
    </row>
    <row r="55" spans="1:10" x14ac:dyDescent="0.2">
      <c r="A55" s="26"/>
      <c r="B55" s="26"/>
      <c r="C55" s="26" t="s">
        <v>4812</v>
      </c>
      <c r="D55" s="233" t="s">
        <v>1071</v>
      </c>
      <c r="E55" s="31">
        <v>1119</v>
      </c>
      <c r="F55" s="216">
        <v>73.5</v>
      </c>
      <c r="G55" s="31"/>
      <c r="H55" s="217"/>
    </row>
    <row r="56" spans="1:10" x14ac:dyDescent="0.2">
      <c r="A56" s="26"/>
      <c r="B56" s="26"/>
      <c r="C56" s="26" t="s">
        <v>4813</v>
      </c>
      <c r="D56" s="233" t="s">
        <v>655</v>
      </c>
      <c r="E56" s="31">
        <v>712</v>
      </c>
      <c r="F56" s="216">
        <v>7.7</v>
      </c>
      <c r="G56" s="31"/>
      <c r="H56" s="217"/>
    </row>
    <row r="57" spans="1:10" x14ac:dyDescent="0.2">
      <c r="A57" s="26"/>
      <c r="B57" s="26"/>
      <c r="C57" s="26" t="s">
        <v>2318</v>
      </c>
      <c r="D57" s="233"/>
      <c r="E57" s="218">
        <v>14356</v>
      </c>
      <c r="F57" s="219">
        <v>100</v>
      </c>
      <c r="G57" s="218">
        <v>25674</v>
      </c>
      <c r="H57" s="220">
        <v>55.9</v>
      </c>
    </row>
    <row r="58" spans="1:10" x14ac:dyDescent="0.2">
      <c r="A58" s="26"/>
      <c r="B58" s="26"/>
      <c r="C58" s="26" t="s">
        <v>2318</v>
      </c>
      <c r="D58" s="233"/>
      <c r="E58" s="31"/>
      <c r="F58" s="216"/>
      <c r="G58" s="31"/>
      <c r="H58" s="217"/>
    </row>
    <row r="59" spans="1:10" x14ac:dyDescent="0.2">
      <c r="A59" s="26" t="s">
        <v>1860</v>
      </c>
      <c r="B59" s="26"/>
      <c r="C59" s="214" t="s">
        <v>4814</v>
      </c>
      <c r="D59" s="233" t="s">
        <v>1736</v>
      </c>
      <c r="E59" s="31">
        <v>6159</v>
      </c>
      <c r="F59" s="216">
        <v>5.9</v>
      </c>
      <c r="G59" s="31"/>
      <c r="H59" s="217"/>
    </row>
    <row r="60" spans="1:10" x14ac:dyDescent="0.2">
      <c r="A60" s="26"/>
      <c r="B60" s="26"/>
      <c r="C60" s="26" t="s">
        <v>4815</v>
      </c>
      <c r="D60" s="233" t="s">
        <v>1072</v>
      </c>
      <c r="E60" s="31">
        <v>1149</v>
      </c>
      <c r="F60" s="216">
        <v>65.900000000000006</v>
      </c>
      <c r="G60" s="31"/>
      <c r="H60" s="217"/>
    </row>
    <row r="61" spans="1:10" x14ac:dyDescent="0.2">
      <c r="A61" s="26"/>
      <c r="B61" s="26"/>
      <c r="C61" s="26" t="s">
        <v>4816</v>
      </c>
      <c r="D61" s="233" t="s">
        <v>1071</v>
      </c>
      <c r="E61" s="31">
        <v>589</v>
      </c>
      <c r="F61" s="216">
        <v>14.7</v>
      </c>
      <c r="G61" s="31"/>
      <c r="H61" s="217"/>
    </row>
    <row r="62" spans="1:10" x14ac:dyDescent="0.2">
      <c r="A62" s="26"/>
      <c r="B62" s="26"/>
      <c r="C62" s="26" t="s">
        <v>4817</v>
      </c>
      <c r="D62" s="233" t="s">
        <v>655</v>
      </c>
      <c r="E62" s="31">
        <v>449</v>
      </c>
      <c r="F62" s="216">
        <v>13.6</v>
      </c>
      <c r="G62" s="31"/>
      <c r="H62" s="217"/>
    </row>
    <row r="63" spans="1:10" x14ac:dyDescent="0.2">
      <c r="A63" s="26"/>
      <c r="B63" s="26"/>
      <c r="C63" s="26" t="s">
        <v>2318</v>
      </c>
      <c r="D63" s="233"/>
      <c r="E63" s="218">
        <v>8359</v>
      </c>
      <c r="F63" s="219">
        <v>100</v>
      </c>
      <c r="G63" s="218">
        <v>13679</v>
      </c>
      <c r="H63" s="220">
        <v>61.1</v>
      </c>
    </row>
    <row r="64" spans="1:10" x14ac:dyDescent="0.2">
      <c r="A64" s="26"/>
      <c r="B64" s="26"/>
      <c r="C64" s="26" t="s">
        <v>2318</v>
      </c>
      <c r="D64" s="233"/>
      <c r="E64" s="31"/>
      <c r="F64" s="216"/>
      <c r="G64" s="31"/>
      <c r="H64" s="217"/>
    </row>
    <row r="65" spans="1:8" x14ac:dyDescent="0.2">
      <c r="A65" s="26" t="s">
        <v>1869</v>
      </c>
      <c r="B65" s="26"/>
      <c r="C65" s="214" t="s">
        <v>4818</v>
      </c>
      <c r="D65" s="233" t="s">
        <v>1736</v>
      </c>
      <c r="E65" s="31">
        <v>10917</v>
      </c>
      <c r="F65" s="216">
        <v>8.1</v>
      </c>
      <c r="G65" s="31"/>
      <c r="H65" s="217"/>
    </row>
    <row r="66" spans="1:8" x14ac:dyDescent="0.2">
      <c r="A66" s="26"/>
      <c r="B66" s="26"/>
      <c r="C66" s="26" t="s">
        <v>4819</v>
      </c>
      <c r="D66" s="233" t="s">
        <v>1071</v>
      </c>
      <c r="E66" s="31">
        <v>2587</v>
      </c>
      <c r="F66" s="216">
        <v>6.5</v>
      </c>
      <c r="G66" s="31"/>
      <c r="H66" s="217"/>
    </row>
    <row r="67" spans="1:8" x14ac:dyDescent="0.2">
      <c r="A67" s="26"/>
      <c r="B67" s="26"/>
      <c r="C67" s="26" t="s">
        <v>4820</v>
      </c>
      <c r="D67" s="233" t="s">
        <v>655</v>
      </c>
      <c r="E67" s="31">
        <v>1366</v>
      </c>
      <c r="F67" s="216">
        <v>23.4</v>
      </c>
      <c r="G67" s="31"/>
      <c r="H67" s="217"/>
    </row>
    <row r="68" spans="1:8" x14ac:dyDescent="0.2">
      <c r="A68" s="26"/>
      <c r="B68" s="26"/>
      <c r="C68" s="26" t="s">
        <v>4821</v>
      </c>
      <c r="D68" s="233" t="s">
        <v>1072</v>
      </c>
      <c r="E68" s="31">
        <v>893</v>
      </c>
      <c r="F68" s="216"/>
      <c r="G68" s="31"/>
      <c r="H68" s="217"/>
    </row>
    <row r="69" spans="1:8" x14ac:dyDescent="0.2">
      <c r="A69" s="26"/>
      <c r="B69" s="26"/>
      <c r="C69" s="26" t="s">
        <v>4822</v>
      </c>
      <c r="D69" s="233" t="s">
        <v>1548</v>
      </c>
      <c r="E69" s="31">
        <v>324</v>
      </c>
      <c r="F69" s="216"/>
      <c r="G69" s="31"/>
      <c r="H69" s="217"/>
    </row>
    <row r="70" spans="1:8" x14ac:dyDescent="0.2">
      <c r="A70" s="26"/>
      <c r="B70" s="26"/>
      <c r="C70" s="26" t="s">
        <v>4823</v>
      </c>
      <c r="D70" s="233" t="s">
        <v>1547</v>
      </c>
      <c r="E70" s="31">
        <v>55</v>
      </c>
      <c r="F70" s="216">
        <v>62</v>
      </c>
      <c r="G70" s="31"/>
      <c r="H70" s="217"/>
    </row>
    <row r="71" spans="1:8" x14ac:dyDescent="0.2">
      <c r="A71" s="26"/>
      <c r="B71" s="26"/>
      <c r="C71" s="26" t="s">
        <v>2318</v>
      </c>
      <c r="D71" s="233"/>
      <c r="E71" s="218">
        <v>16173</v>
      </c>
      <c r="F71" s="219">
        <f>SUM(F65:F70)</f>
        <v>100</v>
      </c>
      <c r="G71" s="218">
        <v>24776</v>
      </c>
      <c r="H71" s="220">
        <v>65.3</v>
      </c>
    </row>
    <row r="72" spans="1:8" x14ac:dyDescent="0.2">
      <c r="A72" s="26"/>
      <c r="B72" s="26"/>
      <c r="C72" s="26" t="s">
        <v>2318</v>
      </c>
      <c r="D72" s="233"/>
      <c r="E72" s="31"/>
      <c r="F72" s="216"/>
      <c r="G72" s="31"/>
      <c r="H72" s="217"/>
    </row>
    <row r="73" spans="1:8" x14ac:dyDescent="0.2">
      <c r="A73" s="26" t="s">
        <v>3211</v>
      </c>
      <c r="B73" s="26"/>
      <c r="C73" s="214" t="s">
        <v>4824</v>
      </c>
      <c r="D73" s="233" t="s">
        <v>1736</v>
      </c>
      <c r="E73" s="31">
        <v>10641</v>
      </c>
      <c r="F73" s="216">
        <v>3</v>
      </c>
      <c r="G73" s="31"/>
      <c r="H73" s="217"/>
    </row>
    <row r="74" spans="1:8" x14ac:dyDescent="0.2">
      <c r="A74" s="26"/>
      <c r="B74" s="26"/>
      <c r="C74" s="26" t="s">
        <v>3121</v>
      </c>
      <c r="D74" s="233" t="s">
        <v>1072</v>
      </c>
      <c r="E74" s="31">
        <v>4166</v>
      </c>
      <c r="F74" s="216">
        <v>8.6999999999999993</v>
      </c>
      <c r="G74" s="31"/>
      <c r="H74" s="217"/>
    </row>
    <row r="75" spans="1:8" x14ac:dyDescent="0.2">
      <c r="A75" s="26"/>
      <c r="B75" s="26"/>
      <c r="C75" s="26" t="s">
        <v>4825</v>
      </c>
      <c r="D75" s="233" t="s">
        <v>1071</v>
      </c>
      <c r="E75" s="31">
        <v>838</v>
      </c>
      <c r="F75" s="216">
        <v>55.8</v>
      </c>
      <c r="G75" s="31"/>
      <c r="H75" s="217"/>
    </row>
    <row r="76" spans="1:8" x14ac:dyDescent="0.2">
      <c r="A76" s="26"/>
      <c r="B76" s="26"/>
      <c r="C76" s="26" t="s">
        <v>4826</v>
      </c>
      <c r="D76" s="233" t="s">
        <v>655</v>
      </c>
      <c r="E76" s="31">
        <v>498</v>
      </c>
      <c r="F76" s="216">
        <v>32.5</v>
      </c>
      <c r="G76" s="31"/>
      <c r="H76" s="217"/>
    </row>
    <row r="77" spans="1:8" x14ac:dyDescent="0.2">
      <c r="A77" s="26"/>
      <c r="B77" s="26"/>
      <c r="C77" s="26" t="s">
        <v>2318</v>
      </c>
      <c r="D77" s="233"/>
      <c r="E77" s="218">
        <v>16159</v>
      </c>
      <c r="F77" s="219">
        <f>SUM(F73:F76)</f>
        <v>100</v>
      </c>
      <c r="G77" s="218">
        <v>25133</v>
      </c>
      <c r="H77" s="220">
        <v>64.3</v>
      </c>
    </row>
    <row r="78" spans="1:8" x14ac:dyDescent="0.2">
      <c r="A78" s="26"/>
      <c r="B78" s="26"/>
      <c r="C78" s="26" t="s">
        <v>2318</v>
      </c>
      <c r="D78" s="233"/>
      <c r="E78" s="31"/>
      <c r="F78" s="216"/>
      <c r="G78" s="31"/>
      <c r="H78" s="217"/>
    </row>
    <row r="79" spans="1:8" x14ac:dyDescent="0.2">
      <c r="A79" s="26" t="s">
        <v>3220</v>
      </c>
      <c r="B79" s="26"/>
      <c r="C79" s="214" t="s">
        <v>4570</v>
      </c>
      <c r="D79" s="233" t="s">
        <v>1736</v>
      </c>
      <c r="E79" s="31">
        <v>9102</v>
      </c>
      <c r="F79" s="216">
        <v>6.2</v>
      </c>
      <c r="G79" s="31"/>
      <c r="H79" s="217"/>
    </row>
    <row r="80" spans="1:8" x14ac:dyDescent="0.2">
      <c r="A80" s="26"/>
      <c r="B80" s="26"/>
      <c r="C80" s="26" t="s">
        <v>4827</v>
      </c>
      <c r="D80" s="233" t="s">
        <v>1071</v>
      </c>
      <c r="E80" s="31">
        <v>3397</v>
      </c>
      <c r="F80" s="216">
        <v>7.5</v>
      </c>
      <c r="G80" s="31"/>
      <c r="H80" s="217"/>
    </row>
    <row r="81" spans="1:8" x14ac:dyDescent="0.2">
      <c r="A81" s="26"/>
      <c r="B81" s="26"/>
      <c r="C81" s="26" t="s">
        <v>4828</v>
      </c>
      <c r="D81" s="233" t="s">
        <v>655</v>
      </c>
      <c r="E81" s="31">
        <v>997</v>
      </c>
      <c r="F81" s="216">
        <v>70.5</v>
      </c>
      <c r="G81" s="31"/>
      <c r="H81" s="217"/>
    </row>
    <row r="82" spans="1:8" x14ac:dyDescent="0.2">
      <c r="A82" s="26"/>
      <c r="B82" s="26"/>
      <c r="C82" s="26" t="s">
        <v>4829</v>
      </c>
      <c r="D82" s="233" t="s">
        <v>1072</v>
      </c>
      <c r="E82" s="31">
        <v>440</v>
      </c>
      <c r="F82" s="216">
        <v>0.2</v>
      </c>
      <c r="G82" s="31"/>
      <c r="H82" s="217"/>
    </row>
    <row r="83" spans="1:8" x14ac:dyDescent="0.2">
      <c r="A83" s="26"/>
      <c r="B83" s="26"/>
      <c r="C83" s="26" t="s">
        <v>4830</v>
      </c>
      <c r="D83" s="233" t="s">
        <v>1547</v>
      </c>
      <c r="E83" s="31">
        <v>46</v>
      </c>
      <c r="F83" s="216">
        <v>15.7</v>
      </c>
      <c r="G83" s="31"/>
      <c r="H83" s="217"/>
    </row>
    <row r="84" spans="1:8" x14ac:dyDescent="0.2">
      <c r="A84" s="26"/>
      <c r="B84" s="26"/>
      <c r="C84" s="26" t="s">
        <v>2318</v>
      </c>
      <c r="D84" s="233"/>
      <c r="E84" s="218">
        <v>14023</v>
      </c>
      <c r="F84" s="219">
        <v>100</v>
      </c>
      <c r="G84" s="218">
        <v>27668</v>
      </c>
      <c r="H84" s="220">
        <v>50.7</v>
      </c>
    </row>
    <row r="85" spans="1:8" x14ac:dyDescent="0.2">
      <c r="A85" s="26"/>
      <c r="B85" s="26"/>
      <c r="C85" s="26" t="s">
        <v>2318</v>
      </c>
      <c r="D85" s="233"/>
      <c r="E85" s="31"/>
      <c r="F85" s="216"/>
      <c r="G85" s="31"/>
      <c r="H85" s="217"/>
    </row>
    <row r="86" spans="1:8" x14ac:dyDescent="0.2">
      <c r="A86" s="26" t="s">
        <v>1414</v>
      </c>
      <c r="B86" s="26"/>
      <c r="C86" s="214" t="s">
        <v>1886</v>
      </c>
      <c r="D86" s="233" t="s">
        <v>1736</v>
      </c>
      <c r="E86" s="31">
        <v>8586</v>
      </c>
      <c r="F86" s="216">
        <v>9.4</v>
      </c>
      <c r="G86" s="31"/>
      <c r="H86" s="217"/>
    </row>
    <row r="87" spans="1:8" x14ac:dyDescent="0.2">
      <c r="A87" s="26"/>
      <c r="B87" s="26"/>
      <c r="C87" s="26" t="s">
        <v>1196</v>
      </c>
      <c r="D87" s="233" t="s">
        <v>655</v>
      </c>
      <c r="E87" s="31">
        <v>1747</v>
      </c>
      <c r="F87" s="216">
        <v>5.7</v>
      </c>
      <c r="G87" s="31"/>
      <c r="H87" s="217"/>
    </row>
    <row r="88" spans="1:8" x14ac:dyDescent="0.2">
      <c r="A88" s="26"/>
      <c r="B88" s="26"/>
      <c r="C88" s="26" t="s">
        <v>4831</v>
      </c>
      <c r="D88" s="233" t="s">
        <v>1071</v>
      </c>
      <c r="E88" s="31">
        <v>1572</v>
      </c>
      <c r="F88" s="216">
        <v>23</v>
      </c>
      <c r="G88" s="31"/>
      <c r="H88" s="217"/>
    </row>
    <row r="89" spans="1:8" x14ac:dyDescent="0.2">
      <c r="A89" s="26"/>
      <c r="B89" s="26"/>
      <c r="C89" s="26" t="s">
        <v>4832</v>
      </c>
      <c r="D89" s="233" t="s">
        <v>1072</v>
      </c>
      <c r="E89" s="31">
        <v>743</v>
      </c>
      <c r="F89" s="216">
        <v>62</v>
      </c>
      <c r="G89" s="31"/>
      <c r="H89" s="217"/>
    </row>
    <row r="90" spans="1:8" x14ac:dyDescent="0.2">
      <c r="A90" s="26"/>
      <c r="B90" s="26"/>
      <c r="C90" s="26" t="s">
        <v>2318</v>
      </c>
      <c r="D90" s="233"/>
      <c r="E90" s="218">
        <v>12663</v>
      </c>
      <c r="F90" s="219">
        <f>SUM(F86:F89)</f>
        <v>100.1</v>
      </c>
      <c r="G90" s="218">
        <v>21556</v>
      </c>
      <c r="H90" s="220">
        <v>58.7</v>
      </c>
    </row>
    <row r="91" spans="1:8" x14ac:dyDescent="0.2">
      <c r="A91" s="26"/>
      <c r="B91" s="26"/>
      <c r="C91" s="26" t="s">
        <v>2318</v>
      </c>
      <c r="D91" s="233"/>
      <c r="E91" s="31"/>
      <c r="F91" s="216"/>
      <c r="G91" s="31"/>
      <c r="H91" s="217"/>
    </row>
    <row r="92" spans="1:8" x14ac:dyDescent="0.2">
      <c r="A92" s="26" t="s">
        <v>1416</v>
      </c>
      <c r="B92" s="26"/>
      <c r="C92" s="214" t="s">
        <v>4833</v>
      </c>
      <c r="D92" s="222" t="s">
        <v>1736</v>
      </c>
      <c r="E92" s="31">
        <v>4978</v>
      </c>
      <c r="F92" s="216">
        <v>62.1</v>
      </c>
      <c r="G92" s="31"/>
      <c r="H92" s="217"/>
    </row>
    <row r="93" spans="1:8" x14ac:dyDescent="0.2">
      <c r="A93" s="26"/>
      <c r="B93" s="26"/>
      <c r="C93" s="26" t="s">
        <v>4577</v>
      </c>
      <c r="D93" s="233" t="s">
        <v>1071</v>
      </c>
      <c r="E93" s="31">
        <v>2114</v>
      </c>
      <c r="F93" s="216">
        <v>5.0999999999999996</v>
      </c>
      <c r="G93" s="31"/>
      <c r="H93" s="217"/>
    </row>
    <row r="94" spans="1:8" x14ac:dyDescent="0.2">
      <c r="A94" s="26"/>
      <c r="B94" s="26"/>
      <c r="C94" s="26" t="s">
        <v>2333</v>
      </c>
      <c r="D94" s="233" t="s">
        <v>655</v>
      </c>
      <c r="E94" s="31">
        <v>940</v>
      </c>
      <c r="F94" s="216"/>
      <c r="G94" s="31"/>
      <c r="H94" s="217"/>
    </row>
    <row r="95" spans="1:8" x14ac:dyDescent="0.2">
      <c r="A95" s="26"/>
      <c r="B95" s="26"/>
      <c r="C95" s="26" t="s">
        <v>4834</v>
      </c>
      <c r="D95" s="233" t="s">
        <v>1072</v>
      </c>
      <c r="E95" s="31">
        <v>512</v>
      </c>
      <c r="F95" s="216"/>
      <c r="G95" s="31"/>
      <c r="H95" s="217"/>
    </row>
    <row r="96" spans="1:8" x14ac:dyDescent="0.2">
      <c r="A96" s="26"/>
      <c r="B96" s="26"/>
      <c r="C96" s="26" t="s">
        <v>4835</v>
      </c>
      <c r="D96" s="233" t="s">
        <v>1547</v>
      </c>
      <c r="E96" s="31">
        <v>43</v>
      </c>
      <c r="F96" s="216">
        <v>23.7</v>
      </c>
      <c r="G96" s="31"/>
      <c r="H96" s="217"/>
    </row>
    <row r="97" spans="1:8" x14ac:dyDescent="0.2">
      <c r="A97" s="26"/>
      <c r="B97" s="26"/>
      <c r="C97" s="26" t="s">
        <v>4635</v>
      </c>
      <c r="D97" s="233" t="s">
        <v>653</v>
      </c>
      <c r="E97" s="31">
        <v>21</v>
      </c>
      <c r="F97" s="216">
        <v>9.1999999999999993</v>
      </c>
      <c r="G97" s="31"/>
      <c r="H97" s="217"/>
    </row>
    <row r="98" spans="1:8" x14ac:dyDescent="0.2">
      <c r="A98" s="26"/>
      <c r="B98" s="26"/>
      <c r="C98" s="26" t="s">
        <v>2318</v>
      </c>
      <c r="D98" s="26"/>
      <c r="E98" s="218">
        <v>8649</v>
      </c>
      <c r="F98" s="219">
        <v>100</v>
      </c>
      <c r="G98" s="218">
        <v>17394</v>
      </c>
      <c r="H98" s="220">
        <v>49.7</v>
      </c>
    </row>
    <row r="99" spans="1:8" x14ac:dyDescent="0.2">
      <c r="A99" s="26"/>
      <c r="B99" s="26"/>
      <c r="C99" s="26" t="s">
        <v>2318</v>
      </c>
      <c r="D99" s="26"/>
      <c r="E99" s="31"/>
      <c r="F99" s="216"/>
      <c r="G99" s="31"/>
      <c r="H99" s="217"/>
    </row>
    <row r="100" spans="1:8" x14ac:dyDescent="0.2">
      <c r="A100" s="26" t="s">
        <v>3231</v>
      </c>
      <c r="B100" s="26"/>
      <c r="C100" s="214" t="s">
        <v>4836</v>
      </c>
      <c r="D100" s="233" t="s">
        <v>1736</v>
      </c>
      <c r="E100" s="31">
        <v>3800</v>
      </c>
      <c r="F100" s="216">
        <v>8.6</v>
      </c>
      <c r="G100" s="31"/>
      <c r="H100" s="217"/>
    </row>
    <row r="101" spans="1:8" x14ac:dyDescent="0.2">
      <c r="A101" s="26"/>
      <c r="B101" s="26"/>
      <c r="C101" s="26" t="s">
        <v>1149</v>
      </c>
      <c r="D101" s="233" t="s">
        <v>1071</v>
      </c>
      <c r="E101" s="31">
        <v>2114</v>
      </c>
      <c r="F101" s="216">
        <v>54.9</v>
      </c>
      <c r="G101" s="31"/>
      <c r="H101" s="217"/>
    </row>
    <row r="102" spans="1:8" x14ac:dyDescent="0.2">
      <c r="A102" s="26"/>
      <c r="B102" s="26"/>
      <c r="C102" s="26" t="s">
        <v>4837</v>
      </c>
      <c r="D102" s="233" t="s">
        <v>655</v>
      </c>
      <c r="E102" s="31">
        <v>725</v>
      </c>
      <c r="F102" s="216"/>
      <c r="G102" s="31"/>
      <c r="H102" s="217"/>
    </row>
    <row r="103" spans="1:8" x14ac:dyDescent="0.2">
      <c r="A103" s="26"/>
      <c r="B103" s="26"/>
      <c r="C103" s="26" t="s">
        <v>4565</v>
      </c>
      <c r="D103" s="233" t="s">
        <v>1072</v>
      </c>
      <c r="E103" s="31">
        <v>576</v>
      </c>
      <c r="F103" s="216">
        <v>21</v>
      </c>
      <c r="G103" s="31"/>
      <c r="H103" s="217"/>
    </row>
    <row r="104" spans="1:8" x14ac:dyDescent="0.2">
      <c r="A104" s="26"/>
      <c r="B104" s="26"/>
      <c r="C104" s="26" t="s">
        <v>2334</v>
      </c>
      <c r="D104" s="233" t="s">
        <v>1547</v>
      </c>
      <c r="E104" s="31">
        <v>56</v>
      </c>
      <c r="F104" s="216">
        <v>15.5</v>
      </c>
      <c r="G104" s="31"/>
      <c r="H104" s="217"/>
    </row>
    <row r="105" spans="1:8" x14ac:dyDescent="0.2">
      <c r="A105" s="26"/>
      <c r="B105" s="26"/>
      <c r="C105" s="26" t="s">
        <v>2318</v>
      </c>
      <c r="D105" s="233"/>
      <c r="E105" s="218">
        <v>7793</v>
      </c>
      <c r="F105" s="219">
        <f>SUM(F100:F104)</f>
        <v>100</v>
      </c>
      <c r="G105" s="218">
        <v>14225</v>
      </c>
      <c r="H105" s="220">
        <v>54.8</v>
      </c>
    </row>
    <row r="106" spans="1:8" x14ac:dyDescent="0.2">
      <c r="A106" s="26"/>
      <c r="B106" s="26"/>
      <c r="C106" s="26" t="s">
        <v>2318</v>
      </c>
      <c r="D106" s="233"/>
      <c r="E106" s="31"/>
      <c r="F106" s="216"/>
      <c r="G106" s="31"/>
      <c r="H106" s="217"/>
    </row>
    <row r="107" spans="1:8" x14ac:dyDescent="0.2">
      <c r="A107" s="26" t="s">
        <v>3235</v>
      </c>
      <c r="B107" s="26"/>
      <c r="C107" s="214" t="s">
        <v>4838</v>
      </c>
      <c r="D107" s="233" t="s">
        <v>1736</v>
      </c>
      <c r="E107" s="31">
        <v>6673</v>
      </c>
      <c r="F107" s="216">
        <v>7.2</v>
      </c>
      <c r="G107" s="31"/>
      <c r="H107" s="217"/>
    </row>
    <row r="108" spans="1:8" x14ac:dyDescent="0.2">
      <c r="A108" s="26"/>
      <c r="B108" s="26"/>
      <c r="C108" s="26" t="s">
        <v>4839</v>
      </c>
      <c r="D108" s="233" t="s">
        <v>1071</v>
      </c>
      <c r="E108" s="31">
        <v>2562</v>
      </c>
      <c r="F108" s="216">
        <v>0.7</v>
      </c>
      <c r="G108" s="31"/>
      <c r="H108" s="217"/>
    </row>
    <row r="109" spans="1:8" x14ac:dyDescent="0.2">
      <c r="A109" s="26"/>
      <c r="B109" s="26"/>
      <c r="C109" s="26" t="s">
        <v>4840</v>
      </c>
      <c r="D109" s="233" t="s">
        <v>655</v>
      </c>
      <c r="E109" s="31">
        <v>723</v>
      </c>
      <c r="F109" s="216">
        <v>10.1</v>
      </c>
      <c r="G109" s="31"/>
      <c r="H109" s="217"/>
    </row>
    <row r="110" spans="1:8" x14ac:dyDescent="0.2">
      <c r="A110" s="26"/>
      <c r="B110" s="26"/>
      <c r="C110" s="26" t="s">
        <v>4841</v>
      </c>
      <c r="D110" s="233" t="s">
        <v>1072</v>
      </c>
      <c r="E110" s="31">
        <v>584</v>
      </c>
      <c r="F110" s="216">
        <v>64.8</v>
      </c>
      <c r="G110" s="31"/>
      <c r="H110" s="217"/>
    </row>
    <row r="111" spans="1:8" x14ac:dyDescent="0.2">
      <c r="A111" s="26"/>
      <c r="B111" s="26"/>
      <c r="C111" s="26" t="s">
        <v>4842</v>
      </c>
      <c r="D111" s="233" t="s">
        <v>1547</v>
      </c>
      <c r="E111" s="31">
        <v>60</v>
      </c>
      <c r="F111" s="216">
        <v>17.3</v>
      </c>
      <c r="G111" s="31"/>
      <c r="H111" s="217"/>
    </row>
    <row r="112" spans="1:8" x14ac:dyDescent="0.2">
      <c r="A112" s="26"/>
      <c r="B112" s="26"/>
      <c r="C112" s="26" t="s">
        <v>2318</v>
      </c>
      <c r="D112" s="233"/>
      <c r="E112" s="218">
        <v>9464</v>
      </c>
      <c r="F112" s="219">
        <v>100</v>
      </c>
      <c r="G112" s="218">
        <v>15357</v>
      </c>
      <c r="H112" s="220">
        <v>61.6</v>
      </c>
    </row>
    <row r="113" spans="1:10" x14ac:dyDescent="0.2">
      <c r="A113" s="26"/>
      <c r="B113" s="26"/>
      <c r="C113" s="26" t="s">
        <v>2318</v>
      </c>
      <c r="D113" s="233"/>
      <c r="E113" s="31"/>
      <c r="F113" s="216"/>
      <c r="G113" s="31"/>
      <c r="H113" s="217"/>
    </row>
    <row r="114" spans="1:10" x14ac:dyDescent="0.2">
      <c r="A114" s="26" t="s">
        <v>1188</v>
      </c>
      <c r="B114" s="26"/>
      <c r="C114" s="214" t="s">
        <v>1889</v>
      </c>
      <c r="D114" s="233" t="s">
        <v>1736</v>
      </c>
      <c r="E114" s="31">
        <v>8983</v>
      </c>
      <c r="F114" s="216">
        <v>3.8</v>
      </c>
      <c r="G114" s="31"/>
      <c r="H114" s="217"/>
    </row>
    <row r="115" spans="1:10" x14ac:dyDescent="0.2">
      <c r="A115" s="26"/>
      <c r="B115" s="26"/>
      <c r="C115" s="26" t="s">
        <v>4843</v>
      </c>
      <c r="D115" s="233" t="s">
        <v>1071</v>
      </c>
      <c r="E115" s="31">
        <v>1213</v>
      </c>
      <c r="F115" s="216">
        <v>8.6999999999999993</v>
      </c>
      <c r="G115" s="31"/>
      <c r="H115" s="217"/>
    </row>
    <row r="116" spans="1:10" x14ac:dyDescent="0.2">
      <c r="A116" s="26"/>
      <c r="B116" s="26"/>
      <c r="C116" s="26" t="s">
        <v>4566</v>
      </c>
      <c r="D116" s="233" t="s">
        <v>655</v>
      </c>
      <c r="E116" s="31">
        <v>674</v>
      </c>
      <c r="F116" s="216">
        <v>8.1</v>
      </c>
      <c r="G116" s="31"/>
      <c r="H116" s="217"/>
    </row>
    <row r="117" spans="1:10" x14ac:dyDescent="0.2">
      <c r="A117" s="26"/>
      <c r="B117" s="26"/>
      <c r="C117" s="26" t="s">
        <v>4844</v>
      </c>
      <c r="D117" s="233" t="s">
        <v>1072</v>
      </c>
      <c r="E117" s="31">
        <v>564</v>
      </c>
      <c r="F117" s="216">
        <v>6.5</v>
      </c>
      <c r="G117" s="31"/>
      <c r="H117" s="217"/>
    </row>
    <row r="118" spans="1:10" x14ac:dyDescent="0.2">
      <c r="A118" s="26"/>
      <c r="B118" s="26"/>
      <c r="C118" s="26" t="s">
        <v>2318</v>
      </c>
      <c r="D118" s="233"/>
      <c r="E118" s="218">
        <v>11476</v>
      </c>
      <c r="F118" s="219">
        <f>SUM(F114:F117)</f>
        <v>27.1</v>
      </c>
      <c r="G118" s="218">
        <v>17624</v>
      </c>
      <c r="H118" s="220">
        <v>65.099999999999994</v>
      </c>
    </row>
    <row r="119" spans="1:10" x14ac:dyDescent="0.2">
      <c r="A119" s="26"/>
      <c r="B119" s="26"/>
      <c r="C119" s="26" t="s">
        <v>2318</v>
      </c>
      <c r="D119" s="233"/>
      <c r="E119" s="31"/>
      <c r="F119" s="216"/>
      <c r="G119" s="31"/>
      <c r="H119" s="217"/>
    </row>
    <row r="120" spans="1:10" x14ac:dyDescent="0.2">
      <c r="A120" s="26" t="s">
        <v>1125</v>
      </c>
      <c r="B120" s="26"/>
      <c r="C120" s="214" t="s">
        <v>2335</v>
      </c>
      <c r="D120" s="233" t="s">
        <v>1736</v>
      </c>
      <c r="E120" s="31">
        <v>6483</v>
      </c>
      <c r="F120" s="216">
        <v>14.2</v>
      </c>
      <c r="G120" s="31"/>
      <c r="H120" s="217"/>
    </row>
    <row r="121" spans="1:10" x14ac:dyDescent="0.2">
      <c r="A121" s="26"/>
      <c r="B121" s="26"/>
      <c r="C121" s="26" t="s">
        <v>4845</v>
      </c>
      <c r="D121" s="233" t="s">
        <v>1071</v>
      </c>
      <c r="E121" s="31">
        <v>1213</v>
      </c>
      <c r="F121" s="216">
        <v>2.1</v>
      </c>
      <c r="G121" s="31"/>
      <c r="H121" s="217"/>
    </row>
    <row r="122" spans="1:10" x14ac:dyDescent="0.2">
      <c r="A122" s="26"/>
      <c r="B122" s="26"/>
      <c r="C122" s="26" t="s">
        <v>4846</v>
      </c>
      <c r="D122" s="233" t="s">
        <v>655</v>
      </c>
      <c r="E122" s="31">
        <v>1141</v>
      </c>
      <c r="F122" s="216">
        <v>23.5</v>
      </c>
      <c r="G122" s="31"/>
      <c r="H122" s="217"/>
      <c r="J122" s="221"/>
    </row>
    <row r="123" spans="1:10" x14ac:dyDescent="0.2">
      <c r="A123" s="26"/>
      <c r="B123" s="26"/>
      <c r="C123" s="26" t="s">
        <v>2318</v>
      </c>
      <c r="D123" s="233"/>
      <c r="E123" s="218">
        <v>8954</v>
      </c>
      <c r="F123" s="219">
        <f>SUM(F120:F122)</f>
        <v>39.799999999999997</v>
      </c>
      <c r="G123" s="218">
        <v>12782</v>
      </c>
      <c r="H123" s="220">
        <v>70.099999999999994</v>
      </c>
    </row>
    <row r="124" spans="1:10" x14ac:dyDescent="0.2">
      <c r="A124" s="26"/>
      <c r="B124" s="26"/>
      <c r="C124" s="26" t="s">
        <v>2318</v>
      </c>
      <c r="D124" s="233"/>
      <c r="E124" s="31"/>
      <c r="F124" s="216"/>
      <c r="G124" s="31"/>
      <c r="H124" s="217"/>
    </row>
    <row r="125" spans="1:10" x14ac:dyDescent="0.2">
      <c r="A125" s="26" t="s">
        <v>1427</v>
      </c>
      <c r="B125" s="26"/>
      <c r="C125" s="214" t="s">
        <v>1890</v>
      </c>
      <c r="D125" s="233" t="s">
        <v>1736</v>
      </c>
      <c r="E125" s="31">
        <v>2899</v>
      </c>
      <c r="F125" s="216">
        <v>2</v>
      </c>
      <c r="G125" s="31"/>
      <c r="H125" s="217"/>
    </row>
    <row r="126" spans="1:10" x14ac:dyDescent="0.2">
      <c r="A126" s="26"/>
      <c r="B126" s="26"/>
      <c r="C126" s="26" t="s">
        <v>4847</v>
      </c>
      <c r="D126" s="233" t="s">
        <v>1071</v>
      </c>
      <c r="E126" s="31">
        <v>1826</v>
      </c>
      <c r="F126" s="216">
        <v>2.2000000000000002</v>
      </c>
      <c r="G126" s="31"/>
      <c r="H126" s="217"/>
    </row>
    <row r="127" spans="1:10" x14ac:dyDescent="0.2">
      <c r="A127" s="26"/>
      <c r="B127" s="26"/>
      <c r="C127" s="26" t="s">
        <v>4848</v>
      </c>
      <c r="D127" s="233" t="s">
        <v>655</v>
      </c>
      <c r="E127" s="31">
        <v>115</v>
      </c>
      <c r="F127" s="216">
        <v>54</v>
      </c>
      <c r="G127" s="31"/>
      <c r="H127" s="217"/>
    </row>
    <row r="128" spans="1:10" x14ac:dyDescent="0.2">
      <c r="A128" s="26"/>
      <c r="B128" s="26"/>
      <c r="C128" s="26" t="s">
        <v>2318</v>
      </c>
      <c r="D128" s="233"/>
      <c r="E128" s="218">
        <v>4850</v>
      </c>
      <c r="F128" s="219">
        <v>100</v>
      </c>
      <c r="G128" s="218">
        <v>8538</v>
      </c>
      <c r="H128" s="220">
        <v>56.8</v>
      </c>
    </row>
    <row r="129" spans="1:8" x14ac:dyDescent="0.2">
      <c r="A129" s="26"/>
      <c r="B129" s="26"/>
      <c r="C129" s="26" t="s">
        <v>2318</v>
      </c>
      <c r="D129" s="233"/>
      <c r="E129" s="31"/>
      <c r="F129" s="216"/>
      <c r="G129" s="31"/>
      <c r="H129" s="217"/>
    </row>
    <row r="130" spans="1:8" x14ac:dyDescent="0.2">
      <c r="A130" s="26" t="s">
        <v>1430</v>
      </c>
      <c r="B130" s="26"/>
      <c r="C130" s="214" t="s">
        <v>4849</v>
      </c>
      <c r="D130" s="233" t="s">
        <v>1071</v>
      </c>
      <c r="E130" s="31">
        <v>5151</v>
      </c>
      <c r="F130" s="216">
        <v>53.4</v>
      </c>
      <c r="G130" s="31"/>
      <c r="H130" s="217"/>
    </row>
    <row r="131" spans="1:8" x14ac:dyDescent="0.2">
      <c r="A131" s="26"/>
      <c r="B131" s="26"/>
      <c r="C131" s="26" t="s">
        <v>4850</v>
      </c>
      <c r="D131" s="233" t="s">
        <v>1736</v>
      </c>
      <c r="E131" s="31">
        <v>3211</v>
      </c>
      <c r="F131" s="216">
        <v>1.9</v>
      </c>
      <c r="G131" s="31"/>
      <c r="H131" s="217"/>
    </row>
    <row r="132" spans="1:8" x14ac:dyDescent="0.2">
      <c r="A132" s="26"/>
      <c r="B132" s="26"/>
      <c r="C132" s="26" t="s">
        <v>4851</v>
      </c>
      <c r="D132" s="233" t="s">
        <v>655</v>
      </c>
      <c r="E132" s="31">
        <v>799</v>
      </c>
      <c r="F132" s="216">
        <v>9.8000000000000007</v>
      </c>
      <c r="G132" s="31"/>
      <c r="H132" s="217"/>
    </row>
    <row r="133" spans="1:8" x14ac:dyDescent="0.2">
      <c r="A133" s="26"/>
      <c r="B133" s="26"/>
      <c r="C133" s="26" t="s">
        <v>4852</v>
      </c>
      <c r="D133" s="233" t="s">
        <v>1072</v>
      </c>
      <c r="E133" s="31">
        <v>197</v>
      </c>
      <c r="F133" s="216">
        <v>35</v>
      </c>
      <c r="G133" s="31"/>
      <c r="H133" s="217"/>
    </row>
    <row r="134" spans="1:8" x14ac:dyDescent="0.2">
      <c r="A134" s="26"/>
      <c r="B134" s="26"/>
      <c r="C134" s="26" t="s">
        <v>2318</v>
      </c>
      <c r="D134" s="233"/>
      <c r="E134" s="218">
        <v>9382</v>
      </c>
      <c r="F134" s="219">
        <v>100</v>
      </c>
      <c r="G134" s="218">
        <v>14341</v>
      </c>
      <c r="H134" s="220">
        <v>65.400000000000006</v>
      </c>
    </row>
    <row r="135" spans="1:8" x14ac:dyDescent="0.2">
      <c r="A135" s="26"/>
      <c r="B135" s="26"/>
      <c r="C135" s="26" t="s">
        <v>2318</v>
      </c>
      <c r="D135" s="233"/>
      <c r="E135" s="31"/>
      <c r="F135" s="216"/>
      <c r="G135" s="31"/>
      <c r="H135" s="217"/>
    </row>
    <row r="136" spans="1:8" x14ac:dyDescent="0.2">
      <c r="A136" s="26" t="s">
        <v>2268</v>
      </c>
      <c r="B136" s="26"/>
      <c r="C136" s="214" t="s">
        <v>1892</v>
      </c>
      <c r="D136" s="233" t="s">
        <v>1736</v>
      </c>
      <c r="E136" s="31">
        <v>2065</v>
      </c>
      <c r="F136" s="216">
        <v>32.4</v>
      </c>
      <c r="G136" s="31"/>
      <c r="H136" s="217"/>
    </row>
    <row r="137" spans="1:8" x14ac:dyDescent="0.2">
      <c r="A137" s="26"/>
      <c r="B137" s="26"/>
      <c r="C137" s="26" t="s">
        <v>4853</v>
      </c>
      <c r="D137" s="233" t="s">
        <v>1071</v>
      </c>
      <c r="E137" s="31">
        <v>1447</v>
      </c>
      <c r="F137" s="216">
        <v>57</v>
      </c>
      <c r="G137" s="31"/>
      <c r="H137" s="217"/>
    </row>
    <row r="138" spans="1:8" x14ac:dyDescent="0.2">
      <c r="A138" s="26"/>
      <c r="B138" s="26"/>
      <c r="C138" s="26" t="s">
        <v>2336</v>
      </c>
      <c r="D138" s="233" t="s">
        <v>655</v>
      </c>
      <c r="E138" s="31">
        <v>202</v>
      </c>
      <c r="F138" s="216">
        <v>2.1</v>
      </c>
      <c r="G138" s="31"/>
      <c r="H138" s="217"/>
    </row>
    <row r="139" spans="1:8" x14ac:dyDescent="0.2">
      <c r="A139" s="26"/>
      <c r="B139" s="26"/>
      <c r="C139" s="26" t="s">
        <v>4854</v>
      </c>
      <c r="D139" s="233" t="s">
        <v>653</v>
      </c>
      <c r="E139" s="31">
        <v>159</v>
      </c>
      <c r="F139" s="216">
        <v>8.5</v>
      </c>
      <c r="G139" s="31"/>
      <c r="H139" s="217"/>
    </row>
    <row r="140" spans="1:8" x14ac:dyDescent="0.2">
      <c r="A140" s="26"/>
      <c r="B140" s="26"/>
      <c r="C140" s="26" t="s">
        <v>2318</v>
      </c>
      <c r="D140" s="233"/>
      <c r="E140" s="218">
        <v>3881</v>
      </c>
      <c r="F140" s="219">
        <f>SUM(F136:F139)</f>
        <v>100</v>
      </c>
      <c r="G140" s="218">
        <v>5741</v>
      </c>
      <c r="H140" s="220">
        <v>67.099999999999994</v>
      </c>
    </row>
    <row r="141" spans="1:8" x14ac:dyDescent="0.2">
      <c r="A141" s="26"/>
      <c r="B141" s="26"/>
      <c r="C141" s="26" t="s">
        <v>2318</v>
      </c>
      <c r="D141" s="233"/>
      <c r="E141" s="31"/>
      <c r="F141" s="216"/>
      <c r="G141" s="31"/>
      <c r="H141" s="217"/>
    </row>
    <row r="142" spans="1:8" x14ac:dyDescent="0.2">
      <c r="A142" s="26" t="s">
        <v>1434</v>
      </c>
      <c r="B142" s="26"/>
      <c r="C142" s="214" t="s">
        <v>4855</v>
      </c>
      <c r="D142" s="233" t="s">
        <v>1736</v>
      </c>
      <c r="E142" s="31">
        <v>3224</v>
      </c>
      <c r="F142" s="216">
        <v>57</v>
      </c>
      <c r="G142" s="31"/>
      <c r="H142" s="217"/>
    </row>
    <row r="143" spans="1:8" x14ac:dyDescent="0.2">
      <c r="A143" s="26"/>
      <c r="B143" s="26"/>
      <c r="C143" s="26" t="s">
        <v>4856</v>
      </c>
      <c r="D143" s="233" t="s">
        <v>655</v>
      </c>
      <c r="E143" s="31">
        <v>815</v>
      </c>
      <c r="F143" s="216">
        <v>20.8</v>
      </c>
      <c r="G143" s="31"/>
      <c r="H143" s="217"/>
    </row>
    <row r="144" spans="1:8" x14ac:dyDescent="0.2">
      <c r="A144" s="26"/>
      <c r="B144" s="26"/>
      <c r="C144" s="26" t="s">
        <v>4857</v>
      </c>
      <c r="D144" s="233" t="s">
        <v>1071</v>
      </c>
      <c r="E144" s="31">
        <v>513</v>
      </c>
      <c r="F144" s="216">
        <v>1.5</v>
      </c>
      <c r="G144" s="31"/>
      <c r="H144" s="217"/>
    </row>
    <row r="145" spans="1:8" x14ac:dyDescent="0.2">
      <c r="A145" s="26"/>
      <c r="B145" s="26"/>
      <c r="C145" s="26" t="s">
        <v>4858</v>
      </c>
      <c r="D145" s="233" t="s">
        <v>1072</v>
      </c>
      <c r="E145" s="31">
        <v>191</v>
      </c>
      <c r="F145" s="216">
        <v>20.7</v>
      </c>
      <c r="G145" s="31"/>
      <c r="H145" s="217"/>
    </row>
    <row r="146" spans="1:8" x14ac:dyDescent="0.2">
      <c r="A146" s="26"/>
      <c r="B146" s="26"/>
      <c r="C146" s="26" t="s">
        <v>2318</v>
      </c>
      <c r="D146" s="233"/>
      <c r="E146" s="218">
        <v>4757</v>
      </c>
      <c r="F146" s="219">
        <f>SUM(F142:F145)</f>
        <v>100</v>
      </c>
      <c r="G146" s="218">
        <v>7515</v>
      </c>
      <c r="H146" s="220">
        <v>63.3</v>
      </c>
    </row>
    <row r="147" spans="1:8" x14ac:dyDescent="0.2">
      <c r="A147" s="26"/>
      <c r="B147" s="26"/>
      <c r="C147" s="26" t="s">
        <v>2318</v>
      </c>
      <c r="D147" s="233"/>
      <c r="E147" s="31"/>
      <c r="F147" s="216"/>
      <c r="G147" s="31"/>
      <c r="H147" s="217"/>
    </row>
    <row r="148" spans="1:8" x14ac:dyDescent="0.2">
      <c r="A148" s="26" t="s">
        <v>1977</v>
      </c>
      <c r="B148" s="26"/>
      <c r="C148" s="214" t="s">
        <v>4859</v>
      </c>
      <c r="D148" s="233" t="s">
        <v>4860</v>
      </c>
      <c r="E148" s="31">
        <v>4428</v>
      </c>
      <c r="F148" s="216">
        <v>55</v>
      </c>
      <c r="G148" s="31"/>
      <c r="H148" s="217"/>
    </row>
    <row r="149" spans="1:8" x14ac:dyDescent="0.2">
      <c r="A149" s="26"/>
      <c r="B149" s="26"/>
      <c r="C149" s="26" t="s">
        <v>4861</v>
      </c>
      <c r="D149" s="233" t="s">
        <v>1736</v>
      </c>
      <c r="E149" s="31">
        <v>2678</v>
      </c>
      <c r="F149" s="216">
        <v>2.1</v>
      </c>
      <c r="G149" s="31"/>
      <c r="H149" s="217"/>
    </row>
    <row r="150" spans="1:8" x14ac:dyDescent="0.2">
      <c r="A150" s="26"/>
      <c r="B150" s="26"/>
      <c r="C150" s="26" t="s">
        <v>4745</v>
      </c>
      <c r="D150" s="233" t="s">
        <v>655</v>
      </c>
      <c r="E150" s="31">
        <v>249</v>
      </c>
      <c r="F150" s="216">
        <v>5.2</v>
      </c>
      <c r="G150" s="31"/>
      <c r="H150" s="217"/>
    </row>
    <row r="151" spans="1:8" x14ac:dyDescent="0.2">
      <c r="A151" s="26"/>
      <c r="B151" s="26"/>
      <c r="C151" s="26" t="s">
        <v>2318</v>
      </c>
      <c r="D151" s="233"/>
      <c r="E151" s="218">
        <v>7380</v>
      </c>
      <c r="F151" s="219">
        <v>100</v>
      </c>
      <c r="G151" s="218">
        <v>10742</v>
      </c>
      <c r="H151" s="220">
        <v>68.7</v>
      </c>
    </row>
    <row r="152" spans="1:8" x14ac:dyDescent="0.2">
      <c r="A152" s="26"/>
      <c r="B152" s="26"/>
      <c r="C152" s="26" t="s">
        <v>2318</v>
      </c>
      <c r="D152" s="233"/>
      <c r="E152" s="31"/>
      <c r="F152" s="216"/>
      <c r="G152" s="31"/>
      <c r="H152" s="217"/>
    </row>
    <row r="153" spans="1:8" x14ac:dyDescent="0.2">
      <c r="A153" s="26" t="s">
        <v>1969</v>
      </c>
      <c r="B153" s="26"/>
      <c r="C153" s="214" t="s">
        <v>1894</v>
      </c>
      <c r="D153" s="233" t="s">
        <v>1736</v>
      </c>
      <c r="E153" s="31">
        <v>4596</v>
      </c>
      <c r="F153" s="216">
        <v>23.8</v>
      </c>
      <c r="G153" s="31"/>
      <c r="H153" s="217"/>
    </row>
    <row r="154" spans="1:8" x14ac:dyDescent="0.2">
      <c r="A154" s="26"/>
      <c r="B154" s="26"/>
      <c r="C154" s="26" t="s">
        <v>4862</v>
      </c>
      <c r="D154" s="233" t="s">
        <v>1071</v>
      </c>
      <c r="E154" s="31">
        <v>1341</v>
      </c>
      <c r="F154" s="216">
        <v>5.0999999999999996</v>
      </c>
      <c r="G154" s="31"/>
      <c r="H154" s="217"/>
    </row>
    <row r="155" spans="1:8" x14ac:dyDescent="0.2">
      <c r="A155" s="26"/>
      <c r="B155" s="26"/>
      <c r="C155" s="26" t="s">
        <v>4863</v>
      </c>
      <c r="D155" s="233" t="s">
        <v>655</v>
      </c>
      <c r="E155" s="31">
        <v>1141</v>
      </c>
      <c r="F155" s="216"/>
      <c r="G155" s="31"/>
      <c r="H155" s="217"/>
    </row>
    <row r="156" spans="1:8" x14ac:dyDescent="0.2">
      <c r="A156" s="26"/>
      <c r="B156" s="26"/>
      <c r="C156" s="26" t="s">
        <v>4864</v>
      </c>
      <c r="D156" s="233" t="s">
        <v>1072</v>
      </c>
      <c r="E156" s="31">
        <v>413</v>
      </c>
      <c r="F156" s="216">
        <v>54.1</v>
      </c>
      <c r="G156" s="31"/>
      <c r="H156" s="217"/>
    </row>
    <row r="157" spans="1:8" x14ac:dyDescent="0.2">
      <c r="A157" s="26"/>
      <c r="B157" s="26"/>
      <c r="C157" s="26" t="s">
        <v>4865</v>
      </c>
      <c r="D157" s="233" t="s">
        <v>4866</v>
      </c>
      <c r="E157" s="31">
        <v>47</v>
      </c>
      <c r="F157" s="216">
        <v>17</v>
      </c>
      <c r="G157" s="31"/>
      <c r="H157" s="217"/>
    </row>
    <row r="158" spans="1:8" x14ac:dyDescent="0.2">
      <c r="A158" s="26"/>
      <c r="B158" s="26"/>
      <c r="C158" s="26" t="s">
        <v>2318</v>
      </c>
      <c r="D158" s="233"/>
      <c r="E158" s="218">
        <v>7551</v>
      </c>
      <c r="F158" s="219">
        <f>SUM(F153:F157)</f>
        <v>100</v>
      </c>
      <c r="G158" s="218">
        <v>14080</v>
      </c>
      <c r="H158" s="220">
        <v>53.9</v>
      </c>
    </row>
    <row r="159" spans="1:8" x14ac:dyDescent="0.2">
      <c r="A159" s="26"/>
      <c r="B159" s="26"/>
      <c r="C159" s="26" t="s">
        <v>2318</v>
      </c>
      <c r="D159" s="233"/>
      <c r="E159" s="31"/>
      <c r="F159" s="216"/>
      <c r="G159" s="31"/>
      <c r="H159" s="217"/>
    </row>
    <row r="160" spans="1:8" x14ac:dyDescent="0.2">
      <c r="A160" s="26" t="s">
        <v>1161</v>
      </c>
      <c r="B160" s="26"/>
      <c r="C160" s="214" t="s">
        <v>4867</v>
      </c>
      <c r="D160" s="233" t="s">
        <v>1736</v>
      </c>
      <c r="E160" s="31">
        <v>6662</v>
      </c>
      <c r="F160" s="216">
        <v>4.2</v>
      </c>
      <c r="G160" s="31"/>
      <c r="H160" s="217"/>
    </row>
    <row r="161" spans="1:8" x14ac:dyDescent="0.2">
      <c r="A161" s="26"/>
      <c r="B161" s="26"/>
      <c r="C161" s="26" t="s">
        <v>4868</v>
      </c>
      <c r="D161" s="233" t="s">
        <v>655</v>
      </c>
      <c r="E161" s="31">
        <v>1759</v>
      </c>
      <c r="F161" s="216">
        <v>19.899999999999999</v>
      </c>
      <c r="G161" s="31"/>
      <c r="H161" s="217"/>
    </row>
    <row r="162" spans="1:8" x14ac:dyDescent="0.2">
      <c r="A162" s="26"/>
      <c r="B162" s="26"/>
      <c r="C162" s="26" t="s">
        <v>4772</v>
      </c>
      <c r="D162" s="233" t="s">
        <v>1071</v>
      </c>
      <c r="E162" s="31">
        <v>1164</v>
      </c>
      <c r="F162" s="216"/>
      <c r="G162" s="31"/>
      <c r="H162" s="217"/>
    </row>
    <row r="163" spans="1:8" x14ac:dyDescent="0.2">
      <c r="A163" s="26"/>
      <c r="B163" s="26"/>
      <c r="C163" s="26" t="s">
        <v>4869</v>
      </c>
      <c r="D163" s="233" t="s">
        <v>1072</v>
      </c>
      <c r="E163" s="31">
        <v>661</v>
      </c>
      <c r="F163" s="216">
        <v>55.5</v>
      </c>
      <c r="G163" s="31"/>
      <c r="H163" s="217"/>
    </row>
    <row r="164" spans="1:8" x14ac:dyDescent="0.2">
      <c r="A164" s="26"/>
      <c r="B164" s="26"/>
      <c r="C164" s="26" t="s">
        <v>4870</v>
      </c>
      <c r="D164" s="233" t="s">
        <v>1547</v>
      </c>
      <c r="E164" s="31">
        <v>27</v>
      </c>
      <c r="F164" s="216">
        <v>20.399999999999999</v>
      </c>
      <c r="G164" s="31"/>
      <c r="H164" s="217"/>
    </row>
    <row r="165" spans="1:8" x14ac:dyDescent="0.2">
      <c r="A165" s="26"/>
      <c r="B165" s="26"/>
      <c r="C165" s="26" t="s">
        <v>2318</v>
      </c>
      <c r="D165" s="233"/>
      <c r="E165" s="218">
        <v>10294</v>
      </c>
      <c r="F165" s="219">
        <f>SUM(F160:F164)</f>
        <v>100</v>
      </c>
      <c r="G165" s="218">
        <v>22559</v>
      </c>
      <c r="H165" s="220">
        <v>45.6</v>
      </c>
    </row>
    <row r="166" spans="1:8" x14ac:dyDescent="0.2">
      <c r="A166" s="26"/>
      <c r="B166" s="26"/>
      <c r="C166" s="26" t="s">
        <v>2318</v>
      </c>
      <c r="D166" s="233"/>
      <c r="E166" s="31"/>
      <c r="F166" s="216"/>
      <c r="G166" s="31"/>
      <c r="H166" s="217"/>
    </row>
    <row r="167" spans="1:8" x14ac:dyDescent="0.2">
      <c r="A167" s="26" t="s">
        <v>1163</v>
      </c>
      <c r="B167" s="26"/>
      <c r="C167" s="214" t="s">
        <v>1911</v>
      </c>
      <c r="D167" s="233" t="s">
        <v>1736</v>
      </c>
      <c r="E167" s="31">
        <v>5046</v>
      </c>
      <c r="F167" s="216">
        <v>50.5</v>
      </c>
      <c r="G167" s="31"/>
      <c r="H167" s="217"/>
    </row>
    <row r="168" spans="1:8" x14ac:dyDescent="0.2">
      <c r="A168" s="26"/>
      <c r="B168" s="26"/>
      <c r="C168" s="26" t="s">
        <v>4622</v>
      </c>
      <c r="D168" s="233" t="s">
        <v>655</v>
      </c>
      <c r="E168" s="31">
        <v>1902</v>
      </c>
      <c r="F168" s="216"/>
      <c r="G168" s="31"/>
      <c r="H168" s="217"/>
    </row>
    <row r="169" spans="1:8" x14ac:dyDescent="0.2">
      <c r="A169" s="26"/>
      <c r="B169" s="26"/>
      <c r="C169" s="26" t="s">
        <v>4871</v>
      </c>
      <c r="D169" s="233" t="s">
        <v>1071</v>
      </c>
      <c r="E169" s="31">
        <v>764</v>
      </c>
      <c r="F169" s="216">
        <v>3.1</v>
      </c>
      <c r="G169" s="31"/>
      <c r="H169" s="217"/>
    </row>
    <row r="170" spans="1:8" x14ac:dyDescent="0.2">
      <c r="A170" s="26"/>
      <c r="B170" s="26"/>
      <c r="C170" s="26" t="s">
        <v>4872</v>
      </c>
      <c r="D170" s="233" t="s">
        <v>1072</v>
      </c>
      <c r="E170" s="31">
        <v>374</v>
      </c>
      <c r="F170" s="216">
        <v>34.9</v>
      </c>
      <c r="G170" s="31"/>
      <c r="H170" s="217"/>
    </row>
    <row r="171" spans="1:8" x14ac:dyDescent="0.2">
      <c r="A171" s="26"/>
      <c r="B171" s="26"/>
      <c r="C171" s="26" t="s">
        <v>4873</v>
      </c>
      <c r="D171" s="233" t="s">
        <v>1547</v>
      </c>
      <c r="E171" s="31">
        <v>60</v>
      </c>
      <c r="F171" s="216">
        <v>11.5</v>
      </c>
      <c r="G171" s="31"/>
      <c r="H171" s="217"/>
    </row>
    <row r="172" spans="1:8" x14ac:dyDescent="0.2">
      <c r="A172" s="26"/>
      <c r="B172" s="26"/>
      <c r="C172" s="26" t="s">
        <v>2318</v>
      </c>
      <c r="D172" s="233"/>
      <c r="E172" s="218">
        <f>SUM(E167:E171)</f>
        <v>8146</v>
      </c>
      <c r="F172" s="219">
        <f>SUM(F167:F171)</f>
        <v>100</v>
      </c>
      <c r="G172" s="218">
        <v>16882</v>
      </c>
      <c r="H172" s="220">
        <v>48.4</v>
      </c>
    </row>
    <row r="173" spans="1:8" x14ac:dyDescent="0.2">
      <c r="A173" s="26"/>
      <c r="B173" s="26"/>
      <c r="C173" s="26" t="s">
        <v>2318</v>
      </c>
      <c r="D173" s="233"/>
      <c r="E173" s="31"/>
      <c r="F173" s="216"/>
      <c r="G173" s="31"/>
      <c r="H173" s="217"/>
    </row>
    <row r="174" spans="1:8" x14ac:dyDescent="0.2">
      <c r="A174" s="26" t="s">
        <v>469</v>
      </c>
      <c r="B174" s="26"/>
      <c r="C174" s="214" t="s">
        <v>1912</v>
      </c>
      <c r="D174" s="233" t="s">
        <v>1736</v>
      </c>
      <c r="E174" s="31">
        <v>5689</v>
      </c>
      <c r="F174" s="216">
        <v>58.5</v>
      </c>
      <c r="G174" s="31"/>
      <c r="H174" s="217"/>
    </row>
    <row r="175" spans="1:8" x14ac:dyDescent="0.2">
      <c r="A175" s="26"/>
      <c r="B175" s="26"/>
      <c r="C175" s="26" t="s">
        <v>4874</v>
      </c>
      <c r="D175" s="233" t="s">
        <v>655</v>
      </c>
      <c r="E175" s="31">
        <v>1640</v>
      </c>
      <c r="F175" s="216">
        <v>6</v>
      </c>
      <c r="G175" s="31"/>
      <c r="H175" s="217"/>
    </row>
    <row r="176" spans="1:8" x14ac:dyDescent="0.2">
      <c r="A176" s="26"/>
      <c r="B176" s="26"/>
      <c r="C176" s="26" t="s">
        <v>4875</v>
      </c>
      <c r="D176" s="233" t="s">
        <v>1072</v>
      </c>
      <c r="E176" s="31">
        <v>620</v>
      </c>
      <c r="F176" s="216">
        <v>24.49</v>
      </c>
      <c r="G176" s="31"/>
      <c r="H176" s="217"/>
    </row>
    <row r="177" spans="1:8" x14ac:dyDescent="0.2">
      <c r="A177" s="26"/>
      <c r="B177" s="26"/>
      <c r="C177" s="26" t="s">
        <v>4876</v>
      </c>
      <c r="D177" s="233" t="s">
        <v>4877</v>
      </c>
      <c r="E177" s="31">
        <v>396</v>
      </c>
      <c r="F177" s="216">
        <v>11</v>
      </c>
      <c r="G177" s="31"/>
      <c r="H177" s="217"/>
    </row>
    <row r="178" spans="1:8" x14ac:dyDescent="0.2">
      <c r="A178" s="26"/>
      <c r="B178" s="26"/>
      <c r="C178" s="26" t="s">
        <v>2318</v>
      </c>
      <c r="D178" s="233"/>
      <c r="E178" s="218">
        <v>8371</v>
      </c>
      <c r="F178" s="219">
        <f>SUM(F174:F177)</f>
        <v>99.99</v>
      </c>
      <c r="G178" s="218">
        <v>16675</v>
      </c>
      <c r="H178" s="220">
        <v>50.2</v>
      </c>
    </row>
    <row r="179" spans="1:8" x14ac:dyDescent="0.2">
      <c r="A179" s="26"/>
      <c r="B179" s="26"/>
      <c r="C179" s="26" t="s">
        <v>2318</v>
      </c>
      <c r="D179" s="233"/>
      <c r="E179" s="31"/>
      <c r="F179" s="216"/>
      <c r="G179" s="31"/>
      <c r="H179" s="217"/>
    </row>
    <row r="180" spans="1:8" x14ac:dyDescent="0.2">
      <c r="A180" s="26" t="s">
        <v>477</v>
      </c>
      <c r="B180" s="26"/>
      <c r="C180" s="214" t="s">
        <v>4878</v>
      </c>
      <c r="D180" s="233" t="s">
        <v>1736</v>
      </c>
      <c r="E180" s="31">
        <v>3996</v>
      </c>
      <c r="F180" s="216">
        <v>10</v>
      </c>
      <c r="G180" s="31"/>
      <c r="H180" s="217"/>
    </row>
    <row r="181" spans="1:8" x14ac:dyDescent="0.2">
      <c r="A181" s="26"/>
      <c r="B181" s="26"/>
      <c r="C181" s="26" t="s">
        <v>4879</v>
      </c>
      <c r="D181" s="233" t="s">
        <v>655</v>
      </c>
      <c r="E181" s="31">
        <v>1125</v>
      </c>
      <c r="F181" s="216">
        <v>54.4</v>
      </c>
      <c r="G181" s="31"/>
      <c r="H181" s="217"/>
    </row>
    <row r="182" spans="1:8" x14ac:dyDescent="0.2">
      <c r="A182" s="26"/>
      <c r="B182" s="26"/>
      <c r="C182" s="26" t="s">
        <v>4880</v>
      </c>
      <c r="D182" s="233" t="s">
        <v>1072</v>
      </c>
      <c r="E182" s="31">
        <v>930</v>
      </c>
      <c r="F182" s="216">
        <v>27.2</v>
      </c>
      <c r="G182" s="31"/>
      <c r="H182" s="217"/>
    </row>
    <row r="183" spans="1:8" x14ac:dyDescent="0.2">
      <c r="A183" s="26"/>
      <c r="B183" s="26"/>
      <c r="C183" s="26" t="s">
        <v>4881</v>
      </c>
      <c r="D183" s="233" t="s">
        <v>1071</v>
      </c>
      <c r="E183" s="31">
        <v>386</v>
      </c>
      <c r="F183" s="216">
        <v>8.4</v>
      </c>
      <c r="G183" s="31"/>
      <c r="H183" s="217"/>
    </row>
    <row r="184" spans="1:8" x14ac:dyDescent="0.2">
      <c r="A184" s="26"/>
      <c r="B184" s="26"/>
      <c r="C184" s="26" t="s">
        <v>2318</v>
      </c>
      <c r="D184" s="233"/>
      <c r="E184" s="218">
        <v>6467</v>
      </c>
      <c r="F184" s="219">
        <f>SUM(F180:F183)</f>
        <v>100.00000000000001</v>
      </c>
      <c r="G184" s="218">
        <v>13645</v>
      </c>
      <c r="H184" s="220">
        <v>47.4</v>
      </c>
    </row>
    <row r="185" spans="1:8" x14ac:dyDescent="0.2">
      <c r="A185" s="26"/>
      <c r="B185" s="26"/>
      <c r="C185" s="26" t="s">
        <v>2318</v>
      </c>
      <c r="D185" s="233"/>
      <c r="E185" s="31"/>
      <c r="F185" s="216"/>
      <c r="G185" s="31"/>
      <c r="H185" s="217"/>
    </row>
    <row r="186" spans="1:8" x14ac:dyDescent="0.2">
      <c r="A186" s="26" t="s">
        <v>1096</v>
      </c>
      <c r="B186" s="26"/>
      <c r="C186" s="214" t="s">
        <v>1914</v>
      </c>
      <c r="D186" s="233" t="s">
        <v>1736</v>
      </c>
      <c r="E186" s="31">
        <v>7735</v>
      </c>
      <c r="F186" s="216">
        <v>61.5</v>
      </c>
      <c r="G186" s="31"/>
      <c r="H186" s="217"/>
    </row>
    <row r="187" spans="1:8" x14ac:dyDescent="0.2">
      <c r="A187" s="26"/>
      <c r="B187" s="26"/>
      <c r="C187" s="26" t="s">
        <v>3163</v>
      </c>
      <c r="D187" s="233" t="s">
        <v>655</v>
      </c>
      <c r="E187" s="31">
        <v>1837</v>
      </c>
      <c r="F187" s="216">
        <v>9</v>
      </c>
      <c r="G187" s="31"/>
      <c r="H187" s="217"/>
    </row>
    <row r="188" spans="1:8" x14ac:dyDescent="0.2">
      <c r="A188" s="26"/>
      <c r="B188" s="26"/>
      <c r="C188" s="26" t="s">
        <v>4882</v>
      </c>
      <c r="D188" s="233" t="s">
        <v>1071</v>
      </c>
      <c r="E188" s="31">
        <v>782</v>
      </c>
      <c r="F188" s="216">
        <v>12.4</v>
      </c>
      <c r="G188" s="31"/>
      <c r="H188" s="217"/>
    </row>
    <row r="189" spans="1:8" x14ac:dyDescent="0.2">
      <c r="A189" s="26"/>
      <c r="B189" s="26"/>
      <c r="C189" s="26" t="s">
        <v>4883</v>
      </c>
      <c r="D189" s="233" t="s">
        <v>4866</v>
      </c>
      <c r="E189" s="31">
        <v>44</v>
      </c>
      <c r="F189" s="216">
        <v>17.100000000000001</v>
      </c>
      <c r="G189" s="31"/>
      <c r="H189" s="217"/>
    </row>
    <row r="190" spans="1:8" x14ac:dyDescent="0.2">
      <c r="A190" s="26"/>
      <c r="B190" s="26"/>
      <c r="C190" s="26" t="s">
        <v>2318</v>
      </c>
      <c r="D190" s="233"/>
      <c r="E190" s="218">
        <v>10433</v>
      </c>
      <c r="F190" s="219">
        <f>SUM(F186:F189)</f>
        <v>100</v>
      </c>
      <c r="G190" s="1">
        <v>17902</v>
      </c>
      <c r="H190" s="220">
        <v>58.3</v>
      </c>
    </row>
    <row r="191" spans="1:8" x14ac:dyDescent="0.2">
      <c r="A191" s="26"/>
      <c r="B191" s="26"/>
      <c r="C191" s="26" t="s">
        <v>2318</v>
      </c>
      <c r="D191" s="233"/>
      <c r="E191" s="31"/>
      <c r="F191" s="216"/>
      <c r="G191" s="31"/>
      <c r="H191" s="217"/>
    </row>
    <row r="192" spans="1:8" x14ac:dyDescent="0.2">
      <c r="A192" s="26" t="s">
        <v>1100</v>
      </c>
      <c r="B192" s="26"/>
      <c r="C192" s="214" t="s">
        <v>4884</v>
      </c>
      <c r="D192" s="233" t="s">
        <v>1736</v>
      </c>
      <c r="E192" s="31">
        <v>5247</v>
      </c>
      <c r="F192" s="216">
        <v>13</v>
      </c>
      <c r="G192" s="31"/>
      <c r="H192" s="217"/>
    </row>
    <row r="193" spans="1:8" x14ac:dyDescent="0.2">
      <c r="A193" s="26"/>
      <c r="B193" s="26"/>
      <c r="C193" s="26" t="s">
        <v>4885</v>
      </c>
      <c r="D193" s="233" t="s">
        <v>655</v>
      </c>
      <c r="E193" s="31">
        <v>1312</v>
      </c>
      <c r="F193" s="216">
        <v>56</v>
      </c>
      <c r="G193" s="31"/>
      <c r="H193" s="217"/>
    </row>
    <row r="194" spans="1:8" x14ac:dyDescent="0.2">
      <c r="A194" s="26"/>
      <c r="B194" s="26"/>
      <c r="C194" s="26" t="s">
        <v>4886</v>
      </c>
      <c r="D194" s="233" t="s">
        <v>1071</v>
      </c>
      <c r="E194" s="31">
        <v>982</v>
      </c>
      <c r="F194" s="216"/>
      <c r="G194" s="31"/>
      <c r="H194" s="217"/>
    </row>
    <row r="195" spans="1:8" x14ac:dyDescent="0.2">
      <c r="A195" s="26"/>
      <c r="B195" s="26"/>
      <c r="C195" s="26" t="s">
        <v>4887</v>
      </c>
      <c r="D195" s="233" t="s">
        <v>1072</v>
      </c>
      <c r="E195" s="31">
        <v>579</v>
      </c>
      <c r="F195" s="216">
        <v>9.3000000000000007</v>
      </c>
      <c r="G195" s="31"/>
      <c r="H195" s="217"/>
    </row>
    <row r="196" spans="1:8" x14ac:dyDescent="0.2">
      <c r="A196" s="26"/>
      <c r="B196" s="26"/>
      <c r="C196" s="26" t="s">
        <v>4888</v>
      </c>
      <c r="D196" s="233" t="s">
        <v>1547</v>
      </c>
      <c r="E196" s="31">
        <v>28</v>
      </c>
      <c r="F196" s="216">
        <v>21.7</v>
      </c>
      <c r="G196" s="31"/>
      <c r="H196" s="217"/>
    </row>
    <row r="197" spans="1:8" x14ac:dyDescent="0.2">
      <c r="A197" s="26"/>
      <c r="B197" s="26"/>
      <c r="C197" s="26" t="s">
        <v>2318</v>
      </c>
      <c r="D197" s="233"/>
      <c r="E197" s="218">
        <v>8181</v>
      </c>
      <c r="F197" s="219">
        <f>SUM(F192:F196)</f>
        <v>100</v>
      </c>
      <c r="G197" s="218">
        <v>14191</v>
      </c>
      <c r="H197" s="220">
        <v>57.7</v>
      </c>
    </row>
    <row r="198" spans="1:8" x14ac:dyDescent="0.2">
      <c r="A198" s="26"/>
      <c r="B198" s="26"/>
      <c r="C198" s="26" t="s">
        <v>2318</v>
      </c>
      <c r="D198" s="233"/>
      <c r="E198" s="31"/>
      <c r="F198" s="216"/>
      <c r="G198" s="31"/>
      <c r="H198" s="217"/>
    </row>
    <row r="199" spans="1:8" x14ac:dyDescent="0.2">
      <c r="A199" s="26" t="s">
        <v>1105</v>
      </c>
      <c r="B199" s="26"/>
      <c r="C199" s="214" t="s">
        <v>1916</v>
      </c>
      <c r="D199" s="233" t="s">
        <v>1736</v>
      </c>
      <c r="E199" s="31">
        <v>3085</v>
      </c>
      <c r="F199" s="216">
        <v>25.1</v>
      </c>
      <c r="G199" s="31"/>
      <c r="H199" s="217"/>
    </row>
    <row r="200" spans="1:8" x14ac:dyDescent="0.2">
      <c r="A200" s="26"/>
      <c r="B200" s="26"/>
      <c r="C200" s="26" t="s">
        <v>4889</v>
      </c>
      <c r="D200" s="233" t="s">
        <v>655</v>
      </c>
      <c r="E200" s="31">
        <v>1129</v>
      </c>
      <c r="F200" s="216">
        <v>56.5</v>
      </c>
      <c r="G200" s="31"/>
      <c r="H200" s="217"/>
    </row>
    <row r="201" spans="1:8" x14ac:dyDescent="0.2">
      <c r="A201" s="26"/>
      <c r="B201" s="26"/>
      <c r="C201" s="26" t="s">
        <v>4890</v>
      </c>
      <c r="D201" s="233" t="s">
        <v>1071</v>
      </c>
      <c r="E201" s="31">
        <v>888</v>
      </c>
      <c r="F201" s="216">
        <v>7.2</v>
      </c>
      <c r="G201" s="31"/>
      <c r="H201" s="217"/>
    </row>
    <row r="202" spans="1:8" x14ac:dyDescent="0.2">
      <c r="A202" s="26"/>
      <c r="B202" s="26"/>
      <c r="C202" s="26" t="s">
        <v>4891</v>
      </c>
      <c r="D202" s="233" t="s">
        <v>1547</v>
      </c>
      <c r="E202" s="31">
        <v>82</v>
      </c>
      <c r="F202" s="216">
        <v>1</v>
      </c>
      <c r="G202" s="31"/>
      <c r="H202" s="217"/>
    </row>
    <row r="203" spans="1:8" x14ac:dyDescent="0.2">
      <c r="A203" s="26"/>
      <c r="B203" s="26"/>
      <c r="C203" s="26" t="s">
        <v>2318</v>
      </c>
      <c r="D203" s="233"/>
      <c r="E203" s="218">
        <v>5259</v>
      </c>
      <c r="F203" s="219">
        <f>SUM(F199:F202)</f>
        <v>89.8</v>
      </c>
      <c r="G203" s="218">
        <v>10896</v>
      </c>
      <c r="H203" s="220">
        <v>48.3</v>
      </c>
    </row>
    <row r="204" spans="1:8" x14ac:dyDescent="0.2">
      <c r="A204" s="26"/>
      <c r="B204" s="26"/>
      <c r="C204" s="26" t="s">
        <v>2318</v>
      </c>
      <c r="D204" s="233"/>
      <c r="E204" s="31"/>
      <c r="F204" s="216"/>
      <c r="G204" s="31"/>
      <c r="H204" s="217"/>
    </row>
    <row r="205" spans="1:8" x14ac:dyDescent="0.2">
      <c r="A205" s="26" t="s">
        <v>772</v>
      </c>
      <c r="B205" s="26"/>
      <c r="C205" s="214" t="s">
        <v>1917</v>
      </c>
      <c r="D205" s="233" t="s">
        <v>1736</v>
      </c>
      <c r="E205" s="31">
        <v>5436</v>
      </c>
      <c r="F205" s="216">
        <v>6.6</v>
      </c>
      <c r="G205" s="31"/>
      <c r="H205" s="217"/>
    </row>
    <row r="206" spans="1:8" x14ac:dyDescent="0.2">
      <c r="A206" s="26"/>
      <c r="B206" s="26"/>
      <c r="C206" s="26" t="s">
        <v>4892</v>
      </c>
      <c r="D206" s="233" t="s">
        <v>655</v>
      </c>
      <c r="E206" s="31">
        <v>1192</v>
      </c>
      <c r="F206" s="216">
        <v>12.4</v>
      </c>
      <c r="G206" s="31"/>
      <c r="H206" s="217"/>
    </row>
    <row r="207" spans="1:8" x14ac:dyDescent="0.2">
      <c r="A207" s="26"/>
      <c r="B207" s="26"/>
      <c r="C207" s="26" t="s">
        <v>4893</v>
      </c>
      <c r="D207" s="233" t="s">
        <v>1071</v>
      </c>
      <c r="E207" s="31">
        <v>1035</v>
      </c>
      <c r="F207" s="216">
        <v>20.7</v>
      </c>
      <c r="G207" s="31"/>
      <c r="H207" s="217"/>
    </row>
    <row r="208" spans="1:8" x14ac:dyDescent="0.2">
      <c r="A208" s="26"/>
      <c r="B208" s="26"/>
      <c r="C208" s="26" t="s">
        <v>3249</v>
      </c>
      <c r="D208" s="233" t="s">
        <v>1072</v>
      </c>
      <c r="E208" s="31">
        <v>491</v>
      </c>
      <c r="F208" s="216">
        <v>60.3</v>
      </c>
      <c r="G208" s="31"/>
      <c r="H208" s="217"/>
    </row>
    <row r="209" spans="1:8" x14ac:dyDescent="0.2">
      <c r="A209" s="26"/>
      <c r="B209" s="26"/>
      <c r="C209" s="26" t="s">
        <v>2318</v>
      </c>
      <c r="D209" s="233"/>
      <c r="E209" s="218">
        <v>8234</v>
      </c>
      <c r="F209" s="219">
        <f>SUM(F205:F208)</f>
        <v>100</v>
      </c>
      <c r="G209" s="218">
        <v>16399</v>
      </c>
      <c r="H209" s="220">
        <v>50.2</v>
      </c>
    </row>
    <row r="210" spans="1:8" x14ac:dyDescent="0.2">
      <c r="A210" s="26"/>
      <c r="B210" s="26"/>
      <c r="C210" s="26" t="s">
        <v>2318</v>
      </c>
      <c r="D210" s="233"/>
      <c r="E210" s="31"/>
      <c r="F210" s="216"/>
      <c r="G210" s="31"/>
      <c r="H210" s="217"/>
    </row>
    <row r="211" spans="1:8" x14ac:dyDescent="0.2">
      <c r="A211" s="26" t="s">
        <v>742</v>
      </c>
      <c r="B211" s="26"/>
      <c r="C211" s="214" t="s">
        <v>4644</v>
      </c>
      <c r="D211" s="233" t="s">
        <v>1736</v>
      </c>
      <c r="E211" s="31">
        <v>4897</v>
      </c>
      <c r="F211" s="216">
        <v>11.3</v>
      </c>
      <c r="G211" s="31"/>
      <c r="H211" s="217"/>
    </row>
    <row r="212" spans="1:8" x14ac:dyDescent="0.2">
      <c r="A212" s="26"/>
      <c r="B212" s="26"/>
      <c r="C212" s="26" t="s">
        <v>4894</v>
      </c>
      <c r="D212" s="233" t="s">
        <v>655</v>
      </c>
      <c r="E212" s="31">
        <v>1406</v>
      </c>
      <c r="F212" s="216">
        <v>0.6</v>
      </c>
      <c r="G212" s="31"/>
      <c r="H212" s="217"/>
    </row>
    <row r="213" spans="1:8" x14ac:dyDescent="0.2">
      <c r="A213" s="26"/>
      <c r="B213" s="26"/>
      <c r="C213" s="26" t="s">
        <v>3250</v>
      </c>
      <c r="D213" s="233" t="s">
        <v>1071</v>
      </c>
      <c r="E213" s="31">
        <v>619</v>
      </c>
      <c r="F213" s="216">
        <v>29.6</v>
      </c>
      <c r="G213" s="31"/>
      <c r="H213" s="217"/>
    </row>
    <row r="214" spans="1:8" x14ac:dyDescent="0.2">
      <c r="A214" s="26"/>
      <c r="B214" s="26"/>
      <c r="C214" s="26" t="s">
        <v>4895</v>
      </c>
      <c r="D214" s="233" t="s">
        <v>1072</v>
      </c>
      <c r="E214" s="31">
        <v>472</v>
      </c>
      <c r="F214" s="216">
        <v>7.9</v>
      </c>
      <c r="G214" s="31"/>
      <c r="H214" s="217"/>
    </row>
    <row r="215" spans="1:8" x14ac:dyDescent="0.2">
      <c r="A215" s="26"/>
      <c r="B215" s="26"/>
      <c r="C215" s="26" t="s">
        <v>2318</v>
      </c>
      <c r="D215" s="233"/>
      <c r="E215" s="218">
        <v>7424</v>
      </c>
      <c r="F215" s="219">
        <v>100</v>
      </c>
      <c r="G215" s="218">
        <v>15851</v>
      </c>
      <c r="H215" s="220">
        <v>46.8</v>
      </c>
    </row>
    <row r="216" spans="1:8" x14ac:dyDescent="0.2">
      <c r="A216" s="26"/>
      <c r="B216" s="26"/>
      <c r="C216" s="26" t="s">
        <v>2318</v>
      </c>
      <c r="D216" s="233"/>
      <c r="E216" s="31"/>
      <c r="F216" s="216"/>
      <c r="G216" s="31"/>
      <c r="H216" s="217"/>
    </row>
    <row r="217" spans="1:8" x14ac:dyDescent="0.2">
      <c r="A217" s="26" t="s">
        <v>1118</v>
      </c>
      <c r="B217" s="26"/>
      <c r="C217" s="214" t="s">
        <v>4649</v>
      </c>
      <c r="D217" s="233" t="s">
        <v>1736</v>
      </c>
      <c r="E217" s="31">
        <v>6715</v>
      </c>
      <c r="F217" s="216">
        <v>60.2</v>
      </c>
      <c r="G217" s="31"/>
      <c r="H217" s="217"/>
    </row>
    <row r="218" spans="1:8" x14ac:dyDescent="0.2">
      <c r="A218" s="26"/>
      <c r="B218" s="26"/>
      <c r="C218" s="26" t="s">
        <v>4896</v>
      </c>
      <c r="D218" s="233" t="s">
        <v>655</v>
      </c>
      <c r="E218" s="31">
        <v>1406</v>
      </c>
      <c r="F218" s="216">
        <v>17.8</v>
      </c>
      <c r="G218" s="31"/>
      <c r="H218" s="217"/>
    </row>
    <row r="219" spans="1:8" x14ac:dyDescent="0.2">
      <c r="A219" s="26"/>
      <c r="B219" s="26"/>
      <c r="C219" s="26" t="s">
        <v>4647</v>
      </c>
      <c r="D219" s="233" t="s">
        <v>1071</v>
      </c>
      <c r="E219" s="31">
        <v>1093</v>
      </c>
      <c r="F219" s="216">
        <v>7.7</v>
      </c>
      <c r="G219" s="31"/>
      <c r="H219" s="217"/>
    </row>
    <row r="220" spans="1:8" x14ac:dyDescent="0.2">
      <c r="A220" s="26"/>
      <c r="B220" s="26"/>
      <c r="C220" s="26" t="s">
        <v>4897</v>
      </c>
      <c r="D220" s="233" t="s">
        <v>1072</v>
      </c>
      <c r="E220" s="31">
        <v>698</v>
      </c>
      <c r="F220" s="216">
        <v>10.5</v>
      </c>
      <c r="G220" s="31"/>
      <c r="H220" s="217"/>
    </row>
    <row r="221" spans="1:8" x14ac:dyDescent="0.2">
      <c r="A221" s="26"/>
      <c r="B221" s="26"/>
      <c r="C221" s="26" t="s">
        <v>2318</v>
      </c>
      <c r="D221" s="233"/>
      <c r="E221" s="218">
        <v>9925</v>
      </c>
      <c r="F221" s="219">
        <f>SUM(F217:F220)</f>
        <v>96.2</v>
      </c>
      <c r="G221" s="218">
        <v>19714</v>
      </c>
      <c r="H221" s="220">
        <v>50.3</v>
      </c>
    </row>
    <row r="222" spans="1:8" x14ac:dyDescent="0.2">
      <c r="A222" s="26"/>
      <c r="B222" s="26"/>
      <c r="C222" s="26" t="s">
        <v>2318</v>
      </c>
      <c r="D222" s="233"/>
      <c r="E222" s="31"/>
      <c r="F222" s="216"/>
      <c r="G222" s="31"/>
      <c r="H222" s="217"/>
    </row>
    <row r="223" spans="1:8" x14ac:dyDescent="0.2">
      <c r="A223" s="26" t="s">
        <v>981</v>
      </c>
      <c r="B223" s="26"/>
      <c r="C223" s="214" t="s">
        <v>493</v>
      </c>
      <c r="D223" s="233" t="s">
        <v>1736</v>
      </c>
      <c r="E223" s="31">
        <v>4298</v>
      </c>
      <c r="F223" s="216">
        <v>0.5</v>
      </c>
      <c r="G223" s="31"/>
      <c r="H223" s="217"/>
    </row>
    <row r="224" spans="1:8" x14ac:dyDescent="0.2">
      <c r="A224" s="26"/>
      <c r="B224" s="26"/>
      <c r="C224" s="26" t="s">
        <v>4898</v>
      </c>
      <c r="D224" s="233" t="s">
        <v>655</v>
      </c>
      <c r="E224" s="31">
        <v>1849</v>
      </c>
      <c r="F224" s="216">
        <v>47.2</v>
      </c>
      <c r="G224" s="31"/>
      <c r="H224" s="217"/>
    </row>
    <row r="225" spans="1:8" x14ac:dyDescent="0.2">
      <c r="A225" s="26"/>
      <c r="B225" s="26"/>
      <c r="C225" s="26" t="s">
        <v>3251</v>
      </c>
      <c r="D225" s="233" t="s">
        <v>1071</v>
      </c>
      <c r="E225" s="31">
        <v>1045</v>
      </c>
      <c r="F225" s="216">
        <v>5.8</v>
      </c>
      <c r="G225" s="31"/>
      <c r="H225" s="217"/>
    </row>
    <row r="226" spans="1:8" x14ac:dyDescent="0.2">
      <c r="A226" s="26"/>
      <c r="B226" s="26"/>
      <c r="C226" s="26" t="s">
        <v>4899</v>
      </c>
      <c r="D226" s="233" t="s">
        <v>1547</v>
      </c>
      <c r="E226" s="31">
        <v>48</v>
      </c>
      <c r="F226" s="216">
        <v>8.4</v>
      </c>
      <c r="G226" s="31"/>
      <c r="H226" s="217"/>
    </row>
    <row r="227" spans="1:8" x14ac:dyDescent="0.2">
      <c r="A227" s="26"/>
      <c r="B227" s="26"/>
      <c r="C227" s="26" t="s">
        <v>2318</v>
      </c>
      <c r="D227" s="233"/>
      <c r="E227" s="218">
        <v>7310</v>
      </c>
      <c r="F227" s="219">
        <f>SUM(F223:F226)</f>
        <v>61.9</v>
      </c>
      <c r="G227" s="218">
        <v>15619</v>
      </c>
      <c r="H227" s="220">
        <v>46.9</v>
      </c>
    </row>
    <row r="228" spans="1:8" x14ac:dyDescent="0.2">
      <c r="A228" s="26"/>
      <c r="B228" s="26"/>
      <c r="C228" s="26"/>
      <c r="D228" s="233"/>
      <c r="E228" s="88"/>
      <c r="F228" s="84"/>
      <c r="G228" s="88"/>
      <c r="H228" s="235"/>
    </row>
    <row r="229" spans="1:8" x14ac:dyDescent="0.2">
      <c r="A229" s="26" t="s">
        <v>4900</v>
      </c>
      <c r="B229" s="26"/>
      <c r="C229" s="214" t="s">
        <v>4901</v>
      </c>
      <c r="D229" s="233" t="s">
        <v>1736</v>
      </c>
      <c r="E229" s="31">
        <v>8807</v>
      </c>
      <c r="F229" s="216">
        <v>0.5</v>
      </c>
      <c r="G229" s="31"/>
      <c r="H229" s="217"/>
    </row>
    <row r="230" spans="1:8" x14ac:dyDescent="0.2">
      <c r="A230" s="26"/>
      <c r="B230" s="26"/>
      <c r="C230" s="26" t="s">
        <v>4658</v>
      </c>
      <c r="D230" s="233" t="s">
        <v>655</v>
      </c>
      <c r="E230" s="31">
        <v>2003</v>
      </c>
      <c r="F230" s="216">
        <v>47.2</v>
      </c>
      <c r="G230" s="31"/>
      <c r="H230" s="217"/>
    </row>
    <row r="231" spans="1:8" x14ac:dyDescent="0.2">
      <c r="A231" s="26"/>
      <c r="B231" s="26"/>
      <c r="C231" s="26" t="s">
        <v>4902</v>
      </c>
      <c r="D231" s="233" t="s">
        <v>1071</v>
      </c>
      <c r="E231" s="31">
        <v>1559</v>
      </c>
      <c r="F231" s="216">
        <v>5.8</v>
      </c>
      <c r="G231" s="31"/>
      <c r="H231" s="217"/>
    </row>
    <row r="232" spans="1:8" x14ac:dyDescent="0.2">
      <c r="A232" s="26"/>
      <c r="B232" s="26"/>
      <c r="C232" s="26" t="s">
        <v>2318</v>
      </c>
      <c r="D232" s="233"/>
      <c r="E232" s="218">
        <v>12431</v>
      </c>
      <c r="F232" s="219">
        <f>SUM(F229:F231)</f>
        <v>53.5</v>
      </c>
      <c r="G232" s="218">
        <v>22468</v>
      </c>
      <c r="H232" s="220">
        <v>55.3</v>
      </c>
    </row>
    <row r="233" spans="1:8" x14ac:dyDescent="0.2">
      <c r="A233" s="26"/>
      <c r="B233" s="26"/>
      <c r="C233" s="26" t="s">
        <v>2318</v>
      </c>
      <c r="D233" s="233"/>
      <c r="E233" s="31"/>
      <c r="F233" s="216"/>
      <c r="G233" s="31"/>
      <c r="H233" s="217"/>
    </row>
    <row r="234" spans="1:8" x14ac:dyDescent="0.2">
      <c r="A234" s="26" t="s">
        <v>3119</v>
      </c>
      <c r="B234" s="26"/>
      <c r="C234" s="214" t="s">
        <v>1511</v>
      </c>
      <c r="D234" s="233" t="s">
        <v>1736</v>
      </c>
      <c r="E234" s="31">
        <v>4810</v>
      </c>
      <c r="F234" s="216">
        <v>50.6</v>
      </c>
      <c r="G234" s="31"/>
      <c r="H234" s="217"/>
    </row>
    <row r="235" spans="1:8" x14ac:dyDescent="0.2">
      <c r="A235" s="26"/>
      <c r="B235" s="26"/>
      <c r="C235" s="26" t="s">
        <v>4903</v>
      </c>
      <c r="D235" s="233" t="s">
        <v>655</v>
      </c>
      <c r="E235" s="31">
        <v>1546</v>
      </c>
      <c r="F235" s="216">
        <v>5.7</v>
      </c>
      <c r="G235" s="31"/>
      <c r="H235" s="217"/>
    </row>
    <row r="236" spans="1:8" x14ac:dyDescent="0.2">
      <c r="A236" s="26"/>
      <c r="B236" s="26"/>
      <c r="C236" s="26" t="s">
        <v>4904</v>
      </c>
      <c r="D236" s="233" t="s">
        <v>1071</v>
      </c>
      <c r="E236" s="31">
        <v>904</v>
      </c>
      <c r="F236" s="216">
        <v>11.6</v>
      </c>
      <c r="G236" s="31"/>
      <c r="H236" s="217"/>
    </row>
    <row r="237" spans="1:8" x14ac:dyDescent="0.2">
      <c r="A237" s="26"/>
      <c r="B237" s="26"/>
      <c r="C237" s="26" t="s">
        <v>4905</v>
      </c>
      <c r="D237" s="233" t="s">
        <v>1072</v>
      </c>
      <c r="E237" s="31">
        <v>461</v>
      </c>
      <c r="F237" s="216">
        <v>32.1</v>
      </c>
      <c r="G237" s="31"/>
      <c r="H237" s="217"/>
    </row>
    <row r="238" spans="1:8" x14ac:dyDescent="0.2">
      <c r="A238" s="26"/>
      <c r="B238" s="26"/>
      <c r="C238" s="26" t="s">
        <v>2318</v>
      </c>
      <c r="D238" s="233"/>
      <c r="E238" s="218">
        <v>7736</v>
      </c>
      <c r="F238" s="219">
        <f>SUM(F234:F237)</f>
        <v>100</v>
      </c>
      <c r="G238" s="218">
        <v>19583</v>
      </c>
      <c r="H238" s="220">
        <v>65.19</v>
      </c>
    </row>
    <row r="239" spans="1:8" x14ac:dyDescent="0.2">
      <c r="A239" s="26"/>
      <c r="B239" s="26"/>
      <c r="C239" s="26" t="s">
        <v>2318</v>
      </c>
      <c r="D239" s="233"/>
      <c r="E239" s="31"/>
      <c r="F239" s="216"/>
      <c r="G239" s="31"/>
      <c r="H239" s="217"/>
    </row>
    <row r="240" spans="1:8" x14ac:dyDescent="0.2">
      <c r="A240" s="26" t="s">
        <v>994</v>
      </c>
      <c r="B240" s="26"/>
      <c r="C240" s="214" t="s">
        <v>1513</v>
      </c>
      <c r="D240" s="233" t="s">
        <v>1736</v>
      </c>
      <c r="E240" s="31">
        <v>3996</v>
      </c>
      <c r="F240" s="216">
        <v>1.3</v>
      </c>
      <c r="G240" s="31"/>
      <c r="H240" s="217"/>
    </row>
    <row r="241" spans="1:8" x14ac:dyDescent="0.2">
      <c r="A241" s="26"/>
      <c r="B241" s="26"/>
      <c r="C241" s="26" t="s">
        <v>3252</v>
      </c>
      <c r="D241" s="233" t="s">
        <v>655</v>
      </c>
      <c r="E241" s="31">
        <v>2108</v>
      </c>
      <c r="F241" s="216">
        <v>7.6</v>
      </c>
      <c r="G241" s="31"/>
      <c r="H241" s="217"/>
    </row>
    <row r="242" spans="1:8" x14ac:dyDescent="0.2">
      <c r="A242" s="26"/>
      <c r="B242" s="26"/>
      <c r="C242" s="26" t="s">
        <v>4906</v>
      </c>
      <c r="D242" s="233" t="s">
        <v>1071</v>
      </c>
      <c r="E242" s="31">
        <v>768</v>
      </c>
      <c r="F242" s="216">
        <v>0.4</v>
      </c>
      <c r="G242" s="31"/>
      <c r="H242" s="217"/>
    </row>
    <row r="243" spans="1:8" x14ac:dyDescent="0.2">
      <c r="A243" s="26"/>
      <c r="B243" s="26"/>
      <c r="C243" s="26" t="s">
        <v>4907</v>
      </c>
      <c r="D243" s="233" t="s">
        <v>1072</v>
      </c>
      <c r="E243" s="31">
        <v>415</v>
      </c>
      <c r="F243" s="216">
        <v>45</v>
      </c>
      <c r="G243" s="31"/>
      <c r="H243" s="217"/>
    </row>
    <row r="244" spans="1:8" x14ac:dyDescent="0.2">
      <c r="A244" s="26"/>
      <c r="B244" s="26"/>
      <c r="C244" s="26" t="s">
        <v>4653</v>
      </c>
      <c r="D244" s="233" t="s">
        <v>1547</v>
      </c>
      <c r="E244" s="31">
        <v>28</v>
      </c>
      <c r="F244" s="216">
        <v>6.1</v>
      </c>
      <c r="G244" s="31"/>
      <c r="H244" s="217"/>
    </row>
    <row r="245" spans="1:8" x14ac:dyDescent="0.2">
      <c r="A245" s="26"/>
      <c r="B245" s="26"/>
      <c r="C245" s="26" t="s">
        <v>4908</v>
      </c>
      <c r="D245" s="233" t="s">
        <v>4866</v>
      </c>
      <c r="E245" s="31">
        <v>24</v>
      </c>
      <c r="F245" s="216">
        <v>39.6</v>
      </c>
      <c r="G245" s="31"/>
      <c r="H245" s="217"/>
    </row>
    <row r="246" spans="1:8" x14ac:dyDescent="0.2">
      <c r="A246" s="26"/>
      <c r="B246" s="26"/>
      <c r="C246" s="26" t="s">
        <v>2318</v>
      </c>
      <c r="D246" s="233"/>
      <c r="E246" s="218">
        <v>7371</v>
      </c>
      <c r="F246" s="219">
        <f>SUM(F240:F245)</f>
        <v>100</v>
      </c>
      <c r="G246" s="218">
        <v>13268</v>
      </c>
      <c r="H246" s="220">
        <v>55.6</v>
      </c>
    </row>
    <row r="247" spans="1:8" x14ac:dyDescent="0.2">
      <c r="A247" s="26"/>
      <c r="B247" s="26"/>
      <c r="C247" s="26" t="s">
        <v>2318</v>
      </c>
      <c r="D247" s="233"/>
      <c r="E247" s="31"/>
      <c r="F247" s="216"/>
      <c r="G247" s="31"/>
      <c r="H247" s="217"/>
    </row>
    <row r="248" spans="1:8" x14ac:dyDescent="0.2">
      <c r="A248" s="26" t="s">
        <v>999</v>
      </c>
      <c r="B248" s="26"/>
      <c r="C248" s="214" t="s">
        <v>4909</v>
      </c>
      <c r="D248" s="233" t="s">
        <v>1736</v>
      </c>
      <c r="E248" s="31">
        <v>9614</v>
      </c>
      <c r="F248" s="216">
        <v>7.9</v>
      </c>
      <c r="G248" s="31"/>
      <c r="H248" s="217"/>
    </row>
    <row r="249" spans="1:8" x14ac:dyDescent="0.2">
      <c r="A249" s="26"/>
      <c r="B249" s="26"/>
      <c r="C249" s="26" t="s">
        <v>4910</v>
      </c>
      <c r="D249" s="233" t="s">
        <v>655</v>
      </c>
      <c r="E249" s="31">
        <v>2645</v>
      </c>
      <c r="F249" s="216">
        <v>57.6</v>
      </c>
      <c r="G249" s="31"/>
      <c r="H249" s="217"/>
    </row>
    <row r="250" spans="1:8" x14ac:dyDescent="0.2">
      <c r="A250" s="26"/>
      <c r="B250" s="26"/>
      <c r="C250" s="26" t="s">
        <v>4911</v>
      </c>
      <c r="D250" s="233" t="s">
        <v>1071</v>
      </c>
      <c r="E250" s="31">
        <v>1101</v>
      </c>
      <c r="F250" s="216">
        <v>16.600000000000001</v>
      </c>
      <c r="G250" s="31"/>
      <c r="H250" s="217"/>
    </row>
    <row r="251" spans="1:8" x14ac:dyDescent="0.2">
      <c r="A251" s="26"/>
      <c r="B251" s="26"/>
      <c r="C251" s="26" t="s">
        <v>4912</v>
      </c>
      <c r="D251" s="233" t="s">
        <v>1072</v>
      </c>
      <c r="E251" s="31">
        <v>830</v>
      </c>
      <c r="F251" s="216">
        <v>17.899999999999999</v>
      </c>
      <c r="G251" s="31"/>
      <c r="H251" s="217"/>
    </row>
    <row r="252" spans="1:8" x14ac:dyDescent="0.2">
      <c r="A252" s="26"/>
      <c r="B252" s="26"/>
      <c r="C252" s="26" t="s">
        <v>2318</v>
      </c>
      <c r="D252" s="233"/>
      <c r="E252" s="218">
        <v>14210</v>
      </c>
      <c r="F252" s="219">
        <f>SUM(F248:F251)</f>
        <v>100</v>
      </c>
      <c r="G252" s="218">
        <v>23949</v>
      </c>
      <c r="H252" s="220">
        <v>59.3</v>
      </c>
    </row>
    <row r="253" spans="1:8" x14ac:dyDescent="0.2">
      <c r="A253" s="26"/>
      <c r="B253" s="26"/>
      <c r="C253" s="26" t="s">
        <v>2318</v>
      </c>
      <c r="D253" s="233"/>
      <c r="E253" s="31"/>
      <c r="F253" s="216"/>
      <c r="G253" s="31"/>
      <c r="H253" s="217"/>
    </row>
    <row r="254" spans="1:8" x14ac:dyDescent="0.2">
      <c r="A254" s="26" t="s">
        <v>2269</v>
      </c>
      <c r="B254" s="26"/>
      <c r="C254" s="214" t="s">
        <v>4913</v>
      </c>
      <c r="D254" s="233" t="s">
        <v>1736</v>
      </c>
      <c r="E254" s="31">
        <v>3872</v>
      </c>
      <c r="F254" s="216">
        <v>35.200000000000003</v>
      </c>
      <c r="G254" s="31"/>
      <c r="H254" s="217"/>
    </row>
    <row r="255" spans="1:8" x14ac:dyDescent="0.2">
      <c r="A255" s="26"/>
      <c r="B255" s="26"/>
      <c r="C255" s="26" t="s">
        <v>4914</v>
      </c>
      <c r="D255" s="233" t="s">
        <v>655</v>
      </c>
      <c r="E255" s="31">
        <v>1426</v>
      </c>
      <c r="F255" s="216">
        <v>8</v>
      </c>
      <c r="G255" s="31"/>
      <c r="H255" s="217"/>
    </row>
    <row r="256" spans="1:8" x14ac:dyDescent="0.2">
      <c r="A256" s="26"/>
      <c r="B256" s="26"/>
      <c r="C256" s="26" t="s">
        <v>4915</v>
      </c>
      <c r="D256" s="233" t="s">
        <v>1071</v>
      </c>
      <c r="E256" s="31">
        <v>651</v>
      </c>
      <c r="F256" s="216">
        <v>3.1</v>
      </c>
      <c r="G256" s="31"/>
      <c r="H256" s="217"/>
    </row>
    <row r="257" spans="1:8" x14ac:dyDescent="0.2">
      <c r="A257" s="26"/>
      <c r="B257" s="26"/>
      <c r="C257" s="26" t="s">
        <v>2318</v>
      </c>
      <c r="D257" s="233"/>
      <c r="E257" s="218">
        <v>5961</v>
      </c>
      <c r="F257" s="219">
        <f>SUM(F254:F256)</f>
        <v>46.300000000000004</v>
      </c>
      <c r="G257" s="218">
        <v>10506</v>
      </c>
      <c r="H257" s="220">
        <v>56.7</v>
      </c>
    </row>
    <row r="258" spans="1:8" x14ac:dyDescent="0.2">
      <c r="A258" s="26"/>
      <c r="B258" s="26"/>
      <c r="C258" s="26" t="s">
        <v>2318</v>
      </c>
      <c r="D258" s="233"/>
      <c r="E258" s="31"/>
      <c r="F258" s="216"/>
      <c r="G258" s="31"/>
      <c r="H258" s="217"/>
    </row>
    <row r="259" spans="1:8" x14ac:dyDescent="0.2">
      <c r="A259" s="26" t="s">
        <v>1920</v>
      </c>
      <c r="B259" s="26"/>
      <c r="C259" s="214" t="s">
        <v>4916</v>
      </c>
      <c r="D259" s="233" t="s">
        <v>1736</v>
      </c>
      <c r="E259" s="31">
        <v>6466</v>
      </c>
      <c r="F259" s="216">
        <v>50.3</v>
      </c>
      <c r="G259" s="31"/>
      <c r="H259" s="217"/>
    </row>
    <row r="260" spans="1:8" x14ac:dyDescent="0.2">
      <c r="A260" s="26"/>
      <c r="B260" s="26"/>
      <c r="C260" s="26" t="s">
        <v>4917</v>
      </c>
      <c r="D260" s="233" t="s">
        <v>655</v>
      </c>
      <c r="E260" s="31">
        <v>1962</v>
      </c>
      <c r="F260" s="216">
        <v>4.8</v>
      </c>
      <c r="G260" s="31"/>
      <c r="H260" s="217"/>
    </row>
    <row r="261" spans="1:8" x14ac:dyDescent="0.2">
      <c r="A261" s="26"/>
      <c r="B261" s="26"/>
      <c r="C261" s="26" t="s">
        <v>4918</v>
      </c>
      <c r="D261" s="233" t="s">
        <v>1071</v>
      </c>
      <c r="E261" s="31">
        <v>1475</v>
      </c>
      <c r="F261" s="216">
        <v>18</v>
      </c>
      <c r="G261" s="31"/>
      <c r="H261" s="217"/>
    </row>
    <row r="262" spans="1:8" x14ac:dyDescent="0.2">
      <c r="A262" s="26"/>
      <c r="B262" s="26"/>
      <c r="C262" s="26" t="s">
        <v>4919</v>
      </c>
      <c r="D262" s="233" t="s">
        <v>1072</v>
      </c>
      <c r="E262" s="31">
        <v>651</v>
      </c>
      <c r="F262" s="216">
        <v>26.9</v>
      </c>
      <c r="G262" s="31"/>
      <c r="H262" s="217"/>
    </row>
    <row r="263" spans="1:8" x14ac:dyDescent="0.2">
      <c r="A263" s="26"/>
      <c r="B263" s="26"/>
      <c r="C263" s="26" t="s">
        <v>2318</v>
      </c>
      <c r="D263" s="233"/>
      <c r="E263" s="218">
        <v>10586</v>
      </c>
      <c r="F263" s="219">
        <f>SUM(F259:F262)</f>
        <v>100</v>
      </c>
      <c r="G263" s="218">
        <v>16615</v>
      </c>
      <c r="H263" s="220">
        <v>63.7</v>
      </c>
    </row>
    <row r="264" spans="1:8" x14ac:dyDescent="0.2">
      <c r="A264" s="26"/>
      <c r="B264" s="26"/>
      <c r="C264" s="26"/>
      <c r="D264" s="233"/>
      <c r="E264" s="88"/>
      <c r="F264" s="84"/>
      <c r="G264" s="88"/>
      <c r="H264" s="235"/>
    </row>
    <row r="265" spans="1:8" x14ac:dyDescent="0.2">
      <c r="A265" s="26" t="s">
        <v>4920</v>
      </c>
      <c r="B265" s="26"/>
      <c r="C265" s="214" t="s">
        <v>4921</v>
      </c>
      <c r="D265" s="233" t="s">
        <v>1736</v>
      </c>
      <c r="E265" s="31">
        <v>2927</v>
      </c>
      <c r="F265" s="216">
        <v>50.3</v>
      </c>
      <c r="G265" s="31"/>
      <c r="H265" s="217"/>
    </row>
    <row r="266" spans="1:8" x14ac:dyDescent="0.2">
      <c r="A266" s="26"/>
      <c r="B266" s="26"/>
      <c r="C266" s="26" t="s">
        <v>4922</v>
      </c>
      <c r="D266" s="233" t="s">
        <v>1071</v>
      </c>
      <c r="E266" s="31">
        <v>817</v>
      </c>
      <c r="F266" s="216">
        <v>4.8</v>
      </c>
      <c r="G266" s="31"/>
      <c r="H266" s="217"/>
    </row>
    <row r="267" spans="1:8" x14ac:dyDescent="0.2">
      <c r="A267" s="26"/>
      <c r="B267" s="26"/>
      <c r="C267" s="26" t="s">
        <v>4923</v>
      </c>
      <c r="D267" s="233" t="s">
        <v>1072</v>
      </c>
      <c r="E267" s="31">
        <v>378</v>
      </c>
      <c r="F267" s="216">
        <v>18</v>
      </c>
      <c r="G267" s="31"/>
      <c r="H267" s="217"/>
    </row>
    <row r="268" spans="1:8" x14ac:dyDescent="0.2">
      <c r="A268" s="26"/>
      <c r="B268" s="26"/>
      <c r="C268" s="26" t="s">
        <v>4924</v>
      </c>
      <c r="D268" s="233" t="s">
        <v>655</v>
      </c>
      <c r="E268" s="31">
        <v>134</v>
      </c>
      <c r="F268" s="216">
        <v>26.9</v>
      </c>
      <c r="G268" s="31"/>
      <c r="H268" s="217"/>
    </row>
    <row r="269" spans="1:8" x14ac:dyDescent="0.2">
      <c r="A269" s="26"/>
      <c r="B269" s="26"/>
      <c r="C269" s="26" t="s">
        <v>2318</v>
      </c>
      <c r="D269" s="233"/>
      <c r="E269" s="218">
        <v>4266</v>
      </c>
      <c r="F269" s="219">
        <f>SUM(F265:F268)</f>
        <v>100</v>
      </c>
      <c r="G269" s="218">
        <v>5638</v>
      </c>
      <c r="H269" s="220">
        <v>75.7</v>
      </c>
    </row>
    <row r="270" spans="1:8" x14ac:dyDescent="0.2">
      <c r="A270" s="26"/>
      <c r="B270" s="26"/>
      <c r="C270" s="26" t="s">
        <v>2318</v>
      </c>
      <c r="D270" s="233"/>
      <c r="E270" s="31"/>
      <c r="F270" s="216"/>
      <c r="G270" s="31"/>
      <c r="H270" s="217"/>
    </row>
    <row r="271" spans="1:8" x14ac:dyDescent="0.2">
      <c r="A271" s="26" t="s">
        <v>1372</v>
      </c>
      <c r="B271" s="26"/>
      <c r="C271" s="214" t="s">
        <v>4676</v>
      </c>
      <c r="D271" s="233" t="s">
        <v>1736</v>
      </c>
      <c r="E271" s="31">
        <v>4037</v>
      </c>
      <c r="F271" s="216">
        <v>2.4900000000000002</v>
      </c>
      <c r="G271" s="31"/>
      <c r="H271" s="217"/>
    </row>
    <row r="272" spans="1:8" x14ac:dyDescent="0.2">
      <c r="A272" s="26"/>
      <c r="B272" s="26"/>
      <c r="C272" s="26" t="s">
        <v>4925</v>
      </c>
      <c r="D272" s="233" t="s">
        <v>1071</v>
      </c>
      <c r="E272" s="31">
        <v>1925</v>
      </c>
      <c r="F272" s="216">
        <v>27.29</v>
      </c>
      <c r="G272" s="31"/>
      <c r="H272" s="217"/>
    </row>
    <row r="273" spans="1:8" x14ac:dyDescent="0.2">
      <c r="A273" s="26"/>
      <c r="B273" s="26"/>
      <c r="C273" s="26" t="s">
        <v>4552</v>
      </c>
      <c r="D273" s="233" t="s">
        <v>655</v>
      </c>
      <c r="E273" s="31">
        <v>234</v>
      </c>
      <c r="F273" s="216">
        <v>3.66</v>
      </c>
      <c r="G273" s="31"/>
      <c r="H273" s="217"/>
    </row>
    <row r="274" spans="1:8" x14ac:dyDescent="0.2">
      <c r="A274" s="26"/>
      <c r="B274" s="26"/>
      <c r="C274" s="26" t="s">
        <v>4926</v>
      </c>
      <c r="D274" s="233" t="s">
        <v>1072</v>
      </c>
      <c r="E274" s="31">
        <v>125</v>
      </c>
      <c r="F274" s="216">
        <v>66.56</v>
      </c>
      <c r="G274" s="31"/>
      <c r="H274" s="217"/>
    </row>
    <row r="275" spans="1:8" x14ac:dyDescent="0.2">
      <c r="A275" s="26"/>
      <c r="B275" s="26"/>
      <c r="C275" s="26" t="s">
        <v>2318</v>
      </c>
      <c r="D275" s="233"/>
      <c r="E275" s="218">
        <v>6343</v>
      </c>
      <c r="F275" s="219">
        <f>SUM(F271:F274)</f>
        <v>100</v>
      </c>
      <c r="G275" s="218">
        <v>9177</v>
      </c>
      <c r="H275" s="220">
        <v>69.099999999999994</v>
      </c>
    </row>
    <row r="276" spans="1:8" x14ac:dyDescent="0.2">
      <c r="A276" s="26"/>
      <c r="B276" s="26"/>
      <c r="C276" s="26" t="s">
        <v>2318</v>
      </c>
      <c r="D276" s="233"/>
      <c r="E276" s="31"/>
      <c r="F276" s="216"/>
      <c r="G276" s="31"/>
      <c r="H276" s="217"/>
    </row>
    <row r="277" spans="1:8" x14ac:dyDescent="0.2">
      <c r="A277" s="26" t="s">
        <v>1742</v>
      </c>
      <c r="B277" s="26"/>
      <c r="C277" s="214" t="s">
        <v>4927</v>
      </c>
      <c r="D277" s="233" t="s">
        <v>1736</v>
      </c>
      <c r="E277" s="31">
        <v>4029</v>
      </c>
      <c r="F277" s="216">
        <v>1.32</v>
      </c>
      <c r="G277" s="31"/>
      <c r="H277" s="217"/>
    </row>
    <row r="278" spans="1:8" x14ac:dyDescent="0.2">
      <c r="A278" s="26"/>
      <c r="B278" s="26"/>
      <c r="C278" s="26" t="s">
        <v>870</v>
      </c>
      <c r="D278" s="233" t="s">
        <v>1071</v>
      </c>
      <c r="E278" s="31">
        <v>1512</v>
      </c>
      <c r="F278" s="216">
        <v>4.8499999999999996</v>
      </c>
      <c r="G278" s="31"/>
      <c r="H278" s="217"/>
    </row>
    <row r="279" spans="1:8" x14ac:dyDescent="0.2">
      <c r="A279" s="26"/>
      <c r="B279" s="26"/>
      <c r="C279" s="26" t="s">
        <v>4928</v>
      </c>
      <c r="D279" s="233" t="s">
        <v>655</v>
      </c>
      <c r="E279" s="31">
        <v>376</v>
      </c>
      <c r="F279" s="216">
        <v>38.15</v>
      </c>
      <c r="G279" s="31"/>
      <c r="H279" s="217"/>
    </row>
    <row r="280" spans="1:8" x14ac:dyDescent="0.2">
      <c r="A280" s="26"/>
      <c r="B280" s="26"/>
      <c r="C280" s="26" t="s">
        <v>4929</v>
      </c>
      <c r="D280" s="233" t="s">
        <v>1072</v>
      </c>
      <c r="E280" s="31">
        <v>147</v>
      </c>
      <c r="F280" s="216">
        <v>55.68</v>
      </c>
      <c r="G280" s="31"/>
      <c r="H280" s="217"/>
    </row>
    <row r="281" spans="1:8" x14ac:dyDescent="0.2">
      <c r="A281" s="26"/>
      <c r="B281" s="26"/>
      <c r="C281" s="26" t="s">
        <v>2318</v>
      </c>
      <c r="D281" s="233"/>
      <c r="E281" s="218">
        <v>6080</v>
      </c>
      <c r="F281" s="219">
        <f>SUM(F277:F280)</f>
        <v>100</v>
      </c>
      <c r="G281" s="218">
        <v>8620</v>
      </c>
      <c r="H281" s="220">
        <v>70.5</v>
      </c>
    </row>
    <row r="282" spans="1:8" x14ac:dyDescent="0.2">
      <c r="A282" s="26"/>
      <c r="B282" s="26"/>
      <c r="C282" s="26" t="s">
        <v>2318</v>
      </c>
      <c r="D282" s="233"/>
      <c r="E282" s="31"/>
      <c r="F282" s="216"/>
      <c r="G282" s="31"/>
      <c r="H282" s="217"/>
    </row>
    <row r="283" spans="1:8" x14ac:dyDescent="0.2">
      <c r="A283" s="26" t="s">
        <v>1744</v>
      </c>
      <c r="B283" s="26"/>
      <c r="C283" s="214" t="s">
        <v>4930</v>
      </c>
      <c r="D283" s="233" t="s">
        <v>1736</v>
      </c>
      <c r="E283" s="31">
        <v>4186</v>
      </c>
      <c r="F283" s="216">
        <v>4.6500000000000004</v>
      </c>
      <c r="G283" s="31"/>
      <c r="H283" s="217"/>
    </row>
    <row r="284" spans="1:8" x14ac:dyDescent="0.2">
      <c r="A284" s="26"/>
      <c r="B284" s="26"/>
      <c r="C284" s="26" t="s">
        <v>4931</v>
      </c>
      <c r="D284" s="233" t="s">
        <v>1071</v>
      </c>
      <c r="E284" s="31">
        <v>1414</v>
      </c>
      <c r="F284" s="216">
        <v>19.59</v>
      </c>
      <c r="G284" s="31"/>
      <c r="H284" s="217"/>
    </row>
    <row r="285" spans="1:8" x14ac:dyDescent="0.2">
      <c r="A285" s="26"/>
      <c r="B285" s="26"/>
      <c r="C285" s="26" t="s">
        <v>4932</v>
      </c>
      <c r="D285" s="233" t="s">
        <v>655</v>
      </c>
      <c r="E285" s="31">
        <v>486</v>
      </c>
      <c r="F285" s="216">
        <v>49.91</v>
      </c>
      <c r="G285" s="31"/>
      <c r="H285" s="217"/>
    </row>
    <row r="286" spans="1:8" x14ac:dyDescent="0.2">
      <c r="A286" s="26"/>
      <c r="B286" s="26"/>
      <c r="C286" s="26" t="s">
        <v>2318</v>
      </c>
      <c r="D286" s="233"/>
      <c r="E286" s="218">
        <v>6118</v>
      </c>
      <c r="F286" s="219">
        <f>SUM(F283:F285)</f>
        <v>74.150000000000006</v>
      </c>
      <c r="G286" s="218">
        <v>8505</v>
      </c>
      <c r="H286" s="220">
        <v>71.900000000000006</v>
      </c>
    </row>
    <row r="287" spans="1:8" x14ac:dyDescent="0.2">
      <c r="A287" s="26"/>
      <c r="B287" s="26"/>
      <c r="C287" s="26" t="s">
        <v>2318</v>
      </c>
      <c r="D287" s="233"/>
      <c r="E287" s="31"/>
      <c r="F287" s="216"/>
      <c r="G287" s="31"/>
      <c r="H287" s="217"/>
    </row>
    <row r="288" spans="1:8" x14ac:dyDescent="0.2">
      <c r="A288" s="26" t="s">
        <v>498</v>
      </c>
      <c r="B288" s="26"/>
      <c r="C288" s="214" t="s">
        <v>4933</v>
      </c>
      <c r="D288" s="233" t="s">
        <v>1736</v>
      </c>
      <c r="E288" s="31">
        <v>2859</v>
      </c>
      <c r="F288" s="216">
        <v>64.34</v>
      </c>
      <c r="G288" s="31"/>
      <c r="H288" s="217"/>
    </row>
    <row r="289" spans="1:8" x14ac:dyDescent="0.2">
      <c r="A289" s="26"/>
      <c r="B289" s="26"/>
      <c r="C289" s="26" t="s">
        <v>4934</v>
      </c>
      <c r="D289" s="233" t="s">
        <v>4665</v>
      </c>
      <c r="E289" s="31">
        <v>737</v>
      </c>
      <c r="F289" s="216">
        <v>1.23</v>
      </c>
      <c r="G289" s="31"/>
      <c r="H289" s="217"/>
    </row>
    <row r="290" spans="1:8" x14ac:dyDescent="0.2">
      <c r="A290" s="26"/>
      <c r="B290" s="26"/>
      <c r="C290" s="26" t="s">
        <v>4935</v>
      </c>
      <c r="D290" s="233" t="s">
        <v>1072</v>
      </c>
      <c r="E290" s="31">
        <v>703</v>
      </c>
      <c r="F290" s="216">
        <v>3.75</v>
      </c>
      <c r="G290" s="31"/>
      <c r="H290" s="217"/>
    </row>
    <row r="291" spans="1:8" x14ac:dyDescent="0.2">
      <c r="A291" s="26"/>
      <c r="B291" s="26"/>
      <c r="C291" s="26" t="s">
        <v>4936</v>
      </c>
      <c r="D291" s="233" t="s">
        <v>1071</v>
      </c>
      <c r="E291" s="31">
        <v>560</v>
      </c>
      <c r="F291" s="216">
        <v>20.329999999999998</v>
      </c>
      <c r="G291" s="31"/>
      <c r="H291" s="217"/>
    </row>
    <row r="292" spans="1:8" x14ac:dyDescent="0.2">
      <c r="A292" s="26"/>
      <c r="B292" s="26"/>
      <c r="C292" s="26" t="s">
        <v>4937</v>
      </c>
      <c r="D292" s="233" t="s">
        <v>655</v>
      </c>
      <c r="E292" s="31">
        <v>530</v>
      </c>
      <c r="F292" s="216">
        <v>10.35</v>
      </c>
      <c r="G292" s="31"/>
      <c r="H292" s="217"/>
    </row>
    <row r="293" spans="1:8" x14ac:dyDescent="0.2">
      <c r="A293" s="26"/>
      <c r="B293" s="26"/>
      <c r="C293" s="26" t="s">
        <v>2318</v>
      </c>
      <c r="D293" s="233"/>
      <c r="E293" s="218">
        <v>5427</v>
      </c>
      <c r="F293" s="219">
        <v>100</v>
      </c>
      <c r="G293" s="218">
        <v>9842</v>
      </c>
      <c r="H293" s="220">
        <v>55.1</v>
      </c>
    </row>
    <row r="294" spans="1:8" x14ac:dyDescent="0.2">
      <c r="A294" s="26"/>
      <c r="B294" s="26"/>
      <c r="C294" s="26" t="s">
        <v>2318</v>
      </c>
      <c r="D294" s="233"/>
      <c r="E294" s="31"/>
      <c r="F294" s="216"/>
      <c r="G294" s="31"/>
      <c r="H294" s="217"/>
    </row>
    <row r="295" spans="1:8" x14ac:dyDescent="0.2">
      <c r="A295" s="26" t="s">
        <v>2350</v>
      </c>
      <c r="B295" s="26"/>
      <c r="C295" s="214" t="s">
        <v>1517</v>
      </c>
      <c r="D295" s="233" t="s">
        <v>1736</v>
      </c>
      <c r="E295" s="31">
        <v>2387</v>
      </c>
      <c r="F295" s="216">
        <v>3.4</v>
      </c>
      <c r="G295" s="31"/>
      <c r="H295" s="217"/>
    </row>
    <row r="296" spans="1:8" x14ac:dyDescent="0.2">
      <c r="A296" s="26"/>
      <c r="B296" s="26"/>
      <c r="C296" s="26" t="s">
        <v>4938</v>
      </c>
      <c r="D296" s="233" t="s">
        <v>1071</v>
      </c>
      <c r="E296" s="31">
        <v>921</v>
      </c>
      <c r="F296" s="216">
        <v>34.700000000000003</v>
      </c>
      <c r="G296" s="31"/>
      <c r="H296" s="217"/>
    </row>
    <row r="297" spans="1:8" x14ac:dyDescent="0.2">
      <c r="A297" s="26"/>
      <c r="B297" s="26"/>
      <c r="C297" s="26" t="s">
        <v>4939</v>
      </c>
      <c r="D297" s="233" t="s">
        <v>655</v>
      </c>
      <c r="E297" s="31">
        <v>791</v>
      </c>
      <c r="F297" s="216">
        <v>15.9</v>
      </c>
      <c r="G297" s="31"/>
      <c r="H297" s="217"/>
    </row>
    <row r="298" spans="1:8" x14ac:dyDescent="0.2">
      <c r="A298" s="26"/>
      <c r="B298" s="26"/>
      <c r="C298" s="26" t="s">
        <v>2318</v>
      </c>
      <c r="D298" s="233"/>
      <c r="E298" s="218">
        <v>4122</v>
      </c>
      <c r="F298" s="219">
        <f>SUM(F295:F297)</f>
        <v>54</v>
      </c>
      <c r="G298" s="218">
        <v>7904</v>
      </c>
      <c r="H298" s="220">
        <v>52.2</v>
      </c>
    </row>
    <row r="299" spans="1:8" x14ac:dyDescent="0.2">
      <c r="A299" s="26"/>
      <c r="B299" s="26"/>
      <c r="C299" s="26" t="s">
        <v>2318</v>
      </c>
      <c r="D299" s="233"/>
      <c r="E299" s="31"/>
      <c r="F299" s="216"/>
      <c r="G299" s="31"/>
      <c r="H299" s="217"/>
    </row>
    <row r="300" spans="1:8" x14ac:dyDescent="0.2">
      <c r="A300" s="26" t="s">
        <v>2270</v>
      </c>
      <c r="B300" s="26"/>
      <c r="C300" s="214" t="s">
        <v>1518</v>
      </c>
      <c r="D300" s="233" t="s">
        <v>1736</v>
      </c>
      <c r="E300" s="31">
        <v>7233</v>
      </c>
      <c r="F300" s="216">
        <v>59.7</v>
      </c>
      <c r="G300" s="31"/>
      <c r="H300" s="217"/>
    </row>
    <row r="301" spans="1:8" x14ac:dyDescent="0.2">
      <c r="A301" s="26"/>
      <c r="B301" s="26"/>
      <c r="C301" s="26" t="s">
        <v>4940</v>
      </c>
      <c r="D301" s="233" t="s">
        <v>1071</v>
      </c>
      <c r="E301" s="31">
        <v>1915</v>
      </c>
      <c r="F301" s="216">
        <v>13.99</v>
      </c>
      <c r="G301" s="31"/>
      <c r="H301" s="217"/>
    </row>
    <row r="302" spans="1:8" x14ac:dyDescent="0.2">
      <c r="A302" s="26"/>
      <c r="B302" s="26"/>
      <c r="C302" s="26" t="s">
        <v>4941</v>
      </c>
      <c r="D302" s="233" t="s">
        <v>655</v>
      </c>
      <c r="E302" s="31">
        <v>1006</v>
      </c>
      <c r="F302" s="216">
        <v>12.45</v>
      </c>
      <c r="G302" s="31"/>
      <c r="H302" s="217"/>
    </row>
    <row r="303" spans="1:8" x14ac:dyDescent="0.2">
      <c r="A303" s="26"/>
      <c r="B303" s="26"/>
      <c r="C303" s="26" t="s">
        <v>4942</v>
      </c>
      <c r="D303" s="233" t="s">
        <v>1072</v>
      </c>
      <c r="E303" s="31">
        <v>645</v>
      </c>
      <c r="F303" s="216">
        <v>6.78</v>
      </c>
      <c r="G303" s="31"/>
      <c r="H303" s="217"/>
    </row>
    <row r="304" spans="1:8" x14ac:dyDescent="0.2">
      <c r="A304" s="26"/>
      <c r="B304" s="26"/>
      <c r="C304" s="26" t="s">
        <v>2318</v>
      </c>
      <c r="D304" s="233"/>
      <c r="E304" s="218">
        <v>10825</v>
      </c>
      <c r="F304" s="219">
        <f>SUM(F300:F303)</f>
        <v>92.92</v>
      </c>
      <c r="G304" s="218">
        <v>16981</v>
      </c>
      <c r="H304" s="220">
        <v>64.099999999999994</v>
      </c>
    </row>
    <row r="305" spans="1:8" x14ac:dyDescent="0.2">
      <c r="A305" s="26"/>
      <c r="B305" s="26"/>
      <c r="C305" s="26" t="s">
        <v>2318</v>
      </c>
      <c r="D305" s="233"/>
      <c r="E305" s="31"/>
      <c r="F305" s="216"/>
      <c r="G305" s="31"/>
      <c r="H305" s="217"/>
    </row>
    <row r="306" spans="1:8" x14ac:dyDescent="0.2">
      <c r="A306" s="26" t="s">
        <v>2338</v>
      </c>
      <c r="B306" s="26"/>
      <c r="C306" s="214" t="s">
        <v>1519</v>
      </c>
      <c r="D306" s="233" t="s">
        <v>1736</v>
      </c>
      <c r="E306" s="31">
        <v>3991</v>
      </c>
      <c r="F306" s="216">
        <v>11.05</v>
      </c>
      <c r="G306" s="31"/>
      <c r="H306" s="217"/>
    </row>
    <row r="307" spans="1:8" x14ac:dyDescent="0.2">
      <c r="A307" s="26"/>
      <c r="B307" s="26"/>
      <c r="C307" s="26" t="s">
        <v>4943</v>
      </c>
      <c r="D307" s="233" t="s">
        <v>1071</v>
      </c>
      <c r="E307" s="31">
        <v>1914</v>
      </c>
      <c r="F307" s="216">
        <v>18.489999999999998</v>
      </c>
      <c r="G307" s="31"/>
      <c r="H307" s="217"/>
    </row>
    <row r="308" spans="1:8" x14ac:dyDescent="0.2">
      <c r="A308" s="26"/>
      <c r="B308" s="26"/>
      <c r="C308" s="26" t="s">
        <v>1167</v>
      </c>
      <c r="D308" s="233" t="s">
        <v>655</v>
      </c>
      <c r="E308" s="31">
        <v>812</v>
      </c>
      <c r="F308" s="216">
        <v>5.81</v>
      </c>
      <c r="G308" s="31"/>
      <c r="H308" s="217"/>
    </row>
    <row r="309" spans="1:8" x14ac:dyDescent="0.2">
      <c r="A309" s="26"/>
      <c r="B309" s="26"/>
      <c r="C309" s="26" t="s">
        <v>2318</v>
      </c>
      <c r="D309" s="233"/>
      <c r="E309" s="218">
        <v>6850</v>
      </c>
      <c r="F309" s="219">
        <f>SUM(F306:F308)</f>
        <v>35.35</v>
      </c>
      <c r="G309" s="218">
        <v>10621</v>
      </c>
      <c r="H309" s="220">
        <v>64.5</v>
      </c>
    </row>
    <row r="310" spans="1:8" x14ac:dyDescent="0.2">
      <c r="A310" s="26"/>
      <c r="B310" s="26"/>
      <c r="C310" s="26" t="s">
        <v>2318</v>
      </c>
      <c r="D310" s="233"/>
      <c r="E310" s="31"/>
      <c r="F310" s="216"/>
      <c r="G310" s="31"/>
      <c r="H310" s="217"/>
    </row>
    <row r="311" spans="1:8" x14ac:dyDescent="0.2">
      <c r="A311" s="26" t="s">
        <v>3185</v>
      </c>
      <c r="B311" s="26"/>
      <c r="C311" s="214" t="s">
        <v>4944</v>
      </c>
      <c r="D311" s="233" t="s">
        <v>1071</v>
      </c>
      <c r="E311" s="31">
        <v>3132</v>
      </c>
      <c r="F311" s="216">
        <v>0.75</v>
      </c>
      <c r="G311" s="31"/>
      <c r="H311" s="217"/>
    </row>
    <row r="312" spans="1:8" x14ac:dyDescent="0.2">
      <c r="A312" s="26"/>
      <c r="B312" s="26"/>
      <c r="C312" s="26" t="s">
        <v>4945</v>
      </c>
      <c r="D312" s="233" t="s">
        <v>1736</v>
      </c>
      <c r="E312" s="31">
        <v>2019</v>
      </c>
      <c r="F312" s="216">
        <v>4.13</v>
      </c>
      <c r="G312" s="31"/>
      <c r="H312" s="217"/>
    </row>
    <row r="313" spans="1:8" x14ac:dyDescent="0.2">
      <c r="C313" s="26" t="s">
        <v>1168</v>
      </c>
      <c r="D313" s="233" t="s">
        <v>1072</v>
      </c>
      <c r="E313" s="31">
        <v>157</v>
      </c>
      <c r="F313" s="216">
        <v>29.49</v>
      </c>
    </row>
    <row r="314" spans="1:8" x14ac:dyDescent="0.2">
      <c r="A314" s="26"/>
      <c r="B314" s="26"/>
      <c r="C314" s="26" t="s">
        <v>4946</v>
      </c>
      <c r="D314" s="233" t="s">
        <v>655</v>
      </c>
      <c r="E314" s="31">
        <v>126</v>
      </c>
      <c r="F314" s="216">
        <v>65.63</v>
      </c>
      <c r="G314" s="31"/>
      <c r="H314" s="217"/>
    </row>
    <row r="315" spans="1:8" x14ac:dyDescent="0.2">
      <c r="A315" s="26"/>
      <c r="B315" s="26"/>
      <c r="C315" s="26" t="s">
        <v>2318</v>
      </c>
      <c r="D315" s="233"/>
      <c r="E315" s="218">
        <v>5445</v>
      </c>
      <c r="F315" s="219">
        <f>SUM(F311:F314)</f>
        <v>100</v>
      </c>
      <c r="G315" s="218">
        <v>7354</v>
      </c>
      <c r="H315" s="220">
        <v>74</v>
      </c>
    </row>
    <row r="316" spans="1:8" x14ac:dyDescent="0.2">
      <c r="A316" s="26"/>
      <c r="B316" s="26"/>
      <c r="C316" s="26" t="s">
        <v>2318</v>
      </c>
      <c r="D316" s="233"/>
      <c r="E316" s="31"/>
      <c r="F316" s="216"/>
      <c r="G316" s="31"/>
      <c r="H316" s="217"/>
    </row>
    <row r="317" spans="1:8" x14ac:dyDescent="0.2">
      <c r="A317" s="26" t="s">
        <v>2339</v>
      </c>
      <c r="B317" s="26"/>
      <c r="C317" s="214" t="s">
        <v>1520</v>
      </c>
      <c r="D317" s="233" t="s">
        <v>1736</v>
      </c>
      <c r="E317" s="31">
        <v>4370</v>
      </c>
      <c r="F317" s="216">
        <v>2.21</v>
      </c>
      <c r="G317" s="31"/>
      <c r="H317" s="217"/>
    </row>
    <row r="318" spans="1:8" x14ac:dyDescent="0.2">
      <c r="A318" s="26"/>
      <c r="B318" s="26"/>
      <c r="C318" s="26" t="s">
        <v>4947</v>
      </c>
      <c r="D318" s="233" t="s">
        <v>655</v>
      </c>
      <c r="E318" s="31">
        <v>938</v>
      </c>
      <c r="F318" s="216">
        <v>78.819999999999993</v>
      </c>
      <c r="G318" s="31"/>
      <c r="H318" s="217"/>
    </row>
    <row r="319" spans="1:8" x14ac:dyDescent="0.2">
      <c r="A319" s="26"/>
      <c r="B319" s="26"/>
      <c r="C319" s="26" t="s">
        <v>2318</v>
      </c>
      <c r="D319" s="233"/>
      <c r="E319" s="218">
        <v>5333</v>
      </c>
      <c r="F319" s="219">
        <f>SUM(F317:F318)</f>
        <v>81.029999999999987</v>
      </c>
      <c r="G319" s="218">
        <v>8135</v>
      </c>
      <c r="H319" s="220">
        <v>65.599999999999994</v>
      </c>
    </row>
    <row r="320" spans="1:8" x14ac:dyDescent="0.2">
      <c r="A320" s="26"/>
      <c r="B320" s="26"/>
      <c r="C320" s="26" t="s">
        <v>2318</v>
      </c>
      <c r="D320" s="233"/>
      <c r="E320" s="31"/>
      <c r="F320" s="216"/>
      <c r="G320" s="31"/>
      <c r="H320" s="217"/>
    </row>
    <row r="321" spans="1:8" x14ac:dyDescent="0.2">
      <c r="A321" s="26" t="s">
        <v>1752</v>
      </c>
      <c r="B321" s="26"/>
      <c r="C321" s="214" t="s">
        <v>4948</v>
      </c>
      <c r="D321" s="233" t="s">
        <v>1736</v>
      </c>
      <c r="E321" s="31">
        <v>3671</v>
      </c>
      <c r="F321" s="216">
        <v>5.4</v>
      </c>
      <c r="G321" s="31"/>
      <c r="H321" s="217"/>
    </row>
    <row r="322" spans="1:8" x14ac:dyDescent="0.2">
      <c r="A322" s="26"/>
      <c r="B322" s="26"/>
      <c r="C322" s="26" t="s">
        <v>4949</v>
      </c>
      <c r="D322" s="233" t="s">
        <v>1071</v>
      </c>
      <c r="E322" s="31">
        <v>2359</v>
      </c>
      <c r="F322" s="216">
        <v>58.9</v>
      </c>
      <c r="G322" s="31"/>
      <c r="H322" s="217"/>
    </row>
    <row r="323" spans="1:8" x14ac:dyDescent="0.2">
      <c r="A323" s="26"/>
      <c r="B323" s="26"/>
      <c r="C323" s="26" t="s">
        <v>4950</v>
      </c>
      <c r="D323" s="233" t="s">
        <v>655</v>
      </c>
      <c r="E323" s="31">
        <v>330</v>
      </c>
      <c r="F323" s="216">
        <v>33.299999999999997</v>
      </c>
      <c r="G323" s="31"/>
      <c r="H323" s="217"/>
    </row>
    <row r="324" spans="1:8" x14ac:dyDescent="0.2">
      <c r="A324" s="26"/>
      <c r="B324" s="26"/>
      <c r="C324" s="26" t="s">
        <v>4951</v>
      </c>
      <c r="D324" s="233" t="s">
        <v>1072</v>
      </c>
      <c r="E324" s="31">
        <v>231</v>
      </c>
      <c r="F324" s="216">
        <v>2.4</v>
      </c>
      <c r="G324" s="31"/>
      <c r="H324" s="217"/>
    </row>
    <row r="325" spans="1:8" x14ac:dyDescent="0.2">
      <c r="A325" s="26"/>
      <c r="B325" s="26"/>
      <c r="C325" s="26" t="s">
        <v>2318</v>
      </c>
      <c r="D325" s="233"/>
      <c r="E325" s="218">
        <v>6630</v>
      </c>
      <c r="F325" s="219">
        <v>100</v>
      </c>
      <c r="G325" s="218">
        <v>9833</v>
      </c>
      <c r="H325" s="220">
        <v>64.7</v>
      </c>
    </row>
    <row r="326" spans="1:8" x14ac:dyDescent="0.2">
      <c r="A326" s="26"/>
      <c r="B326" s="26"/>
      <c r="C326" s="26" t="s">
        <v>2318</v>
      </c>
      <c r="D326" s="233"/>
      <c r="E326" s="31"/>
      <c r="F326" s="216"/>
      <c r="G326" s="31"/>
      <c r="H326" s="217"/>
    </row>
    <row r="327" spans="1:8" x14ac:dyDescent="0.2">
      <c r="A327" s="26" t="s">
        <v>4952</v>
      </c>
      <c r="B327" s="26"/>
      <c r="C327" s="214" t="s">
        <v>1521</v>
      </c>
      <c r="D327" s="233" t="s">
        <v>1736</v>
      </c>
      <c r="E327" s="31">
        <v>5678</v>
      </c>
      <c r="F327" s="216">
        <v>13.72</v>
      </c>
      <c r="G327" s="31"/>
      <c r="H327" s="217"/>
    </row>
    <row r="328" spans="1:8" x14ac:dyDescent="0.2">
      <c r="A328" s="26"/>
      <c r="B328" s="26"/>
      <c r="C328" s="26" t="s">
        <v>4954</v>
      </c>
      <c r="D328" s="233" t="s">
        <v>1071</v>
      </c>
      <c r="E328" s="31">
        <v>5548</v>
      </c>
      <c r="F328" s="216">
        <v>72.849999999999994</v>
      </c>
      <c r="G328" s="31"/>
      <c r="H328" s="217"/>
    </row>
    <row r="329" spans="1:8" x14ac:dyDescent="0.2">
      <c r="A329" s="26"/>
      <c r="B329" s="26"/>
      <c r="C329" s="26" t="s">
        <v>4955</v>
      </c>
      <c r="D329" s="233" t="s">
        <v>1072</v>
      </c>
      <c r="E329" s="31">
        <v>532</v>
      </c>
      <c r="F329" s="216">
        <v>5.25</v>
      </c>
      <c r="G329" s="31"/>
      <c r="H329" s="217"/>
    </row>
    <row r="330" spans="1:8" x14ac:dyDescent="0.2">
      <c r="A330" s="26"/>
      <c r="B330" s="26"/>
      <c r="C330" s="26" t="s">
        <v>4956</v>
      </c>
      <c r="D330" s="233" t="s">
        <v>655</v>
      </c>
      <c r="E330" s="31">
        <v>417</v>
      </c>
      <c r="F330" s="216"/>
      <c r="G330" s="31"/>
      <c r="H330" s="217"/>
    </row>
    <row r="331" spans="1:8" x14ac:dyDescent="0.2">
      <c r="A331" s="26"/>
      <c r="B331" s="26"/>
      <c r="C331" s="26" t="s">
        <v>4957</v>
      </c>
      <c r="D331" s="233" t="s">
        <v>4665</v>
      </c>
      <c r="E331" s="31">
        <v>53</v>
      </c>
      <c r="F331" s="216">
        <v>8.18</v>
      </c>
      <c r="G331" s="31"/>
      <c r="H331" s="217"/>
    </row>
    <row r="332" spans="1:8" x14ac:dyDescent="0.2">
      <c r="A332" s="26"/>
      <c r="B332" s="26"/>
      <c r="C332" s="26" t="s">
        <v>2318</v>
      </c>
      <c r="D332" s="233"/>
      <c r="E332" s="218">
        <v>12255</v>
      </c>
      <c r="F332" s="219">
        <f>SUM(F327:F331)</f>
        <v>100</v>
      </c>
      <c r="G332" s="218">
        <v>20279</v>
      </c>
      <c r="H332" s="220">
        <v>60.4</v>
      </c>
    </row>
    <row r="333" spans="1:8" x14ac:dyDescent="0.2">
      <c r="A333" s="26"/>
      <c r="B333" s="26"/>
      <c r="C333" s="26" t="s">
        <v>2318</v>
      </c>
      <c r="D333" s="233"/>
      <c r="E333" s="31"/>
      <c r="F333" s="216"/>
      <c r="G333" s="31"/>
      <c r="H333" s="217"/>
    </row>
    <row r="334" spans="1:8" x14ac:dyDescent="0.2">
      <c r="A334" s="26" t="s">
        <v>1978</v>
      </c>
      <c r="B334" s="26"/>
      <c r="C334" s="214" t="s">
        <v>4953</v>
      </c>
      <c r="D334" s="233" t="s">
        <v>1071</v>
      </c>
      <c r="E334" s="31">
        <v>4400</v>
      </c>
      <c r="F334" s="216">
        <v>70.16</v>
      </c>
      <c r="G334" s="31"/>
      <c r="H334" s="217"/>
    </row>
    <row r="335" spans="1:8" x14ac:dyDescent="0.2">
      <c r="A335" s="26"/>
      <c r="B335" s="26"/>
      <c r="C335" s="26" t="s">
        <v>4958</v>
      </c>
      <c r="D335" s="233" t="s">
        <v>1736</v>
      </c>
      <c r="E335" s="31">
        <v>2860</v>
      </c>
      <c r="F335" s="216">
        <v>27.57</v>
      </c>
      <c r="G335" s="31"/>
      <c r="H335" s="217"/>
    </row>
    <row r="336" spans="1:8" x14ac:dyDescent="0.2">
      <c r="A336" s="26"/>
      <c r="B336" s="26"/>
      <c r="C336" s="26" t="s">
        <v>4959</v>
      </c>
      <c r="D336" s="233" t="s">
        <v>655</v>
      </c>
      <c r="E336" s="31">
        <v>209</v>
      </c>
      <c r="F336" s="216">
        <v>1.67</v>
      </c>
      <c r="G336" s="31"/>
      <c r="H336" s="217"/>
    </row>
    <row r="337" spans="1:8" x14ac:dyDescent="0.2">
      <c r="A337" s="26"/>
      <c r="B337" s="26"/>
      <c r="C337" s="26" t="s">
        <v>2318</v>
      </c>
      <c r="D337" s="233"/>
      <c r="E337" s="218">
        <v>7476</v>
      </c>
      <c r="F337" s="219">
        <f>SUM(F334:F336)</f>
        <v>99.399999999999991</v>
      </c>
      <c r="G337" s="218">
        <v>9737</v>
      </c>
      <c r="H337" s="220">
        <v>76.8</v>
      </c>
    </row>
    <row r="338" spans="1:8" x14ac:dyDescent="0.2">
      <c r="A338" s="26"/>
      <c r="B338" s="26"/>
      <c r="C338" s="26" t="s">
        <v>2318</v>
      </c>
      <c r="D338" s="233"/>
      <c r="E338" s="31"/>
      <c r="F338" s="216"/>
      <c r="G338" s="31"/>
      <c r="H338" s="217"/>
    </row>
    <row r="339" spans="1:8" x14ac:dyDescent="0.2">
      <c r="A339" s="26" t="s">
        <v>415</v>
      </c>
      <c r="B339" s="26"/>
      <c r="C339" s="214" t="s">
        <v>1522</v>
      </c>
      <c r="D339" s="233" t="s">
        <v>1736</v>
      </c>
      <c r="E339" s="31">
        <v>3567</v>
      </c>
      <c r="F339" s="216">
        <v>59.8</v>
      </c>
      <c r="G339" s="31"/>
      <c r="H339" s="217"/>
    </row>
    <row r="340" spans="1:8" x14ac:dyDescent="0.2">
      <c r="A340" s="26"/>
      <c r="B340" s="26"/>
      <c r="C340" s="26" t="s">
        <v>4960</v>
      </c>
      <c r="D340" s="233" t="s">
        <v>655</v>
      </c>
      <c r="E340" s="31">
        <v>1292</v>
      </c>
      <c r="F340" s="216">
        <v>24.59</v>
      </c>
      <c r="G340" s="31"/>
      <c r="H340" s="217"/>
    </row>
    <row r="341" spans="1:8" x14ac:dyDescent="0.2">
      <c r="A341" s="26"/>
      <c r="B341" s="26"/>
      <c r="C341" s="26" t="s">
        <v>4961</v>
      </c>
      <c r="D341" s="233" t="s">
        <v>1071</v>
      </c>
      <c r="E341" s="31">
        <v>897</v>
      </c>
      <c r="F341" s="216">
        <v>3.59</v>
      </c>
      <c r="G341" s="31"/>
      <c r="H341" s="217"/>
    </row>
    <row r="342" spans="1:8" x14ac:dyDescent="0.2">
      <c r="A342" s="26"/>
      <c r="B342" s="26"/>
      <c r="C342" s="26" t="s">
        <v>4962</v>
      </c>
      <c r="D342" s="233" t="s">
        <v>1548</v>
      </c>
      <c r="E342" s="31">
        <v>92</v>
      </c>
      <c r="F342" s="216">
        <v>12.02</v>
      </c>
      <c r="G342" s="31"/>
      <c r="H342" s="217"/>
    </row>
    <row r="343" spans="1:8" x14ac:dyDescent="0.2">
      <c r="A343" s="26"/>
      <c r="B343" s="26"/>
      <c r="C343" s="26" t="s">
        <v>2318</v>
      </c>
      <c r="D343" s="233"/>
      <c r="E343" s="218">
        <v>5871</v>
      </c>
      <c r="F343" s="219">
        <f>SUM(F339:F342)</f>
        <v>100</v>
      </c>
      <c r="G343" s="218">
        <v>10782</v>
      </c>
      <c r="H343" s="220">
        <v>54.5</v>
      </c>
    </row>
    <row r="344" spans="1:8" x14ac:dyDescent="0.2">
      <c r="A344" s="26"/>
      <c r="B344" s="26"/>
      <c r="C344" s="26" t="s">
        <v>2318</v>
      </c>
      <c r="D344" s="233"/>
      <c r="E344" s="31"/>
      <c r="F344" s="216"/>
      <c r="G344" s="31"/>
      <c r="H344" s="217"/>
    </row>
    <row r="345" spans="1:8" x14ac:dyDescent="0.2">
      <c r="A345" s="26" t="s">
        <v>584</v>
      </c>
      <c r="B345" s="26"/>
      <c r="C345" s="214" t="s">
        <v>4711</v>
      </c>
      <c r="D345" s="233" t="s">
        <v>1736</v>
      </c>
      <c r="E345" s="31">
        <v>3209</v>
      </c>
      <c r="F345" s="216">
        <v>60.67</v>
      </c>
      <c r="G345" s="31"/>
      <c r="H345" s="217"/>
    </row>
    <row r="346" spans="1:8" x14ac:dyDescent="0.2">
      <c r="A346" s="26"/>
      <c r="B346" s="26"/>
      <c r="C346" s="26" t="s">
        <v>4963</v>
      </c>
      <c r="D346" s="233" t="s">
        <v>1071</v>
      </c>
      <c r="E346" s="31">
        <v>1837</v>
      </c>
      <c r="F346" s="216">
        <v>10.68</v>
      </c>
      <c r="G346" s="31"/>
      <c r="H346" s="217"/>
    </row>
    <row r="347" spans="1:8" x14ac:dyDescent="0.2">
      <c r="A347" s="26"/>
      <c r="B347" s="26"/>
      <c r="C347" s="26" t="s">
        <v>4964</v>
      </c>
      <c r="D347" s="233" t="s">
        <v>655</v>
      </c>
      <c r="E347" s="31">
        <v>235</v>
      </c>
      <c r="F347" s="216">
        <v>3.08</v>
      </c>
      <c r="G347" s="31"/>
      <c r="H347" s="217"/>
    </row>
    <row r="348" spans="1:8" x14ac:dyDescent="0.2">
      <c r="A348" s="26"/>
      <c r="B348" s="26"/>
      <c r="C348" s="26" t="s">
        <v>4965</v>
      </c>
      <c r="D348" s="233" t="s">
        <v>653</v>
      </c>
      <c r="E348" s="31">
        <v>49</v>
      </c>
      <c r="F348" s="216">
        <v>25.57</v>
      </c>
      <c r="G348" s="31"/>
      <c r="H348" s="217"/>
    </row>
    <row r="349" spans="1:8" x14ac:dyDescent="0.2">
      <c r="A349" s="26"/>
      <c r="B349" s="26"/>
      <c r="C349" s="26" t="s">
        <v>2318</v>
      </c>
      <c r="D349" s="233"/>
      <c r="E349" s="218">
        <v>5365</v>
      </c>
      <c r="F349" s="219">
        <f>SUM(F345:F348)</f>
        <v>100</v>
      </c>
      <c r="G349" s="218">
        <v>7488</v>
      </c>
      <c r="H349" s="220">
        <v>71.7</v>
      </c>
    </row>
    <row r="350" spans="1:8" x14ac:dyDescent="0.2">
      <c r="A350" s="26"/>
      <c r="B350" s="26"/>
      <c r="C350" s="26" t="s">
        <v>2318</v>
      </c>
      <c r="D350" s="233"/>
      <c r="E350" s="31"/>
      <c r="F350" s="216"/>
      <c r="G350" s="31"/>
      <c r="H350" s="217"/>
    </row>
    <row r="351" spans="1:8" x14ac:dyDescent="0.2">
      <c r="A351" s="26" t="s">
        <v>2340</v>
      </c>
      <c r="B351" s="26"/>
      <c r="C351" s="214" t="s">
        <v>4718</v>
      </c>
      <c r="D351" s="233" t="s">
        <v>1736</v>
      </c>
      <c r="E351" s="31">
        <v>3328</v>
      </c>
      <c r="F351" s="216">
        <v>19.48</v>
      </c>
      <c r="G351" s="31"/>
      <c r="H351" s="217"/>
    </row>
    <row r="352" spans="1:8" x14ac:dyDescent="0.2">
      <c r="A352" s="26"/>
      <c r="B352" s="26"/>
      <c r="C352" s="26" t="s">
        <v>4966</v>
      </c>
      <c r="D352" s="233" t="s">
        <v>1071</v>
      </c>
      <c r="E352" s="31">
        <v>1263</v>
      </c>
      <c r="F352" s="216">
        <v>1.72</v>
      </c>
      <c r="G352" s="31"/>
      <c r="H352" s="217"/>
    </row>
    <row r="353" spans="1:8" x14ac:dyDescent="0.2">
      <c r="A353" s="26"/>
      <c r="B353" s="26"/>
      <c r="C353" s="26" t="s">
        <v>4967</v>
      </c>
      <c r="D353" s="233" t="s">
        <v>655</v>
      </c>
      <c r="E353" s="224">
        <v>932</v>
      </c>
      <c r="F353" s="216">
        <v>28.27</v>
      </c>
      <c r="G353" s="31"/>
      <c r="H353" s="217"/>
    </row>
    <row r="354" spans="1:8" x14ac:dyDescent="0.2">
      <c r="A354" s="26"/>
      <c r="B354" s="26"/>
      <c r="C354" s="26" t="s">
        <v>2318</v>
      </c>
      <c r="D354" s="233"/>
      <c r="E354" s="218">
        <v>5584</v>
      </c>
      <c r="F354" s="219">
        <f>SUM(F351:F353)</f>
        <v>49.47</v>
      </c>
      <c r="G354" s="218">
        <v>9024</v>
      </c>
      <c r="H354" s="220">
        <v>61.9</v>
      </c>
    </row>
    <row r="355" spans="1:8" x14ac:dyDescent="0.2">
      <c r="A355" s="26"/>
      <c r="B355" s="26"/>
      <c r="C355" s="26" t="s">
        <v>2318</v>
      </c>
      <c r="D355" s="233"/>
      <c r="E355" s="31"/>
      <c r="F355" s="216"/>
      <c r="G355" s="31"/>
      <c r="H355" s="217"/>
    </row>
    <row r="356" spans="1:8" x14ac:dyDescent="0.2">
      <c r="A356" s="26" t="s">
        <v>2341</v>
      </c>
      <c r="B356" s="26"/>
      <c r="C356" s="214" t="s">
        <v>4968</v>
      </c>
      <c r="D356" s="233" t="s">
        <v>1736</v>
      </c>
      <c r="E356" s="31">
        <v>6566</v>
      </c>
      <c r="F356" s="216">
        <v>1.95</v>
      </c>
      <c r="G356" s="31"/>
      <c r="H356" s="217"/>
    </row>
    <row r="357" spans="1:8" x14ac:dyDescent="0.2">
      <c r="A357" s="26"/>
      <c r="B357" s="26"/>
      <c r="C357" s="26" t="s">
        <v>4969</v>
      </c>
      <c r="D357" s="233" t="s">
        <v>1071</v>
      </c>
      <c r="E357" s="31">
        <v>1538</v>
      </c>
      <c r="F357" s="216">
        <v>43.22</v>
      </c>
      <c r="G357" s="31"/>
      <c r="H357" s="217"/>
    </row>
    <row r="358" spans="1:8" x14ac:dyDescent="0.2">
      <c r="A358" s="26"/>
      <c r="B358" s="26"/>
      <c r="C358" s="26" t="s">
        <v>4721</v>
      </c>
      <c r="D358" s="233" t="s">
        <v>655</v>
      </c>
      <c r="E358" s="31">
        <v>1317</v>
      </c>
      <c r="F358" s="216">
        <v>40.79</v>
      </c>
      <c r="G358" s="31"/>
      <c r="H358" s="217"/>
    </row>
    <row r="359" spans="1:8" x14ac:dyDescent="0.2">
      <c r="A359" s="26"/>
      <c r="B359" s="26"/>
      <c r="C359" s="26" t="s">
        <v>4970</v>
      </c>
      <c r="D359" s="233" t="s">
        <v>1072</v>
      </c>
      <c r="E359" s="31">
        <v>549</v>
      </c>
      <c r="F359" s="216">
        <v>14.04</v>
      </c>
      <c r="G359" s="31"/>
      <c r="H359" s="217"/>
    </row>
    <row r="360" spans="1:8" x14ac:dyDescent="0.2">
      <c r="A360" s="26"/>
      <c r="B360" s="26"/>
      <c r="C360" s="26" t="s">
        <v>2318</v>
      </c>
      <c r="D360" s="233"/>
      <c r="E360" s="218">
        <v>9988</v>
      </c>
      <c r="F360" s="219">
        <f>SUM(F356:F359)</f>
        <v>100</v>
      </c>
      <c r="G360" s="218">
        <v>16996</v>
      </c>
      <c r="H360" s="220">
        <v>58.7</v>
      </c>
    </row>
    <row r="361" spans="1:8" x14ac:dyDescent="0.2">
      <c r="A361" s="26"/>
      <c r="B361" s="26"/>
      <c r="C361" s="26" t="s">
        <v>2318</v>
      </c>
      <c r="D361" s="233"/>
      <c r="E361" s="31"/>
      <c r="F361" s="216"/>
      <c r="G361" s="31"/>
      <c r="H361" s="217"/>
    </row>
    <row r="362" spans="1:8" x14ac:dyDescent="0.2">
      <c r="A362" s="26" t="s">
        <v>588</v>
      </c>
      <c r="B362" s="26"/>
      <c r="C362" s="214" t="s">
        <v>962</v>
      </c>
      <c r="D362" s="233" t="s">
        <v>1736</v>
      </c>
      <c r="E362" s="31">
        <v>3784</v>
      </c>
      <c r="F362" s="216">
        <v>7.28</v>
      </c>
      <c r="G362" s="31"/>
      <c r="H362" s="217"/>
    </row>
    <row r="363" spans="1:8" x14ac:dyDescent="0.2">
      <c r="A363" s="26"/>
      <c r="B363" s="26"/>
      <c r="C363" s="26" t="s">
        <v>4971</v>
      </c>
      <c r="D363" s="233" t="s">
        <v>655</v>
      </c>
      <c r="E363" s="31">
        <v>1824</v>
      </c>
      <c r="F363" s="216">
        <v>38.22</v>
      </c>
      <c r="G363" s="31"/>
      <c r="H363" s="217"/>
    </row>
    <row r="364" spans="1:8" x14ac:dyDescent="0.2">
      <c r="A364" s="26"/>
      <c r="B364" s="26"/>
      <c r="C364" s="26" t="s">
        <v>4972</v>
      </c>
      <c r="D364" s="233" t="s">
        <v>1547</v>
      </c>
      <c r="E364" s="31">
        <v>116</v>
      </c>
      <c r="F364" s="216">
        <v>1.97</v>
      </c>
      <c r="G364" s="31"/>
      <c r="H364" s="217"/>
    </row>
    <row r="365" spans="1:8" x14ac:dyDescent="0.2">
      <c r="A365" s="26"/>
      <c r="B365" s="26"/>
      <c r="C365" s="26" t="s">
        <v>2318</v>
      </c>
      <c r="D365" s="233"/>
      <c r="E365" s="218">
        <v>5768</v>
      </c>
      <c r="F365" s="219">
        <f>SUM(F362:F364)</f>
        <v>47.47</v>
      </c>
      <c r="G365" s="218">
        <v>8513</v>
      </c>
      <c r="H365" s="220">
        <v>67.8</v>
      </c>
    </row>
    <row r="366" spans="1:8" x14ac:dyDescent="0.2">
      <c r="A366" s="26"/>
      <c r="B366" s="26"/>
      <c r="C366" s="26" t="s">
        <v>2318</v>
      </c>
      <c r="D366" s="233"/>
      <c r="E366" s="31"/>
      <c r="F366" s="216"/>
      <c r="G366" s="31"/>
      <c r="H366" s="217"/>
    </row>
    <row r="367" spans="1:8" x14ac:dyDescent="0.2">
      <c r="A367" s="26" t="s">
        <v>441</v>
      </c>
      <c r="B367" s="26"/>
      <c r="C367" s="214" t="s">
        <v>4973</v>
      </c>
      <c r="D367" s="233" t="s">
        <v>1736</v>
      </c>
      <c r="E367" s="31">
        <v>4119</v>
      </c>
      <c r="F367" s="216">
        <v>34.21</v>
      </c>
      <c r="G367" s="31"/>
      <c r="H367" s="217"/>
    </row>
    <row r="368" spans="1:8" x14ac:dyDescent="0.2">
      <c r="A368" s="26"/>
      <c r="B368" s="26"/>
      <c r="C368" s="26" t="s">
        <v>4974</v>
      </c>
      <c r="D368" s="233" t="s">
        <v>1071</v>
      </c>
      <c r="E368" s="31">
        <v>1537</v>
      </c>
      <c r="F368" s="216">
        <v>53.1</v>
      </c>
      <c r="G368" s="31"/>
      <c r="H368" s="217"/>
    </row>
    <row r="369" spans="1:8" x14ac:dyDescent="0.2">
      <c r="A369" s="26"/>
      <c r="B369" s="26"/>
      <c r="C369" s="26" t="s">
        <v>4975</v>
      </c>
      <c r="D369" s="233" t="s">
        <v>655</v>
      </c>
      <c r="E369" s="31">
        <v>576</v>
      </c>
      <c r="F369" s="216">
        <v>1.35</v>
      </c>
      <c r="G369" s="31"/>
      <c r="H369" s="217"/>
    </row>
    <row r="370" spans="1:8" x14ac:dyDescent="0.2">
      <c r="A370" s="26"/>
      <c r="B370" s="26"/>
      <c r="C370" s="26" t="s">
        <v>2318</v>
      </c>
      <c r="D370" s="233"/>
      <c r="E370" s="218">
        <v>6246</v>
      </c>
      <c r="F370" s="219">
        <f>SUM(F367:F369)</f>
        <v>88.66</v>
      </c>
      <c r="G370" s="218">
        <v>8935</v>
      </c>
      <c r="H370" s="220">
        <v>70</v>
      </c>
    </row>
    <row r="371" spans="1:8" x14ac:dyDescent="0.2">
      <c r="A371" s="26"/>
      <c r="B371" s="26"/>
      <c r="C371" s="26" t="s">
        <v>2318</v>
      </c>
      <c r="D371" s="233"/>
      <c r="E371" s="31"/>
      <c r="F371" s="216"/>
      <c r="G371" s="31"/>
      <c r="H371" s="217"/>
    </row>
    <row r="372" spans="1:8" x14ac:dyDescent="0.2">
      <c r="A372" s="26" t="s">
        <v>446</v>
      </c>
      <c r="B372" s="26"/>
      <c r="C372" s="214" t="s">
        <v>3080</v>
      </c>
      <c r="D372" s="233" t="s">
        <v>1736</v>
      </c>
      <c r="E372" s="31">
        <v>6450</v>
      </c>
      <c r="F372" s="216">
        <v>19.98</v>
      </c>
      <c r="G372" s="31"/>
      <c r="H372" s="217"/>
    </row>
    <row r="373" spans="1:8" x14ac:dyDescent="0.2">
      <c r="A373" s="26"/>
      <c r="B373" s="26"/>
      <c r="C373" s="26" t="s">
        <v>4980</v>
      </c>
      <c r="D373" s="233" t="s">
        <v>1071</v>
      </c>
      <c r="E373" s="31">
        <v>2221</v>
      </c>
      <c r="F373" s="216">
        <v>58.85</v>
      </c>
      <c r="G373" s="31"/>
      <c r="H373" s="217"/>
    </row>
    <row r="374" spans="1:8" x14ac:dyDescent="0.2">
      <c r="A374" s="26"/>
      <c r="B374" s="26"/>
      <c r="C374" s="26" t="s">
        <v>4981</v>
      </c>
      <c r="D374" s="233" t="s">
        <v>655</v>
      </c>
      <c r="E374" s="31">
        <v>1591</v>
      </c>
      <c r="F374" s="216">
        <v>10.6</v>
      </c>
      <c r="G374" s="31"/>
      <c r="H374" s="217"/>
    </row>
    <row r="375" spans="1:8" x14ac:dyDescent="0.2">
      <c r="A375" s="26"/>
      <c r="B375" s="26"/>
      <c r="C375" s="26" t="s">
        <v>4982</v>
      </c>
      <c r="D375" s="233" t="s">
        <v>1072</v>
      </c>
      <c r="E375" s="31">
        <v>1564</v>
      </c>
      <c r="F375" s="216">
        <v>10.57</v>
      </c>
      <c r="G375" s="31"/>
      <c r="H375" s="217"/>
    </row>
    <row r="376" spans="1:8" x14ac:dyDescent="0.2">
      <c r="A376" s="26"/>
      <c r="B376" s="26"/>
      <c r="C376" s="26" t="s">
        <v>2318</v>
      </c>
      <c r="D376" s="233"/>
      <c r="E376" s="218">
        <v>11874</v>
      </c>
      <c r="F376" s="219">
        <f>SUM(F372:F375)</f>
        <v>100</v>
      </c>
      <c r="G376" s="218">
        <v>22749</v>
      </c>
      <c r="H376" s="220">
        <v>52.2</v>
      </c>
    </row>
    <row r="377" spans="1:8" x14ac:dyDescent="0.2">
      <c r="A377" s="26"/>
      <c r="B377" s="26"/>
      <c r="C377" s="26" t="s">
        <v>2318</v>
      </c>
      <c r="D377" s="233"/>
      <c r="E377" s="31"/>
      <c r="F377" s="216"/>
      <c r="G377" s="31"/>
      <c r="H377" s="217"/>
    </row>
    <row r="378" spans="1:8" x14ac:dyDescent="0.2">
      <c r="A378" s="26" t="s">
        <v>3262</v>
      </c>
      <c r="B378" s="26"/>
      <c r="C378" s="214" t="s">
        <v>4988</v>
      </c>
      <c r="D378" s="233" t="s">
        <v>1736</v>
      </c>
      <c r="E378" s="31">
        <v>2912</v>
      </c>
      <c r="F378" s="216">
        <v>46.47</v>
      </c>
      <c r="G378" s="31"/>
      <c r="H378" s="217"/>
    </row>
    <row r="379" spans="1:8" x14ac:dyDescent="0.2">
      <c r="A379" s="26"/>
      <c r="B379" s="26"/>
      <c r="C379" s="26" t="s">
        <v>4989</v>
      </c>
      <c r="D379" s="233" t="s">
        <v>1071</v>
      </c>
      <c r="E379" s="31">
        <v>848</v>
      </c>
      <c r="F379" s="216">
        <v>3.24</v>
      </c>
      <c r="G379" s="31"/>
      <c r="H379" s="217"/>
    </row>
    <row r="380" spans="1:8" x14ac:dyDescent="0.2">
      <c r="A380" s="26"/>
      <c r="B380" s="26"/>
      <c r="C380" s="26" t="s">
        <v>4990</v>
      </c>
      <c r="D380" s="233" t="s">
        <v>655</v>
      </c>
      <c r="E380" s="31">
        <v>764</v>
      </c>
      <c r="F380" s="216">
        <v>41.8</v>
      </c>
      <c r="G380" s="31"/>
      <c r="H380" s="217"/>
    </row>
    <row r="381" spans="1:8" x14ac:dyDescent="0.2">
      <c r="A381" s="26"/>
      <c r="B381" s="26"/>
      <c r="C381" s="26" t="s">
        <v>4991</v>
      </c>
      <c r="D381" s="233" t="s">
        <v>1072</v>
      </c>
      <c r="E381" s="31">
        <v>561</v>
      </c>
      <c r="F381" s="216">
        <v>8.52</v>
      </c>
      <c r="G381" s="31"/>
      <c r="H381" s="217"/>
    </row>
    <row r="382" spans="1:8" x14ac:dyDescent="0.2">
      <c r="A382" s="26"/>
      <c r="B382" s="26"/>
      <c r="C382" s="26" t="s">
        <v>2318</v>
      </c>
      <c r="D382" s="233"/>
      <c r="E382" s="218">
        <v>5104</v>
      </c>
      <c r="F382" s="219">
        <f>SUM(F378:F381)</f>
        <v>100.02999999999999</v>
      </c>
      <c r="G382" s="218">
        <v>7899</v>
      </c>
      <c r="H382" s="220">
        <v>64.599999999999994</v>
      </c>
    </row>
    <row r="383" spans="1:8" x14ac:dyDescent="0.2">
      <c r="A383" s="26"/>
      <c r="B383" s="26"/>
      <c r="C383" s="26"/>
      <c r="D383" s="236"/>
      <c r="E383" s="88"/>
      <c r="F383" s="84"/>
      <c r="G383" s="88"/>
      <c r="H383" s="235"/>
    </row>
    <row r="384" spans="1:8" x14ac:dyDescent="0.2">
      <c r="A384" s="26" t="s">
        <v>5352</v>
      </c>
      <c r="B384" s="26"/>
      <c r="C384" s="214" t="s">
        <v>1891</v>
      </c>
      <c r="D384" s="236" t="s">
        <v>1736</v>
      </c>
      <c r="E384" s="88">
        <v>2757</v>
      </c>
      <c r="F384" s="84"/>
      <c r="G384" s="88"/>
      <c r="H384" s="235"/>
    </row>
    <row r="385" spans="1:8" x14ac:dyDescent="0.2">
      <c r="A385" s="26"/>
      <c r="B385" s="26"/>
      <c r="C385" s="26" t="s">
        <v>7005</v>
      </c>
      <c r="D385" s="236" t="s">
        <v>1071</v>
      </c>
      <c r="E385" s="88">
        <v>1768</v>
      </c>
      <c r="F385" s="84"/>
      <c r="G385" s="88"/>
      <c r="H385" s="235"/>
    </row>
    <row r="386" spans="1:8" x14ac:dyDescent="0.2">
      <c r="A386" s="26"/>
      <c r="B386" s="26"/>
      <c r="C386" s="26" t="s">
        <v>255</v>
      </c>
      <c r="D386" s="236" t="s">
        <v>655</v>
      </c>
      <c r="E386" s="88">
        <v>370</v>
      </c>
      <c r="F386" s="84"/>
      <c r="G386" s="88"/>
      <c r="H386" s="235"/>
    </row>
    <row r="387" spans="1:8" x14ac:dyDescent="0.2">
      <c r="A387" s="26"/>
      <c r="B387" s="26"/>
      <c r="C387" s="26"/>
      <c r="D387" s="236"/>
      <c r="E387" s="88">
        <v>4910</v>
      </c>
      <c r="F387" s="84"/>
      <c r="G387" s="88">
        <v>6718</v>
      </c>
      <c r="H387" s="235">
        <v>73.099999999999994</v>
      </c>
    </row>
    <row r="388" spans="1:8" x14ac:dyDescent="0.2">
      <c r="A388" s="26"/>
      <c r="B388" s="26"/>
      <c r="C388" s="26" t="s">
        <v>2318</v>
      </c>
      <c r="D388" s="233"/>
      <c r="E388" s="31"/>
      <c r="F388" s="216"/>
      <c r="G388" s="31"/>
      <c r="H388" s="217"/>
    </row>
    <row r="389" spans="1:8" x14ac:dyDescent="0.2">
      <c r="A389" s="26" t="s">
        <v>3259</v>
      </c>
      <c r="B389" s="26"/>
      <c r="C389" s="214" t="s">
        <v>1525</v>
      </c>
      <c r="D389" s="233" t="s">
        <v>1736</v>
      </c>
      <c r="E389" s="31">
        <v>3446</v>
      </c>
      <c r="F389" s="216">
        <v>29.83</v>
      </c>
      <c r="G389" s="31"/>
      <c r="H389" s="217"/>
    </row>
    <row r="390" spans="1:8" x14ac:dyDescent="0.2">
      <c r="A390" s="26"/>
      <c r="B390" s="26"/>
      <c r="C390" s="26" t="s">
        <v>4976</v>
      </c>
      <c r="D390" s="233" t="s">
        <v>655</v>
      </c>
      <c r="E390" s="31">
        <v>1778</v>
      </c>
      <c r="F390" s="216">
        <v>14.62</v>
      </c>
      <c r="G390" s="31"/>
      <c r="H390" s="217"/>
    </row>
    <row r="391" spans="1:8" x14ac:dyDescent="0.2">
      <c r="A391" s="26"/>
      <c r="B391" s="26"/>
      <c r="C391" s="26" t="s">
        <v>4977</v>
      </c>
      <c r="D391" s="233" t="s">
        <v>1071</v>
      </c>
      <c r="E391" s="31">
        <v>347</v>
      </c>
      <c r="F391" s="216">
        <v>3.66</v>
      </c>
      <c r="G391" s="31"/>
      <c r="H391" s="217"/>
    </row>
    <row r="392" spans="1:8" x14ac:dyDescent="0.2">
      <c r="A392" s="26"/>
      <c r="B392" s="26"/>
      <c r="C392" s="26" t="s">
        <v>4978</v>
      </c>
      <c r="D392" s="233" t="s">
        <v>1072</v>
      </c>
      <c r="E392" s="31">
        <v>119</v>
      </c>
      <c r="F392" s="216">
        <v>51.89</v>
      </c>
      <c r="G392" s="31"/>
      <c r="H392" s="217"/>
    </row>
    <row r="393" spans="1:8" x14ac:dyDescent="0.2">
      <c r="A393" s="26"/>
      <c r="B393" s="26"/>
      <c r="C393" s="26" t="s">
        <v>2318</v>
      </c>
      <c r="D393" s="233"/>
      <c r="E393" s="218">
        <v>5711</v>
      </c>
      <c r="F393" s="219">
        <f>SUM(F389:F392)</f>
        <v>100</v>
      </c>
      <c r="G393" s="218">
        <v>7606</v>
      </c>
      <c r="H393" s="220">
        <v>75.099999999999994</v>
      </c>
    </row>
    <row r="394" spans="1:8" x14ac:dyDescent="0.2">
      <c r="A394" s="26"/>
      <c r="B394" s="26"/>
      <c r="C394" s="26" t="s">
        <v>2318</v>
      </c>
      <c r="D394" s="233"/>
      <c r="E394" s="31"/>
      <c r="F394" s="216"/>
      <c r="G394" s="31"/>
      <c r="H394" s="217"/>
    </row>
    <row r="395" spans="1:8" x14ac:dyDescent="0.2">
      <c r="A395" s="26" t="s">
        <v>1937</v>
      </c>
      <c r="B395" s="26"/>
      <c r="C395" s="214" t="s">
        <v>3081</v>
      </c>
      <c r="D395" s="233" t="s">
        <v>655</v>
      </c>
      <c r="E395" s="31">
        <v>3017</v>
      </c>
      <c r="F395" s="216">
        <v>1</v>
      </c>
      <c r="G395" s="31"/>
      <c r="H395" s="217"/>
    </row>
    <row r="396" spans="1:8" x14ac:dyDescent="0.2">
      <c r="A396" s="26"/>
      <c r="B396" s="26"/>
      <c r="C396" s="26" t="s">
        <v>4979</v>
      </c>
      <c r="D396" s="233" t="s">
        <v>1736</v>
      </c>
      <c r="E396" s="31">
        <v>2918</v>
      </c>
      <c r="F396" s="216">
        <v>5.28</v>
      </c>
      <c r="G396" s="31"/>
      <c r="H396" s="217"/>
    </row>
    <row r="397" spans="1:8" x14ac:dyDescent="0.2">
      <c r="A397" s="26"/>
      <c r="B397" s="26"/>
      <c r="C397" s="26"/>
      <c r="D397" s="233"/>
      <c r="E397" s="218">
        <v>5984</v>
      </c>
      <c r="F397" s="219">
        <f>SUM(F395:F396)</f>
        <v>6.28</v>
      </c>
      <c r="G397" s="218">
        <v>7380</v>
      </c>
      <c r="H397" s="220">
        <v>81.099999999999994</v>
      </c>
    </row>
    <row r="398" spans="1:8" x14ac:dyDescent="0.2">
      <c r="A398" s="26"/>
      <c r="B398" s="26"/>
      <c r="C398" s="26" t="s">
        <v>2318</v>
      </c>
      <c r="D398" s="233"/>
      <c r="E398" s="31"/>
      <c r="F398" s="216"/>
      <c r="G398" s="31"/>
      <c r="H398" s="217"/>
    </row>
    <row r="399" spans="1:8" x14ac:dyDescent="0.2">
      <c r="A399" s="26" t="s">
        <v>715</v>
      </c>
      <c r="B399" s="26"/>
      <c r="C399" s="214" t="s">
        <v>4780</v>
      </c>
      <c r="D399" s="233" t="s">
        <v>1736</v>
      </c>
      <c r="E399" s="31">
        <v>3773</v>
      </c>
      <c r="F399" s="216">
        <v>1.81</v>
      </c>
      <c r="G399" s="31"/>
      <c r="H399" s="217"/>
    </row>
    <row r="400" spans="1:8" x14ac:dyDescent="0.2">
      <c r="A400" s="26"/>
      <c r="B400" s="26"/>
      <c r="C400" s="26" t="s">
        <v>4983</v>
      </c>
      <c r="D400" s="233" t="s">
        <v>1071</v>
      </c>
      <c r="E400" s="31">
        <v>866</v>
      </c>
      <c r="F400" s="216">
        <v>8.2899999999999991</v>
      </c>
      <c r="G400" s="31"/>
      <c r="H400" s="217"/>
    </row>
    <row r="401" spans="1:8" x14ac:dyDescent="0.2">
      <c r="A401" s="26"/>
      <c r="B401" s="26"/>
      <c r="C401" s="26" t="s">
        <v>4984</v>
      </c>
      <c r="D401" s="233" t="s">
        <v>655</v>
      </c>
      <c r="E401" s="31">
        <v>360</v>
      </c>
      <c r="F401" s="216">
        <v>19.64</v>
      </c>
      <c r="G401" s="31"/>
      <c r="H401" s="217"/>
    </row>
    <row r="402" spans="1:8" x14ac:dyDescent="0.2">
      <c r="A402" s="26"/>
      <c r="B402" s="26"/>
      <c r="C402" s="26" t="s">
        <v>2318</v>
      </c>
      <c r="D402" s="233"/>
      <c r="E402" s="218">
        <v>5034</v>
      </c>
      <c r="F402" s="219">
        <f>SUM(F399:F401)</f>
        <v>29.740000000000002</v>
      </c>
      <c r="G402" s="218">
        <v>7357</v>
      </c>
      <c r="H402" s="220">
        <v>68.400000000000006</v>
      </c>
    </row>
    <row r="403" spans="1:8" x14ac:dyDescent="0.2">
      <c r="A403" s="26"/>
      <c r="B403" s="26"/>
      <c r="C403" s="26" t="s">
        <v>2318</v>
      </c>
      <c r="D403" s="233"/>
      <c r="E403" s="31"/>
      <c r="F403" s="216"/>
      <c r="G403" s="31"/>
      <c r="H403" s="217"/>
    </row>
    <row r="404" spans="1:8" x14ac:dyDescent="0.2">
      <c r="A404" s="26" t="s">
        <v>2545</v>
      </c>
      <c r="B404" s="26"/>
      <c r="C404" s="214" t="s">
        <v>4742</v>
      </c>
      <c r="D404" s="233" t="s">
        <v>1736</v>
      </c>
      <c r="E404" s="31">
        <v>5109</v>
      </c>
      <c r="F404" s="216">
        <v>10.36</v>
      </c>
      <c r="G404" s="31"/>
      <c r="H404" s="217"/>
    </row>
    <row r="405" spans="1:8" x14ac:dyDescent="0.2">
      <c r="A405" s="26"/>
      <c r="B405" s="26"/>
      <c r="C405" s="26" t="s">
        <v>4985</v>
      </c>
      <c r="D405" s="233" t="s">
        <v>1071</v>
      </c>
      <c r="E405" s="31">
        <v>1113</v>
      </c>
      <c r="F405" s="216">
        <v>0.71</v>
      </c>
      <c r="G405" s="31"/>
      <c r="H405" s="217"/>
    </row>
    <row r="406" spans="1:8" x14ac:dyDescent="0.2">
      <c r="A406" s="26"/>
      <c r="B406" s="26"/>
      <c r="C406" s="26" t="s">
        <v>912</v>
      </c>
      <c r="D406" s="233" t="s">
        <v>655</v>
      </c>
      <c r="E406" s="31">
        <v>923</v>
      </c>
      <c r="F406" s="216">
        <v>10.64</v>
      </c>
      <c r="G406" s="31"/>
      <c r="H406" s="217"/>
    </row>
    <row r="407" spans="1:8" x14ac:dyDescent="0.2">
      <c r="A407" s="26"/>
      <c r="B407" s="26"/>
      <c r="C407" s="26" t="s">
        <v>4986</v>
      </c>
      <c r="D407" s="233" t="s">
        <v>1072</v>
      </c>
      <c r="E407" s="31">
        <v>628</v>
      </c>
      <c r="F407" s="216">
        <v>58.94</v>
      </c>
      <c r="G407" s="31"/>
      <c r="H407" s="217"/>
    </row>
    <row r="408" spans="1:8" x14ac:dyDescent="0.2">
      <c r="A408" s="26"/>
      <c r="B408" s="26"/>
      <c r="C408" s="26" t="s">
        <v>4987</v>
      </c>
      <c r="D408" s="233" t="s">
        <v>4665</v>
      </c>
      <c r="E408" s="31">
        <v>269</v>
      </c>
      <c r="F408" s="216">
        <v>19.350000000000001</v>
      </c>
      <c r="G408" s="31"/>
      <c r="H408" s="217"/>
    </row>
    <row r="409" spans="1:8" x14ac:dyDescent="0.2">
      <c r="A409" s="26"/>
      <c r="B409" s="26"/>
      <c r="C409" s="26" t="s">
        <v>2318</v>
      </c>
      <c r="D409" s="233"/>
      <c r="E409" s="218">
        <v>8070</v>
      </c>
      <c r="F409" s="219">
        <f>SUM(F404:F408)</f>
        <v>100</v>
      </c>
      <c r="G409" s="218">
        <v>13720</v>
      </c>
      <c r="H409" s="220">
        <v>58.8</v>
      </c>
    </row>
    <row r="410" spans="1:8" x14ac:dyDescent="0.2">
      <c r="A410" s="26"/>
      <c r="B410" s="26"/>
      <c r="C410" s="26" t="s">
        <v>2318</v>
      </c>
      <c r="D410" s="233"/>
      <c r="E410" s="31"/>
      <c r="F410" s="216"/>
      <c r="G410" s="31"/>
      <c r="H410" s="217"/>
    </row>
    <row r="411" spans="1:8" x14ac:dyDescent="0.2">
      <c r="A411" s="26" t="s">
        <v>1979</v>
      </c>
      <c r="B411" s="26"/>
      <c r="C411" s="214" t="s">
        <v>1527</v>
      </c>
      <c r="D411" s="233" t="s">
        <v>1736</v>
      </c>
      <c r="E411" s="31">
        <v>4614</v>
      </c>
      <c r="F411" s="216">
        <v>65.36</v>
      </c>
      <c r="G411" s="31"/>
      <c r="H411" s="217"/>
    </row>
    <row r="412" spans="1:8" x14ac:dyDescent="0.2">
      <c r="A412" s="26"/>
      <c r="B412" s="26"/>
      <c r="C412" s="26" t="s">
        <v>4992</v>
      </c>
      <c r="D412" s="233" t="s">
        <v>1071</v>
      </c>
      <c r="E412" s="31">
        <v>2418</v>
      </c>
      <c r="F412" s="216">
        <v>27.49</v>
      </c>
      <c r="G412" s="31"/>
      <c r="H412" s="217"/>
    </row>
    <row r="413" spans="1:8" x14ac:dyDescent="0.2">
      <c r="A413" s="26"/>
      <c r="B413" s="26"/>
      <c r="C413" s="26" t="s">
        <v>4993</v>
      </c>
      <c r="D413" s="233" t="s">
        <v>655</v>
      </c>
      <c r="E413" s="31">
        <v>202</v>
      </c>
      <c r="F413" s="216">
        <v>2.79</v>
      </c>
      <c r="G413" s="31"/>
      <c r="H413" s="217"/>
    </row>
    <row r="414" spans="1:8" x14ac:dyDescent="0.2">
      <c r="A414" s="26"/>
      <c r="B414" s="26"/>
      <c r="C414" s="26" t="s">
        <v>2318</v>
      </c>
      <c r="D414" s="233"/>
      <c r="E414" s="218">
        <v>7256</v>
      </c>
      <c r="F414" s="219">
        <f>SUM(F411:F413)</f>
        <v>95.64</v>
      </c>
      <c r="G414" s="218">
        <v>10582</v>
      </c>
      <c r="H414" s="220">
        <v>68.5</v>
      </c>
    </row>
    <row r="415" spans="1:8" x14ac:dyDescent="0.2">
      <c r="A415" s="26"/>
      <c r="B415" s="26"/>
      <c r="C415" s="26" t="s">
        <v>2318</v>
      </c>
      <c r="D415" s="233"/>
      <c r="E415" s="31"/>
      <c r="F415" s="216"/>
      <c r="G415" s="31"/>
      <c r="H415" s="217"/>
    </row>
    <row r="416" spans="1:8" x14ac:dyDescent="0.2">
      <c r="A416" s="26" t="s">
        <v>3087</v>
      </c>
      <c r="B416" s="26"/>
      <c r="C416" s="214" t="s">
        <v>4994</v>
      </c>
      <c r="D416" s="233" t="s">
        <v>1736</v>
      </c>
      <c r="E416" s="31">
        <v>4268</v>
      </c>
      <c r="F416" s="216">
        <v>35.909999999999997</v>
      </c>
      <c r="G416" s="31"/>
      <c r="H416" s="217"/>
    </row>
    <row r="417" spans="1:8" x14ac:dyDescent="0.2">
      <c r="A417" s="26"/>
      <c r="B417" s="26"/>
      <c r="C417" s="26" t="s">
        <v>4995</v>
      </c>
      <c r="D417" s="233" t="s">
        <v>1071</v>
      </c>
      <c r="E417" s="31">
        <v>1406</v>
      </c>
      <c r="F417" s="216">
        <v>59.42</v>
      </c>
      <c r="G417" s="31"/>
      <c r="H417" s="217"/>
    </row>
    <row r="418" spans="1:8" x14ac:dyDescent="0.2">
      <c r="A418" s="26"/>
      <c r="B418" s="26"/>
      <c r="C418" s="26" t="s">
        <v>4996</v>
      </c>
      <c r="D418" s="233" t="s">
        <v>1072</v>
      </c>
      <c r="E418" s="31">
        <v>252</v>
      </c>
      <c r="F418" s="216">
        <v>3</v>
      </c>
      <c r="G418" s="31"/>
      <c r="H418" s="217"/>
    </row>
    <row r="419" spans="1:8" x14ac:dyDescent="0.2">
      <c r="A419" s="26"/>
      <c r="B419" s="26"/>
      <c r="C419" s="26" t="s">
        <v>1231</v>
      </c>
      <c r="D419" s="233" t="s">
        <v>655</v>
      </c>
      <c r="E419" s="31">
        <v>192</v>
      </c>
      <c r="F419" s="216">
        <v>1.67</v>
      </c>
      <c r="G419" s="31"/>
      <c r="H419" s="217"/>
    </row>
    <row r="420" spans="1:8" x14ac:dyDescent="0.2">
      <c r="A420" s="26"/>
      <c r="B420" s="26"/>
      <c r="C420" s="26" t="s">
        <v>2318</v>
      </c>
      <c r="D420" s="233"/>
      <c r="E420" s="218">
        <v>6127</v>
      </c>
      <c r="F420" s="219">
        <f>SUM(F416:F419)</f>
        <v>100</v>
      </c>
      <c r="G420" s="218">
        <v>8705</v>
      </c>
      <c r="H420" s="220">
        <v>70.3</v>
      </c>
    </row>
    <row r="421" spans="1:8" x14ac:dyDescent="0.2">
      <c r="A421" s="26"/>
      <c r="B421" s="26"/>
      <c r="C421" s="26" t="s">
        <v>2318</v>
      </c>
      <c r="D421" s="233"/>
      <c r="E421" s="31"/>
      <c r="F421" s="216"/>
      <c r="G421" s="31"/>
      <c r="H421" s="217"/>
    </row>
    <row r="422" spans="1:8" x14ac:dyDescent="0.2">
      <c r="A422" s="26" t="s">
        <v>1557</v>
      </c>
      <c r="B422" s="26"/>
      <c r="C422" s="214" t="s">
        <v>1529</v>
      </c>
      <c r="D422" s="233" t="s">
        <v>1736</v>
      </c>
      <c r="E422" s="31">
        <v>3644</v>
      </c>
      <c r="F422" s="216">
        <v>31.91</v>
      </c>
      <c r="G422" s="31"/>
      <c r="H422" s="217"/>
    </row>
    <row r="423" spans="1:8" x14ac:dyDescent="0.2">
      <c r="A423" s="26"/>
      <c r="B423" s="26"/>
      <c r="C423" s="26" t="s">
        <v>4997</v>
      </c>
      <c r="D423" s="233" t="s">
        <v>655</v>
      </c>
      <c r="E423" s="31">
        <v>2270</v>
      </c>
      <c r="F423" s="216">
        <v>15.5</v>
      </c>
      <c r="G423" s="31"/>
      <c r="H423" s="217"/>
    </row>
    <row r="424" spans="1:8" x14ac:dyDescent="0.2">
      <c r="A424" s="26"/>
      <c r="B424" s="26"/>
      <c r="C424" s="26" t="s">
        <v>4998</v>
      </c>
      <c r="D424" s="233" t="s">
        <v>1071</v>
      </c>
      <c r="E424" s="31">
        <v>908</v>
      </c>
      <c r="F424" s="216">
        <v>3.45</v>
      </c>
      <c r="G424" s="31"/>
      <c r="H424" s="217"/>
    </row>
    <row r="425" spans="1:8" x14ac:dyDescent="0.2">
      <c r="A425" s="26"/>
      <c r="B425" s="26"/>
      <c r="C425" s="26" t="s">
        <v>2318</v>
      </c>
      <c r="D425" s="233"/>
      <c r="E425" s="218">
        <v>6842</v>
      </c>
      <c r="F425" s="219">
        <f>SUM(F422:F424)</f>
        <v>50.86</v>
      </c>
      <c r="G425" s="218">
        <v>8813</v>
      </c>
      <c r="H425" s="220">
        <v>79.19</v>
      </c>
    </row>
    <row r="426" spans="1:8" x14ac:dyDescent="0.2">
      <c r="A426" s="26"/>
      <c r="B426" s="26"/>
      <c r="C426" s="26" t="s">
        <v>2318</v>
      </c>
      <c r="D426" s="233"/>
      <c r="E426" s="31"/>
      <c r="F426" s="216"/>
      <c r="G426" s="31"/>
      <c r="H426" s="217"/>
    </row>
    <row r="427" spans="1:8" x14ac:dyDescent="0.2">
      <c r="A427" s="26" t="s">
        <v>1559</v>
      </c>
      <c r="B427" s="26"/>
      <c r="C427" s="214" t="s">
        <v>1530</v>
      </c>
      <c r="D427" s="233" t="s">
        <v>1736</v>
      </c>
      <c r="E427" s="31">
        <v>2731</v>
      </c>
      <c r="F427" s="216">
        <v>13.76</v>
      </c>
      <c r="G427" s="31"/>
      <c r="H427" s="217"/>
    </row>
    <row r="428" spans="1:8" x14ac:dyDescent="0.2">
      <c r="A428" s="26"/>
      <c r="B428" s="26"/>
      <c r="C428" s="26" t="s">
        <v>4999</v>
      </c>
      <c r="D428" s="233" t="s">
        <v>1071</v>
      </c>
      <c r="E428" s="31">
        <v>1274</v>
      </c>
      <c r="F428" s="216">
        <v>32.74</v>
      </c>
      <c r="G428" s="31"/>
      <c r="H428" s="217"/>
    </row>
    <row r="429" spans="1:8" x14ac:dyDescent="0.2">
      <c r="A429" s="26"/>
      <c r="B429" s="26"/>
      <c r="C429" s="26" t="s">
        <v>5000</v>
      </c>
      <c r="D429" s="233" t="s">
        <v>655</v>
      </c>
      <c r="E429" s="31">
        <v>1019</v>
      </c>
      <c r="F429" s="216">
        <v>1.85</v>
      </c>
      <c r="G429" s="31"/>
      <c r="H429" s="217"/>
    </row>
    <row r="430" spans="1:8" x14ac:dyDescent="0.2">
      <c r="A430" s="26"/>
      <c r="B430" s="26"/>
      <c r="C430" s="26" t="s">
        <v>2318</v>
      </c>
      <c r="D430" s="233"/>
      <c r="E430" s="218">
        <v>5048</v>
      </c>
      <c r="F430" s="219">
        <f>SUM(F427:F429)</f>
        <v>48.35</v>
      </c>
      <c r="G430" s="218">
        <v>6630</v>
      </c>
      <c r="H430" s="220">
        <v>76.099999999999994</v>
      </c>
    </row>
    <row r="431" spans="1:8" x14ac:dyDescent="0.2">
      <c r="A431" s="26"/>
      <c r="B431" s="26"/>
      <c r="C431" s="26" t="s">
        <v>2318</v>
      </c>
      <c r="D431" s="233"/>
      <c r="E431" s="31"/>
      <c r="F431" s="216"/>
      <c r="G431" s="31"/>
      <c r="H431" s="217"/>
    </row>
    <row r="432" spans="1:8" x14ac:dyDescent="0.2">
      <c r="A432" s="26" t="s">
        <v>2564</v>
      </c>
      <c r="B432" s="26"/>
      <c r="C432" s="214" t="s">
        <v>4757</v>
      </c>
      <c r="D432" s="233" t="s">
        <v>1736</v>
      </c>
      <c r="E432" s="31">
        <v>3039</v>
      </c>
      <c r="F432" s="216">
        <v>34.04</v>
      </c>
      <c r="G432" s="31"/>
      <c r="H432" s="217"/>
    </row>
    <row r="433" spans="1:8" x14ac:dyDescent="0.2">
      <c r="A433" s="26"/>
      <c r="B433" s="26"/>
      <c r="C433" s="26" t="s">
        <v>5001</v>
      </c>
      <c r="D433" s="233" t="s">
        <v>1071</v>
      </c>
      <c r="E433" s="31">
        <v>1616</v>
      </c>
      <c r="F433" s="216">
        <v>8.24</v>
      </c>
      <c r="G433" s="31"/>
      <c r="H433" s="217"/>
    </row>
    <row r="434" spans="1:8" x14ac:dyDescent="0.2">
      <c r="A434" s="26"/>
      <c r="B434" s="26"/>
      <c r="C434" s="26" t="s">
        <v>5002</v>
      </c>
      <c r="D434" s="233" t="s">
        <v>655</v>
      </c>
      <c r="E434" s="31">
        <v>496</v>
      </c>
      <c r="F434" s="216">
        <v>56.47</v>
      </c>
      <c r="G434" s="31"/>
      <c r="H434" s="217"/>
    </row>
    <row r="435" spans="1:8" x14ac:dyDescent="0.2">
      <c r="A435" s="26"/>
      <c r="B435" s="26"/>
      <c r="C435" s="26" t="s">
        <v>2318</v>
      </c>
      <c r="D435" s="233"/>
      <c r="E435" s="218">
        <v>5159</v>
      </c>
      <c r="F435" s="219">
        <f>SUM(F432:F434)</f>
        <v>98.75</v>
      </c>
      <c r="G435" s="218">
        <v>7291</v>
      </c>
      <c r="H435" s="220">
        <v>70.7</v>
      </c>
    </row>
    <row r="436" spans="1:8" x14ac:dyDescent="0.2">
      <c r="A436" s="26"/>
      <c r="B436" s="26"/>
      <c r="C436" s="26"/>
      <c r="D436" s="233"/>
      <c r="E436" s="88"/>
      <c r="F436" s="84"/>
      <c r="G436" s="88"/>
      <c r="H436" s="235"/>
    </row>
    <row r="437" spans="1:8" x14ac:dyDescent="0.2">
      <c r="A437" s="26" t="s">
        <v>1130</v>
      </c>
      <c r="B437" s="26"/>
      <c r="C437" s="214" t="s">
        <v>4762</v>
      </c>
      <c r="D437" s="233" t="s">
        <v>1736</v>
      </c>
      <c r="E437" s="31">
        <v>7544</v>
      </c>
      <c r="F437" s="216">
        <v>13.76</v>
      </c>
      <c r="G437" s="31"/>
      <c r="H437" s="217"/>
    </row>
    <row r="438" spans="1:8" x14ac:dyDescent="0.2">
      <c r="A438" s="26"/>
      <c r="B438" s="26"/>
      <c r="C438" s="26" t="s">
        <v>5003</v>
      </c>
      <c r="D438" s="233" t="s">
        <v>1071</v>
      </c>
      <c r="E438" s="31">
        <v>2076</v>
      </c>
      <c r="F438" s="216">
        <v>32.74</v>
      </c>
      <c r="G438" s="31"/>
      <c r="H438" s="217"/>
    </row>
    <row r="439" spans="1:8" x14ac:dyDescent="0.2">
      <c r="A439" s="26"/>
      <c r="B439" s="26"/>
      <c r="C439" s="26" t="s">
        <v>5004</v>
      </c>
      <c r="D439" s="233" t="s">
        <v>655</v>
      </c>
      <c r="E439" s="31">
        <v>1662</v>
      </c>
      <c r="F439" s="216">
        <v>1.85</v>
      </c>
      <c r="G439" s="31"/>
      <c r="H439" s="217"/>
    </row>
    <row r="440" spans="1:8" x14ac:dyDescent="0.2">
      <c r="A440" s="26"/>
      <c r="B440" s="26"/>
      <c r="C440" s="26" t="s">
        <v>5005</v>
      </c>
      <c r="D440" s="233" t="s">
        <v>1072</v>
      </c>
      <c r="E440" s="31">
        <v>522</v>
      </c>
      <c r="F440" s="216"/>
      <c r="G440" s="31"/>
      <c r="H440" s="217"/>
    </row>
    <row r="441" spans="1:8" x14ac:dyDescent="0.2">
      <c r="A441" s="26"/>
      <c r="B441" s="26"/>
      <c r="C441" s="26" t="s">
        <v>2318</v>
      </c>
      <c r="D441" s="233"/>
      <c r="E441" s="218">
        <v>11832</v>
      </c>
      <c r="F441" s="219">
        <f>SUM(F437:F439)</f>
        <v>48.35</v>
      </c>
      <c r="G441" s="218">
        <v>20690</v>
      </c>
      <c r="H441" s="220">
        <v>57.1</v>
      </c>
    </row>
    <row r="442" spans="1:8" x14ac:dyDescent="0.2">
      <c r="A442" s="26"/>
      <c r="B442" s="26"/>
      <c r="C442" s="26" t="s">
        <v>2318</v>
      </c>
      <c r="D442" s="233"/>
      <c r="E442" s="31"/>
      <c r="F442" s="216"/>
      <c r="G442" s="31"/>
      <c r="H442" s="217"/>
    </row>
    <row r="443" spans="1:8" x14ac:dyDescent="0.2">
      <c r="A443" s="26" t="s">
        <v>2564</v>
      </c>
      <c r="B443" s="26"/>
      <c r="C443" s="214" t="s">
        <v>3266</v>
      </c>
      <c r="D443" s="233" t="s">
        <v>1736</v>
      </c>
      <c r="E443" s="31">
        <v>3921</v>
      </c>
      <c r="F443" s="216">
        <v>34.04</v>
      </c>
      <c r="G443" s="31"/>
      <c r="H443" s="217"/>
    </row>
    <row r="444" spans="1:8" x14ac:dyDescent="0.2">
      <c r="A444" s="26"/>
      <c r="B444" s="26"/>
      <c r="C444" s="26" t="s">
        <v>5006</v>
      </c>
      <c r="D444" s="233" t="s">
        <v>655</v>
      </c>
      <c r="E444" s="31">
        <v>893</v>
      </c>
      <c r="F444" s="216">
        <v>8.24</v>
      </c>
      <c r="G444" s="31"/>
      <c r="H444" s="217"/>
    </row>
    <row r="445" spans="1:8" x14ac:dyDescent="0.2">
      <c r="A445" s="26"/>
      <c r="B445" s="26"/>
      <c r="C445" s="26" t="s">
        <v>5007</v>
      </c>
      <c r="D445" s="233" t="s">
        <v>1071</v>
      </c>
      <c r="E445" s="31">
        <v>676</v>
      </c>
      <c r="F445" s="216">
        <v>56.47</v>
      </c>
      <c r="G445" s="31"/>
      <c r="H445" s="217"/>
    </row>
    <row r="446" spans="1:8" x14ac:dyDescent="0.2">
      <c r="A446" s="26"/>
      <c r="B446" s="26"/>
      <c r="C446" s="26" t="s">
        <v>2318</v>
      </c>
      <c r="D446" s="233"/>
      <c r="E446" s="218">
        <v>5511</v>
      </c>
      <c r="F446" s="219">
        <f>SUM(F443:F445)</f>
        <v>98.75</v>
      </c>
      <c r="G446" s="218">
        <v>8683</v>
      </c>
      <c r="H446" s="220">
        <v>63.4</v>
      </c>
    </row>
    <row r="447" spans="1:8" x14ac:dyDescent="0.2">
      <c r="A447" s="26"/>
      <c r="B447" s="26"/>
      <c r="C447" s="233"/>
      <c r="D447" s="233"/>
      <c r="E447" s="223"/>
      <c r="F447" s="217"/>
      <c r="G447" s="223"/>
      <c r="H447" s="217"/>
    </row>
    <row r="448" spans="1:8" x14ac:dyDescent="0.2">
      <c r="A448" s="145" t="s">
        <v>1131</v>
      </c>
      <c r="B448" s="145"/>
      <c r="C448" s="145"/>
      <c r="D448" s="146"/>
      <c r="E448" s="147">
        <v>592354</v>
      </c>
      <c r="F448" s="148"/>
      <c r="G448" s="147">
        <v>994158</v>
      </c>
      <c r="H448" s="148">
        <v>59.6</v>
      </c>
    </row>
    <row r="449" spans="1:8" x14ac:dyDescent="0.2">
      <c r="A449" s="77"/>
      <c r="B449" s="77"/>
      <c r="C449" s="77"/>
      <c r="D449" s="78"/>
      <c r="E449" s="88"/>
      <c r="F449" s="84"/>
      <c r="G449" s="88"/>
      <c r="H449" s="84"/>
    </row>
    <row r="450" spans="1:8" x14ac:dyDescent="0.2">
      <c r="A450" s="227" t="s">
        <v>1289</v>
      </c>
      <c r="B450" s="227"/>
      <c r="C450" s="228"/>
      <c r="D450" s="228"/>
      <c r="E450" s="229"/>
      <c r="F450" s="230"/>
      <c r="G450" s="231"/>
      <c r="H450" s="232"/>
    </row>
    <row r="451" spans="1:8" x14ac:dyDescent="0.2">
      <c r="A451" s="276" t="s">
        <v>2934</v>
      </c>
      <c r="B451" s="276"/>
      <c r="C451" s="276"/>
      <c r="D451" s="276"/>
      <c r="E451" s="276"/>
      <c r="F451" s="276"/>
      <c r="G451" s="276"/>
      <c r="H451" s="276"/>
    </row>
    <row r="452" spans="1:8" x14ac:dyDescent="0.2">
      <c r="A452" s="276" t="s">
        <v>4764</v>
      </c>
      <c r="B452" s="276"/>
      <c r="C452" s="276"/>
      <c r="D452" s="276"/>
      <c r="E452" s="276"/>
      <c r="F452" s="276"/>
      <c r="G452" s="276"/>
      <c r="H452" s="276"/>
    </row>
    <row r="453" spans="1:8" x14ac:dyDescent="0.2">
      <c r="A453" s="26" t="s">
        <v>4774</v>
      </c>
      <c r="B453" s="26"/>
      <c r="C453" s="26"/>
      <c r="D453" s="233"/>
      <c r="E453" s="31"/>
      <c r="F453" s="216"/>
      <c r="G453" s="31"/>
      <c r="H453" s="217"/>
    </row>
  </sheetData>
  <mergeCells count="4">
    <mergeCell ref="A1:H1"/>
    <mergeCell ref="F2:H2"/>
    <mergeCell ref="A451:H451"/>
    <mergeCell ref="A452:H45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3"/>
  <sheetViews>
    <sheetView topLeftCell="A28" workbookViewId="0">
      <selection activeCell="C62" sqref="C62"/>
    </sheetView>
  </sheetViews>
  <sheetFormatPr defaultRowHeight="12.75" x14ac:dyDescent="0.2"/>
  <cols>
    <col min="1" max="1" width="11.85546875" style="209" customWidth="1"/>
    <col min="2" max="2" width="9.140625" style="209"/>
    <col min="3" max="3" width="23.140625" style="209" bestFit="1" customWidth="1"/>
    <col min="4" max="4" width="22.28515625" style="209" bestFit="1" customWidth="1"/>
    <col min="5" max="5" width="12.85546875" style="209" customWidth="1"/>
    <col min="6" max="16384" width="9.140625" style="209"/>
  </cols>
  <sheetData>
    <row r="1" spans="1:10" ht="15.75" x14ac:dyDescent="0.2">
      <c r="A1" s="270" t="s">
        <v>2332</v>
      </c>
      <c r="B1" s="270"/>
      <c r="C1" s="270"/>
      <c r="D1" s="270"/>
      <c r="E1" s="270"/>
      <c r="F1" s="270"/>
      <c r="G1" s="270"/>
      <c r="H1" s="270"/>
    </row>
    <row r="2" spans="1:10" ht="13.5" thickBot="1" x14ac:dyDescent="0.25">
      <c r="A2" s="210" t="s">
        <v>3258</v>
      </c>
      <c r="B2" s="210"/>
      <c r="C2" s="210" t="s">
        <v>4524</v>
      </c>
      <c r="D2" s="211" t="s">
        <v>407</v>
      </c>
      <c r="E2" s="212"/>
      <c r="F2" s="275" t="s">
        <v>2933</v>
      </c>
      <c r="G2" s="275"/>
      <c r="H2" s="275"/>
    </row>
    <row r="3" spans="1:10" ht="39" thickBot="1" x14ac:dyDescent="0.25">
      <c r="A3" s="58" t="s">
        <v>1284</v>
      </c>
      <c r="B3" s="59"/>
      <c r="C3" s="59" t="s">
        <v>1300</v>
      </c>
      <c r="D3" s="59" t="s">
        <v>2652</v>
      </c>
      <c r="E3" s="73" t="s">
        <v>4765</v>
      </c>
      <c r="F3" s="74" t="s">
        <v>1286</v>
      </c>
      <c r="G3" s="73" t="s">
        <v>1287</v>
      </c>
      <c r="H3" s="74" t="s">
        <v>4766</v>
      </c>
      <c r="J3" s="213"/>
    </row>
    <row r="4" spans="1:10" x14ac:dyDescent="0.2">
      <c r="A4" s="60"/>
      <c r="B4" s="60"/>
      <c r="C4" s="61"/>
      <c r="D4" s="66"/>
      <c r="E4" s="87"/>
      <c r="F4" s="80"/>
      <c r="G4" s="87"/>
      <c r="H4" s="80"/>
    </row>
    <row r="5" spans="1:10" x14ac:dyDescent="0.2">
      <c r="A5" s="26" t="s">
        <v>2266</v>
      </c>
      <c r="B5" s="26"/>
      <c r="C5" s="214" t="s">
        <v>1756</v>
      </c>
      <c r="D5" s="215" t="s">
        <v>1736</v>
      </c>
      <c r="E5" s="31">
        <v>4153</v>
      </c>
      <c r="F5" s="216">
        <v>55.4</v>
      </c>
      <c r="G5" s="31"/>
      <c r="H5" s="217"/>
    </row>
    <row r="6" spans="1:10" x14ac:dyDescent="0.2">
      <c r="A6" s="26"/>
      <c r="B6" s="26"/>
      <c r="C6" s="26" t="s">
        <v>4525</v>
      </c>
      <c r="D6" s="215" t="s">
        <v>4526</v>
      </c>
      <c r="E6" s="31">
        <v>554</v>
      </c>
      <c r="F6" s="216">
        <v>7.4</v>
      </c>
      <c r="G6" s="31"/>
      <c r="H6" s="217"/>
    </row>
    <row r="7" spans="1:10" x14ac:dyDescent="0.2">
      <c r="A7" s="26"/>
      <c r="B7" s="26"/>
      <c r="C7" s="26" t="s">
        <v>4527</v>
      </c>
      <c r="D7" s="215" t="s">
        <v>4528</v>
      </c>
      <c r="E7" s="31">
        <v>989</v>
      </c>
      <c r="F7" s="216">
        <v>13.2</v>
      </c>
      <c r="G7" s="31"/>
      <c r="H7" s="217"/>
    </row>
    <row r="8" spans="1:10" x14ac:dyDescent="0.2">
      <c r="A8" s="26"/>
      <c r="B8" s="26"/>
      <c r="C8" s="26" t="s">
        <v>1757</v>
      </c>
      <c r="D8" s="215" t="s">
        <v>4426</v>
      </c>
      <c r="E8" s="31">
        <v>1792</v>
      </c>
      <c r="F8" s="216">
        <v>23.9</v>
      </c>
      <c r="G8" s="31"/>
      <c r="H8" s="217"/>
    </row>
    <row r="9" spans="1:10" x14ac:dyDescent="0.2">
      <c r="A9" s="26"/>
      <c r="B9" s="26"/>
      <c r="C9" s="26" t="s">
        <v>2318</v>
      </c>
      <c r="D9" s="215"/>
      <c r="E9" s="218">
        <f>SUM(E5:E8)</f>
        <v>7488</v>
      </c>
      <c r="F9" s="219">
        <f>SUM(F5:F8)</f>
        <v>99.9</v>
      </c>
      <c r="G9" s="218">
        <v>11071</v>
      </c>
      <c r="H9" s="220">
        <v>67.64</v>
      </c>
    </row>
    <row r="10" spans="1:10" x14ac:dyDescent="0.2">
      <c r="A10" s="26"/>
      <c r="B10" s="26"/>
      <c r="C10" s="26" t="s">
        <v>2318</v>
      </c>
      <c r="D10" s="215"/>
      <c r="E10" s="31"/>
      <c r="F10" s="216"/>
      <c r="G10" s="31"/>
      <c r="H10" s="217"/>
    </row>
    <row r="11" spans="1:10" x14ac:dyDescent="0.2">
      <c r="A11" s="26" t="s">
        <v>1008</v>
      </c>
      <c r="B11" s="26"/>
      <c r="C11" s="26" t="s">
        <v>4529</v>
      </c>
      <c r="D11" s="215" t="s">
        <v>4528</v>
      </c>
      <c r="E11" s="31">
        <v>1462</v>
      </c>
      <c r="F11" s="216">
        <v>17.5</v>
      </c>
      <c r="G11" s="31"/>
      <c r="H11" s="217"/>
    </row>
    <row r="12" spans="1:10" x14ac:dyDescent="0.2">
      <c r="A12" s="26"/>
      <c r="B12" s="26"/>
      <c r="C12" s="26" t="s">
        <v>4530</v>
      </c>
      <c r="D12" s="215" t="s">
        <v>4426</v>
      </c>
      <c r="E12" s="31">
        <v>759</v>
      </c>
      <c r="F12" s="216">
        <v>9.1</v>
      </c>
      <c r="G12" s="31"/>
      <c r="H12" s="217"/>
    </row>
    <row r="13" spans="1:10" x14ac:dyDescent="0.2">
      <c r="A13" s="26"/>
      <c r="B13" s="26"/>
      <c r="C13" s="26" t="s">
        <v>4531</v>
      </c>
      <c r="D13" s="215" t="s">
        <v>4526</v>
      </c>
      <c r="E13" s="31">
        <v>543</v>
      </c>
      <c r="F13" s="216">
        <v>6.5</v>
      </c>
      <c r="G13" s="31"/>
      <c r="H13" s="217"/>
    </row>
    <row r="14" spans="1:10" x14ac:dyDescent="0.2">
      <c r="A14" s="26"/>
      <c r="B14" s="26"/>
      <c r="C14" s="214" t="s">
        <v>1878</v>
      </c>
      <c r="D14" s="215" t="s">
        <v>1736</v>
      </c>
      <c r="E14" s="31">
        <v>5578</v>
      </c>
      <c r="F14" s="216">
        <v>66.900000000000006</v>
      </c>
      <c r="G14" s="31"/>
      <c r="H14" s="217"/>
    </row>
    <row r="15" spans="1:10" x14ac:dyDescent="0.2">
      <c r="A15" s="26"/>
      <c r="B15" s="26"/>
      <c r="C15" s="26" t="s">
        <v>2318</v>
      </c>
      <c r="D15" s="215"/>
      <c r="E15" s="218">
        <f>SUM(E11:E14)</f>
        <v>8342</v>
      </c>
      <c r="F15" s="219">
        <f>SUM(F11:F14)</f>
        <v>100</v>
      </c>
      <c r="G15" s="218">
        <v>15086</v>
      </c>
      <c r="H15" s="220">
        <v>55.3</v>
      </c>
    </row>
    <row r="16" spans="1:10" x14ac:dyDescent="0.2">
      <c r="A16" s="26"/>
      <c r="B16" s="26"/>
      <c r="C16" s="26" t="s">
        <v>2318</v>
      </c>
      <c r="D16" s="215"/>
      <c r="E16" s="31"/>
      <c r="F16" s="216"/>
      <c r="G16" s="31"/>
      <c r="H16" s="217"/>
    </row>
    <row r="17" spans="1:8" x14ac:dyDescent="0.2">
      <c r="A17" s="26" t="s">
        <v>1127</v>
      </c>
      <c r="B17" s="26"/>
      <c r="C17" s="26" t="s">
        <v>4532</v>
      </c>
      <c r="D17" s="215" t="s">
        <v>4528</v>
      </c>
      <c r="E17" s="31">
        <v>1658</v>
      </c>
      <c r="F17" s="216">
        <v>22.3</v>
      </c>
      <c r="G17" s="31"/>
      <c r="H17" s="217"/>
    </row>
    <row r="18" spans="1:8" x14ac:dyDescent="0.2">
      <c r="A18" s="26"/>
      <c r="B18" s="26"/>
      <c r="C18" s="214" t="s">
        <v>4767</v>
      </c>
      <c r="D18" s="215" t="s">
        <v>1736</v>
      </c>
      <c r="E18" s="31">
        <v>4629</v>
      </c>
      <c r="F18" s="216">
        <v>62.3</v>
      </c>
      <c r="G18" s="31"/>
      <c r="H18" s="217"/>
    </row>
    <row r="19" spans="1:8" x14ac:dyDescent="0.2">
      <c r="A19" s="26"/>
      <c r="B19" s="26"/>
      <c r="C19" s="26" t="s">
        <v>4533</v>
      </c>
      <c r="D19" s="215" t="s">
        <v>4526</v>
      </c>
      <c r="E19" s="31">
        <v>136</v>
      </c>
      <c r="F19" s="216">
        <v>1.8</v>
      </c>
      <c r="G19" s="31"/>
      <c r="H19" s="217"/>
    </row>
    <row r="20" spans="1:8" x14ac:dyDescent="0.2">
      <c r="A20" s="26"/>
      <c r="B20" s="26"/>
      <c r="C20" s="26" t="s">
        <v>4534</v>
      </c>
      <c r="D20" s="215" t="s">
        <v>4426</v>
      </c>
      <c r="E20" s="31">
        <v>1008</v>
      </c>
      <c r="F20" s="216">
        <v>13.6</v>
      </c>
      <c r="G20" s="31"/>
      <c r="H20" s="217"/>
    </row>
    <row r="21" spans="1:8" x14ac:dyDescent="0.2">
      <c r="A21" s="26"/>
      <c r="B21" s="26"/>
      <c r="C21" s="26" t="s">
        <v>2318</v>
      </c>
      <c r="D21" s="215"/>
      <c r="E21" s="218">
        <f>SUM(E17:E20)</f>
        <v>7431</v>
      </c>
      <c r="F21" s="219">
        <f>SUM(F17:F20)</f>
        <v>99.999999999999986</v>
      </c>
      <c r="G21" s="218">
        <v>10871</v>
      </c>
      <c r="H21" s="220">
        <v>68.400000000000006</v>
      </c>
    </row>
    <row r="22" spans="1:8" x14ac:dyDescent="0.2">
      <c r="A22" s="26"/>
      <c r="B22" s="26"/>
      <c r="C22" s="26" t="s">
        <v>2318</v>
      </c>
      <c r="D22" s="215"/>
      <c r="E22" s="31"/>
      <c r="F22" s="216"/>
      <c r="G22" s="31"/>
      <c r="H22" s="217"/>
    </row>
    <row r="23" spans="1:8" x14ac:dyDescent="0.2">
      <c r="A23" s="26" t="s">
        <v>1974</v>
      </c>
      <c r="B23" s="26"/>
      <c r="C23" s="26" t="s">
        <v>4535</v>
      </c>
      <c r="D23" s="215" t="s">
        <v>653</v>
      </c>
      <c r="E23" s="31">
        <v>206</v>
      </c>
      <c r="F23" s="216">
        <v>3</v>
      </c>
      <c r="G23" s="31"/>
      <c r="H23" s="217"/>
    </row>
    <row r="24" spans="1:8" x14ac:dyDescent="0.2">
      <c r="A24" s="26"/>
      <c r="B24" s="26"/>
      <c r="C24" s="214" t="s">
        <v>1879</v>
      </c>
      <c r="D24" s="215" t="s">
        <v>1736</v>
      </c>
      <c r="E24" s="31">
        <v>3468</v>
      </c>
      <c r="F24" s="216">
        <v>49.8</v>
      </c>
      <c r="G24" s="31"/>
      <c r="H24" s="217"/>
    </row>
    <row r="25" spans="1:8" x14ac:dyDescent="0.2">
      <c r="A25" s="26"/>
      <c r="B25" s="26"/>
      <c r="C25" s="26" t="s">
        <v>4768</v>
      </c>
      <c r="D25" s="215" t="s">
        <v>4528</v>
      </c>
      <c r="E25" s="31">
        <v>1275</v>
      </c>
      <c r="F25" s="216">
        <v>18.3</v>
      </c>
      <c r="G25" s="31"/>
      <c r="H25" s="217"/>
    </row>
    <row r="26" spans="1:8" x14ac:dyDescent="0.2">
      <c r="A26" s="26"/>
      <c r="B26" s="26"/>
      <c r="C26" s="26" t="s">
        <v>4536</v>
      </c>
      <c r="D26" s="215" t="s">
        <v>4526</v>
      </c>
      <c r="E26" s="31">
        <v>194</v>
      </c>
      <c r="F26" s="216">
        <v>2.8</v>
      </c>
      <c r="G26" s="31"/>
      <c r="H26" s="217"/>
    </row>
    <row r="27" spans="1:8" x14ac:dyDescent="0.2">
      <c r="A27" s="26"/>
      <c r="B27" s="26"/>
      <c r="C27" s="26" t="s">
        <v>204</v>
      </c>
      <c r="D27" s="215" t="s">
        <v>655</v>
      </c>
      <c r="E27" s="31">
        <v>1828</v>
      </c>
      <c r="F27" s="216">
        <v>26.2</v>
      </c>
      <c r="G27" s="31"/>
      <c r="H27" s="217"/>
    </row>
    <row r="28" spans="1:8" x14ac:dyDescent="0.2">
      <c r="A28" s="26"/>
      <c r="B28" s="26"/>
      <c r="C28" s="26" t="s">
        <v>2318</v>
      </c>
      <c r="D28" s="215"/>
      <c r="E28" s="218">
        <f>SUM(E23:E27)</f>
        <v>6971</v>
      </c>
      <c r="F28" s="219">
        <v>100</v>
      </c>
      <c r="G28" s="218">
        <v>11053</v>
      </c>
      <c r="H28" s="220">
        <v>63.1</v>
      </c>
    </row>
    <row r="29" spans="1:8" x14ac:dyDescent="0.2">
      <c r="A29" s="26"/>
      <c r="B29" s="26"/>
      <c r="C29" s="26" t="s">
        <v>2318</v>
      </c>
      <c r="D29" s="215"/>
      <c r="E29" s="31"/>
      <c r="F29" s="216"/>
      <c r="G29" s="31"/>
      <c r="H29" s="217"/>
    </row>
    <row r="30" spans="1:8" x14ac:dyDescent="0.2">
      <c r="A30" s="26" t="s">
        <v>1975</v>
      </c>
      <c r="B30" s="26"/>
      <c r="C30" s="26" t="s">
        <v>4537</v>
      </c>
      <c r="D30" s="215" t="s">
        <v>1736</v>
      </c>
      <c r="E30" s="31">
        <v>2484</v>
      </c>
      <c r="F30" s="216">
        <v>36</v>
      </c>
      <c r="G30" s="31"/>
      <c r="H30" s="217"/>
    </row>
    <row r="31" spans="1:8" x14ac:dyDescent="0.2">
      <c r="A31" s="26"/>
      <c r="B31" s="26"/>
      <c r="C31" s="214" t="s">
        <v>4538</v>
      </c>
      <c r="D31" s="215" t="s">
        <v>4528</v>
      </c>
      <c r="E31" s="31">
        <v>4123</v>
      </c>
      <c r="F31" s="216">
        <v>59.8</v>
      </c>
      <c r="G31" s="31"/>
      <c r="H31" s="217"/>
    </row>
    <row r="32" spans="1:8" x14ac:dyDescent="0.2">
      <c r="A32" s="26"/>
      <c r="B32" s="26"/>
      <c r="C32" s="26" t="s">
        <v>4539</v>
      </c>
      <c r="D32" s="215" t="s">
        <v>4526</v>
      </c>
      <c r="E32" s="31">
        <v>86</v>
      </c>
      <c r="F32" s="216">
        <v>1.3</v>
      </c>
      <c r="G32" s="31"/>
      <c r="H32" s="217"/>
    </row>
    <row r="33" spans="1:8" x14ac:dyDescent="0.2">
      <c r="A33" s="26"/>
      <c r="B33" s="26"/>
      <c r="C33" s="26" t="s">
        <v>4540</v>
      </c>
      <c r="D33" s="215" t="s">
        <v>4426</v>
      </c>
      <c r="E33" s="31">
        <v>201</v>
      </c>
      <c r="F33" s="216">
        <v>2.9</v>
      </c>
      <c r="G33" s="31"/>
      <c r="H33" s="217"/>
    </row>
    <row r="34" spans="1:8" x14ac:dyDescent="0.2">
      <c r="A34" s="26"/>
      <c r="B34" s="26"/>
      <c r="C34" s="26" t="s">
        <v>2318</v>
      </c>
      <c r="D34" s="215"/>
      <c r="E34" s="218">
        <f>SUM(E30:E33)</f>
        <v>6894</v>
      </c>
      <c r="F34" s="219">
        <f>SUM(F30:F33)</f>
        <v>100</v>
      </c>
      <c r="G34" s="218">
        <v>10076</v>
      </c>
      <c r="H34" s="220">
        <v>68.400000000000006</v>
      </c>
    </row>
    <row r="35" spans="1:8" x14ac:dyDescent="0.2">
      <c r="A35" s="26"/>
      <c r="B35" s="26"/>
      <c r="C35" s="26" t="s">
        <v>2318</v>
      </c>
      <c r="D35" s="215"/>
      <c r="E35" s="31"/>
      <c r="F35" s="216"/>
      <c r="G35" s="31"/>
      <c r="H35" s="217"/>
    </row>
    <row r="36" spans="1:8" x14ac:dyDescent="0.2">
      <c r="A36" s="26" t="s">
        <v>2354</v>
      </c>
      <c r="B36" s="26"/>
      <c r="C36" s="26" t="s">
        <v>4541</v>
      </c>
      <c r="D36" s="215" t="s">
        <v>4528</v>
      </c>
      <c r="E36" s="31">
        <v>1816</v>
      </c>
      <c r="F36" s="216">
        <v>16.7</v>
      </c>
      <c r="G36" s="31"/>
      <c r="H36" s="217"/>
    </row>
    <row r="37" spans="1:8" x14ac:dyDescent="0.2">
      <c r="B37" s="26"/>
      <c r="C37" s="26" t="s">
        <v>1758</v>
      </c>
      <c r="D37" s="215" t="s">
        <v>4426</v>
      </c>
      <c r="E37" s="31">
        <v>1361</v>
      </c>
      <c r="F37" s="216">
        <v>12.5</v>
      </c>
      <c r="G37" s="31"/>
      <c r="H37" s="217"/>
    </row>
    <row r="38" spans="1:8" x14ac:dyDescent="0.2">
      <c r="A38" s="26"/>
      <c r="B38" s="26"/>
      <c r="C38" s="26" t="s">
        <v>4542</v>
      </c>
      <c r="D38" s="215" t="s">
        <v>4544</v>
      </c>
      <c r="E38" s="31">
        <v>47</v>
      </c>
      <c r="F38" s="216">
        <v>0.4</v>
      </c>
      <c r="G38" s="31"/>
      <c r="H38" s="217"/>
    </row>
    <row r="39" spans="1:8" x14ac:dyDescent="0.2">
      <c r="A39" s="26"/>
      <c r="B39" s="26"/>
      <c r="C39" s="26" t="s">
        <v>4543</v>
      </c>
      <c r="D39" s="215" t="s">
        <v>4526</v>
      </c>
      <c r="E39" s="31">
        <v>633</v>
      </c>
      <c r="F39" s="216">
        <v>5.8</v>
      </c>
      <c r="G39" s="31"/>
      <c r="H39" s="217"/>
    </row>
    <row r="40" spans="1:8" x14ac:dyDescent="0.2">
      <c r="A40" s="26"/>
      <c r="B40" s="26"/>
      <c r="C40" s="214" t="s">
        <v>1880</v>
      </c>
      <c r="D40" s="215" t="s">
        <v>1736</v>
      </c>
      <c r="E40" s="31">
        <v>7042</v>
      </c>
      <c r="F40" s="216">
        <v>64.599999999999994</v>
      </c>
      <c r="G40" s="31"/>
      <c r="H40" s="217"/>
    </row>
    <row r="41" spans="1:8" x14ac:dyDescent="0.2">
      <c r="A41" s="26"/>
      <c r="B41" s="26"/>
      <c r="C41" s="26" t="s">
        <v>2318</v>
      </c>
      <c r="D41" s="215"/>
      <c r="E41" s="218">
        <f>SUM(E36:E40)</f>
        <v>10899</v>
      </c>
      <c r="F41" s="219">
        <f>SUM(F36:F40)</f>
        <v>100</v>
      </c>
      <c r="G41" s="218">
        <v>20608</v>
      </c>
      <c r="H41" s="220">
        <v>52.9</v>
      </c>
    </row>
    <row r="42" spans="1:8" x14ac:dyDescent="0.2">
      <c r="A42" s="26"/>
      <c r="B42" s="26"/>
      <c r="C42" s="26" t="s">
        <v>2318</v>
      </c>
      <c r="D42" s="215"/>
      <c r="E42" s="31"/>
      <c r="F42" s="216"/>
      <c r="G42" s="31"/>
      <c r="H42" s="217"/>
    </row>
    <row r="43" spans="1:8" x14ac:dyDescent="0.2">
      <c r="A43" s="26" t="s">
        <v>2360</v>
      </c>
      <c r="B43" s="26"/>
      <c r="C43" s="26" t="s">
        <v>4545</v>
      </c>
      <c r="D43" s="215" t="s">
        <v>4526</v>
      </c>
      <c r="E43" s="31">
        <v>1096</v>
      </c>
      <c r="F43" s="216">
        <v>10.8</v>
      </c>
      <c r="G43" s="31"/>
      <c r="H43" s="217"/>
    </row>
    <row r="44" spans="1:8" x14ac:dyDescent="0.2">
      <c r="A44" s="26"/>
      <c r="B44" s="26"/>
      <c r="C44" s="26" t="s">
        <v>4546</v>
      </c>
      <c r="D44" s="215" t="s">
        <v>4426</v>
      </c>
      <c r="E44" s="31">
        <v>1052</v>
      </c>
      <c r="F44" s="216">
        <v>10.4</v>
      </c>
      <c r="G44" s="31"/>
      <c r="H44" s="217"/>
    </row>
    <row r="45" spans="1:8" x14ac:dyDescent="0.2">
      <c r="A45" s="26"/>
      <c r="B45" s="26"/>
      <c r="C45" s="26" t="s">
        <v>4547</v>
      </c>
      <c r="D45" s="215" t="s">
        <v>4528</v>
      </c>
      <c r="E45" s="31">
        <v>1432</v>
      </c>
      <c r="F45" s="216">
        <v>14.2</v>
      </c>
      <c r="G45" s="31"/>
      <c r="H45" s="217"/>
    </row>
    <row r="46" spans="1:8" x14ac:dyDescent="0.2">
      <c r="A46" s="26"/>
      <c r="B46" s="26"/>
      <c r="C46" s="214" t="s">
        <v>1881</v>
      </c>
      <c r="D46" s="215" t="s">
        <v>1736</v>
      </c>
      <c r="E46" s="31">
        <v>6481</v>
      </c>
      <c r="F46" s="216">
        <v>64</v>
      </c>
      <c r="G46" s="31"/>
      <c r="H46" s="217"/>
    </row>
    <row r="47" spans="1:8" x14ac:dyDescent="0.2">
      <c r="A47" s="26"/>
      <c r="B47" s="26"/>
      <c r="C47" s="26" t="s">
        <v>1759</v>
      </c>
      <c r="D47" s="215" t="s">
        <v>4544</v>
      </c>
      <c r="E47" s="31">
        <v>62</v>
      </c>
      <c r="F47" s="216">
        <v>0.6</v>
      </c>
      <c r="G47" s="31"/>
      <c r="H47" s="217"/>
    </row>
    <row r="48" spans="1:8" x14ac:dyDescent="0.2">
      <c r="A48" s="26"/>
      <c r="B48" s="26"/>
      <c r="C48" s="26" t="s">
        <v>2318</v>
      </c>
      <c r="D48" s="215"/>
      <c r="E48" s="218">
        <f>SUM(E43:E47)</f>
        <v>10123</v>
      </c>
      <c r="F48" s="219">
        <f>SUM(F43:F47)</f>
        <v>100</v>
      </c>
      <c r="G48" s="218">
        <v>24091</v>
      </c>
      <c r="H48" s="220">
        <v>42</v>
      </c>
    </row>
    <row r="49" spans="1:10" x14ac:dyDescent="0.2">
      <c r="A49" s="26"/>
      <c r="B49" s="26"/>
      <c r="C49" s="26" t="s">
        <v>2318</v>
      </c>
      <c r="D49" s="215"/>
      <c r="E49" s="31"/>
      <c r="F49" s="216"/>
      <c r="G49" s="31"/>
      <c r="H49" s="217"/>
    </row>
    <row r="50" spans="1:10" x14ac:dyDescent="0.2">
      <c r="A50" s="26" t="s">
        <v>1963</v>
      </c>
      <c r="B50" s="26"/>
      <c r="C50" s="214" t="s">
        <v>1882</v>
      </c>
      <c r="D50" s="215" t="s">
        <v>1736</v>
      </c>
      <c r="E50" s="31">
        <v>6885</v>
      </c>
      <c r="F50" s="216">
        <v>59.7</v>
      </c>
      <c r="G50" s="31"/>
      <c r="H50" s="217"/>
      <c r="J50" s="221"/>
    </row>
    <row r="51" spans="1:10" x14ac:dyDescent="0.2">
      <c r="A51" s="26"/>
      <c r="B51" s="26"/>
      <c r="C51" s="26" t="s">
        <v>4769</v>
      </c>
      <c r="D51" s="215" t="s">
        <v>1072</v>
      </c>
      <c r="E51" s="31">
        <v>789</v>
      </c>
      <c r="F51" s="216">
        <v>6.8</v>
      </c>
      <c r="G51" s="31"/>
      <c r="H51" s="217"/>
      <c r="J51" s="221"/>
    </row>
    <row r="52" spans="1:10" x14ac:dyDescent="0.2">
      <c r="A52" s="26"/>
      <c r="B52" s="26"/>
      <c r="C52" s="26" t="s">
        <v>4548</v>
      </c>
      <c r="D52" s="215" t="s">
        <v>4528</v>
      </c>
      <c r="E52" s="31">
        <v>2822</v>
      </c>
      <c r="F52" s="216">
        <v>24.5</v>
      </c>
      <c r="G52" s="31"/>
      <c r="H52" s="217"/>
      <c r="J52" s="221"/>
    </row>
    <row r="53" spans="1:10" x14ac:dyDescent="0.2">
      <c r="A53" s="26"/>
      <c r="B53" s="26"/>
      <c r="C53" s="26" t="s">
        <v>1760</v>
      </c>
      <c r="D53" s="215" t="s">
        <v>655</v>
      </c>
      <c r="E53" s="31">
        <v>1042</v>
      </c>
      <c r="F53" s="216">
        <v>9</v>
      </c>
      <c r="G53" s="31"/>
      <c r="H53" s="217"/>
    </row>
    <row r="54" spans="1:10" x14ac:dyDescent="0.2">
      <c r="A54" s="26"/>
      <c r="B54" s="26"/>
      <c r="C54" s="26" t="s">
        <v>2318</v>
      </c>
      <c r="D54" s="215"/>
      <c r="E54" s="218">
        <f>SUM(E50:E53)</f>
        <v>11538</v>
      </c>
      <c r="F54" s="219">
        <f>SUM(F50:F53)</f>
        <v>100</v>
      </c>
      <c r="G54" s="218">
        <v>19309</v>
      </c>
      <c r="H54" s="220">
        <v>59.8</v>
      </c>
    </row>
    <row r="55" spans="1:10" x14ac:dyDescent="0.2">
      <c r="A55" s="26"/>
      <c r="B55" s="26"/>
      <c r="C55" s="26" t="s">
        <v>2318</v>
      </c>
      <c r="D55" s="215"/>
      <c r="E55" s="31"/>
      <c r="F55" s="216"/>
      <c r="G55" s="31"/>
      <c r="H55" s="217"/>
    </row>
    <row r="56" spans="1:10" x14ac:dyDescent="0.2">
      <c r="A56" s="26" t="s">
        <v>1855</v>
      </c>
      <c r="B56" s="26"/>
      <c r="C56" s="26" t="s">
        <v>4549</v>
      </c>
      <c r="D56" s="215" t="s">
        <v>4526</v>
      </c>
      <c r="E56" s="31">
        <v>833</v>
      </c>
      <c r="F56" s="216">
        <v>7.6</v>
      </c>
      <c r="G56" s="31"/>
      <c r="H56" s="217"/>
    </row>
    <row r="57" spans="1:10" x14ac:dyDescent="0.2">
      <c r="A57" s="26"/>
      <c r="B57" s="26"/>
      <c r="C57" s="26" t="s">
        <v>4550</v>
      </c>
      <c r="D57" s="215" t="s">
        <v>4528</v>
      </c>
      <c r="E57" s="31">
        <v>1245</v>
      </c>
      <c r="F57" s="216">
        <v>11.3</v>
      </c>
      <c r="G57" s="31"/>
      <c r="H57" s="217"/>
    </row>
    <row r="58" spans="1:10" x14ac:dyDescent="0.2">
      <c r="A58" s="26"/>
      <c r="B58" s="26"/>
      <c r="C58" s="214" t="s">
        <v>4551</v>
      </c>
      <c r="D58" s="215" t="s">
        <v>1736</v>
      </c>
      <c r="E58" s="31">
        <v>8083</v>
      </c>
      <c r="F58" s="216">
        <v>73.5</v>
      </c>
      <c r="G58" s="31"/>
      <c r="H58" s="217"/>
    </row>
    <row r="59" spans="1:10" x14ac:dyDescent="0.2">
      <c r="A59" s="26"/>
      <c r="B59" s="26"/>
      <c r="C59" s="26" t="s">
        <v>4552</v>
      </c>
      <c r="D59" s="215" t="s">
        <v>4426</v>
      </c>
      <c r="E59" s="31">
        <v>844</v>
      </c>
      <c r="F59" s="216">
        <v>7.7</v>
      </c>
      <c r="G59" s="31"/>
      <c r="H59" s="217"/>
    </row>
    <row r="60" spans="1:10" x14ac:dyDescent="0.2">
      <c r="A60" s="26"/>
      <c r="B60" s="26"/>
      <c r="C60" s="26" t="s">
        <v>2318</v>
      </c>
      <c r="D60" s="215"/>
      <c r="E60" s="218">
        <f>SUM(E56:E59)</f>
        <v>11005</v>
      </c>
      <c r="F60" s="219">
        <v>100</v>
      </c>
      <c r="G60" s="218">
        <v>20392</v>
      </c>
      <c r="H60" s="220">
        <v>54</v>
      </c>
    </row>
    <row r="61" spans="1:10" x14ac:dyDescent="0.2">
      <c r="A61" s="26"/>
      <c r="B61" s="26"/>
      <c r="C61" s="26" t="s">
        <v>2318</v>
      </c>
      <c r="D61" s="215"/>
      <c r="E61" s="31"/>
      <c r="F61" s="216"/>
      <c r="G61" s="31"/>
      <c r="H61" s="217"/>
    </row>
    <row r="62" spans="1:10" x14ac:dyDescent="0.2">
      <c r="A62" s="26" t="s">
        <v>1860</v>
      </c>
      <c r="B62" s="26"/>
      <c r="C62" s="26" t="s">
        <v>4553</v>
      </c>
      <c r="D62" s="215" t="s">
        <v>4426</v>
      </c>
      <c r="E62" s="31">
        <v>531</v>
      </c>
      <c r="F62" s="216">
        <v>5.9</v>
      </c>
      <c r="G62" s="31"/>
      <c r="H62" s="217"/>
    </row>
    <row r="63" spans="1:10" x14ac:dyDescent="0.2">
      <c r="A63" s="26"/>
      <c r="B63" s="26"/>
      <c r="C63" s="214" t="s">
        <v>939</v>
      </c>
      <c r="D63" s="215" t="s">
        <v>1736</v>
      </c>
      <c r="E63" s="31">
        <v>5941</v>
      </c>
      <c r="F63" s="216">
        <v>65.900000000000006</v>
      </c>
      <c r="G63" s="31"/>
      <c r="H63" s="217"/>
    </row>
    <row r="64" spans="1:10" x14ac:dyDescent="0.2">
      <c r="A64" s="26"/>
      <c r="B64" s="26"/>
      <c r="C64" s="26" t="s">
        <v>4554</v>
      </c>
      <c r="D64" s="215" t="s">
        <v>4528</v>
      </c>
      <c r="E64" s="31">
        <v>1321</v>
      </c>
      <c r="F64" s="216">
        <v>14.7</v>
      </c>
      <c r="G64" s="31"/>
      <c r="H64" s="217"/>
    </row>
    <row r="65" spans="1:8" x14ac:dyDescent="0.2">
      <c r="A65" s="26"/>
      <c r="B65" s="26"/>
      <c r="C65" s="26" t="s">
        <v>2036</v>
      </c>
      <c r="D65" s="215" t="s">
        <v>4526</v>
      </c>
      <c r="E65" s="31">
        <v>1227</v>
      </c>
      <c r="F65" s="216">
        <v>13.6</v>
      </c>
      <c r="G65" s="31"/>
      <c r="H65" s="217"/>
    </row>
    <row r="66" spans="1:8" x14ac:dyDescent="0.2">
      <c r="A66" s="26"/>
      <c r="B66" s="26"/>
      <c r="C66" s="26" t="s">
        <v>2318</v>
      </c>
      <c r="D66" s="215"/>
      <c r="E66" s="218">
        <f>SUM(E62:E65)</f>
        <v>9020</v>
      </c>
      <c r="F66" s="219">
        <v>100</v>
      </c>
      <c r="G66" s="218">
        <v>17345</v>
      </c>
      <c r="H66" s="220">
        <v>52</v>
      </c>
    </row>
    <row r="67" spans="1:8" x14ac:dyDescent="0.2">
      <c r="A67" s="26"/>
      <c r="B67" s="26"/>
      <c r="C67" s="26" t="s">
        <v>2318</v>
      </c>
      <c r="D67" s="215"/>
      <c r="E67" s="31"/>
      <c r="F67" s="216"/>
      <c r="G67" s="31"/>
      <c r="H67" s="217"/>
    </row>
    <row r="68" spans="1:8" x14ac:dyDescent="0.2">
      <c r="A68" s="26" t="s">
        <v>1865</v>
      </c>
      <c r="B68" s="26"/>
      <c r="C68" s="26" t="s">
        <v>4555</v>
      </c>
      <c r="D68" s="215" t="s">
        <v>4528</v>
      </c>
      <c r="E68" s="31">
        <v>1190</v>
      </c>
      <c r="F68" s="216">
        <v>9.9</v>
      </c>
      <c r="G68" s="31"/>
      <c r="H68" s="217"/>
    </row>
    <row r="69" spans="1:8" x14ac:dyDescent="0.2">
      <c r="A69" s="26"/>
      <c r="B69" s="26"/>
      <c r="C69" s="214" t="s">
        <v>1883</v>
      </c>
      <c r="D69" s="215" t="s">
        <v>1736</v>
      </c>
      <c r="E69" s="31">
        <v>9187</v>
      </c>
      <c r="F69" s="216">
        <v>76</v>
      </c>
      <c r="G69" s="31"/>
      <c r="H69" s="217"/>
    </row>
    <row r="70" spans="1:8" x14ac:dyDescent="0.2">
      <c r="A70" s="26"/>
      <c r="B70" s="26"/>
      <c r="C70" s="26" t="s">
        <v>4556</v>
      </c>
      <c r="D70" s="215" t="s">
        <v>4526</v>
      </c>
      <c r="E70" s="31">
        <v>1225</v>
      </c>
      <c r="F70" s="216">
        <v>10.1</v>
      </c>
      <c r="G70" s="31"/>
      <c r="H70" s="217"/>
    </row>
    <row r="71" spans="1:8" x14ac:dyDescent="0.2">
      <c r="A71" s="26"/>
      <c r="B71" s="26"/>
      <c r="C71" s="26" t="s">
        <v>4557</v>
      </c>
      <c r="D71" s="215" t="s">
        <v>4426</v>
      </c>
      <c r="E71" s="31">
        <v>481</v>
      </c>
      <c r="F71" s="216">
        <v>4</v>
      </c>
      <c r="G71" s="31"/>
      <c r="H71" s="217"/>
    </row>
    <row r="72" spans="1:8" x14ac:dyDescent="0.2">
      <c r="A72" s="26"/>
      <c r="B72" s="26"/>
      <c r="C72" s="26" t="s">
        <v>2318</v>
      </c>
      <c r="D72" s="215"/>
      <c r="E72" s="218">
        <f>SUM(E68:E71)</f>
        <v>12083</v>
      </c>
      <c r="F72" s="219">
        <f>SUM(F68:F71)</f>
        <v>100</v>
      </c>
      <c r="G72" s="218">
        <v>20144</v>
      </c>
      <c r="H72" s="220">
        <v>60</v>
      </c>
    </row>
    <row r="73" spans="1:8" x14ac:dyDescent="0.2">
      <c r="A73" s="26"/>
      <c r="B73" s="26"/>
      <c r="C73" s="26" t="s">
        <v>2318</v>
      </c>
      <c r="D73" s="215"/>
      <c r="E73" s="31"/>
      <c r="F73" s="216"/>
      <c r="G73" s="31"/>
      <c r="H73" s="217"/>
    </row>
    <row r="74" spans="1:8" x14ac:dyDescent="0.2">
      <c r="A74" s="26" t="s">
        <v>1869</v>
      </c>
      <c r="B74" s="26"/>
      <c r="C74" s="26" t="s">
        <v>4558</v>
      </c>
      <c r="D74" s="215" t="s">
        <v>4426</v>
      </c>
      <c r="E74" s="31">
        <v>982</v>
      </c>
      <c r="F74" s="216">
        <v>8.1</v>
      </c>
      <c r="G74" s="31"/>
      <c r="H74" s="217"/>
    </row>
    <row r="75" spans="1:8" x14ac:dyDescent="0.2">
      <c r="A75" s="26"/>
      <c r="B75" s="26"/>
      <c r="C75" s="26" t="s">
        <v>4559</v>
      </c>
      <c r="D75" s="215" t="s">
        <v>4526</v>
      </c>
      <c r="E75" s="31">
        <v>789</v>
      </c>
      <c r="F75" s="216">
        <v>6.5</v>
      </c>
      <c r="G75" s="31"/>
      <c r="H75" s="217"/>
    </row>
    <row r="76" spans="1:8" x14ac:dyDescent="0.2">
      <c r="A76" s="26"/>
      <c r="B76" s="26"/>
      <c r="C76" s="26" t="s">
        <v>4560</v>
      </c>
      <c r="D76" s="215" t="s">
        <v>4528</v>
      </c>
      <c r="E76" s="31">
        <v>2835</v>
      </c>
      <c r="F76" s="216">
        <v>23.4</v>
      </c>
      <c r="G76" s="31"/>
      <c r="H76" s="217"/>
    </row>
    <row r="77" spans="1:8" x14ac:dyDescent="0.2">
      <c r="A77" s="26"/>
      <c r="B77" s="26"/>
      <c r="C77" s="214" t="s">
        <v>4561</v>
      </c>
      <c r="D77" s="215" t="s">
        <v>1736</v>
      </c>
      <c r="E77" s="31">
        <v>7518</v>
      </c>
      <c r="F77" s="216">
        <v>62</v>
      </c>
      <c r="G77" s="31"/>
      <c r="H77" s="217"/>
    </row>
    <row r="78" spans="1:8" x14ac:dyDescent="0.2">
      <c r="A78" s="26"/>
      <c r="B78" s="26"/>
      <c r="C78" s="26" t="s">
        <v>2318</v>
      </c>
      <c r="D78" s="215"/>
      <c r="E78" s="218">
        <f>SUM(E74:E77)</f>
        <v>12124</v>
      </c>
      <c r="F78" s="219">
        <f>SUM(F74:F77)</f>
        <v>100</v>
      </c>
      <c r="G78" s="218">
        <v>19210</v>
      </c>
      <c r="H78" s="220">
        <v>63.1</v>
      </c>
    </row>
    <row r="79" spans="1:8" x14ac:dyDescent="0.2">
      <c r="A79" s="26"/>
      <c r="B79" s="26"/>
      <c r="C79" s="26" t="s">
        <v>2318</v>
      </c>
      <c r="D79" s="215"/>
      <c r="E79" s="31"/>
      <c r="F79" s="216"/>
      <c r="G79" s="31"/>
      <c r="H79" s="217"/>
    </row>
    <row r="80" spans="1:8" x14ac:dyDescent="0.2">
      <c r="A80" s="26" t="s">
        <v>967</v>
      </c>
      <c r="B80" s="26"/>
      <c r="C80" s="26" t="s">
        <v>4562</v>
      </c>
      <c r="D80" s="215" t="s">
        <v>4526</v>
      </c>
      <c r="E80" s="31">
        <v>284</v>
      </c>
      <c r="F80" s="216">
        <v>2.9</v>
      </c>
      <c r="G80" s="31"/>
      <c r="H80" s="217"/>
    </row>
    <row r="81" spans="1:8" x14ac:dyDescent="0.2">
      <c r="A81" s="26"/>
      <c r="B81" s="26"/>
      <c r="C81" s="26" t="s">
        <v>4563</v>
      </c>
      <c r="D81" s="215" t="s">
        <v>4528</v>
      </c>
      <c r="E81" s="31">
        <v>2263</v>
      </c>
      <c r="F81" s="216">
        <v>22.9</v>
      </c>
      <c r="G81" s="31"/>
      <c r="H81" s="217"/>
    </row>
    <row r="82" spans="1:8" x14ac:dyDescent="0.2">
      <c r="A82" s="26"/>
      <c r="B82" s="26"/>
      <c r="C82" s="26" t="s">
        <v>4564</v>
      </c>
      <c r="D82" s="215" t="s">
        <v>4426</v>
      </c>
      <c r="E82" s="31">
        <v>813</v>
      </c>
      <c r="F82" s="216">
        <v>8.1999999999999993</v>
      </c>
      <c r="G82" s="31"/>
      <c r="H82" s="217"/>
    </row>
    <row r="83" spans="1:8" x14ac:dyDescent="0.2">
      <c r="A83" s="26"/>
      <c r="B83" s="26"/>
      <c r="C83" s="26" t="s">
        <v>1231</v>
      </c>
      <c r="D83" s="215" t="s">
        <v>4544</v>
      </c>
      <c r="E83" s="31">
        <v>47</v>
      </c>
      <c r="F83" s="216">
        <v>0.5</v>
      </c>
      <c r="G83" s="31"/>
      <c r="H83" s="217"/>
    </row>
    <row r="84" spans="1:8" x14ac:dyDescent="0.2">
      <c r="A84" s="26"/>
      <c r="B84" s="26"/>
      <c r="C84" s="26" t="s">
        <v>4565</v>
      </c>
      <c r="D84" s="215" t="s">
        <v>653</v>
      </c>
      <c r="E84" s="31">
        <v>577</v>
      </c>
      <c r="F84" s="216">
        <v>5.8</v>
      </c>
      <c r="G84" s="31"/>
      <c r="H84" s="217"/>
    </row>
    <row r="85" spans="1:8" x14ac:dyDescent="0.2">
      <c r="A85" s="26"/>
      <c r="B85" s="26"/>
      <c r="C85" s="214" t="s">
        <v>1884</v>
      </c>
      <c r="D85" s="215" t="s">
        <v>1736</v>
      </c>
      <c r="E85" s="31">
        <v>5901</v>
      </c>
      <c r="F85" s="216">
        <v>59.7</v>
      </c>
      <c r="G85" s="31"/>
      <c r="H85" s="217"/>
    </row>
    <row r="86" spans="1:8" x14ac:dyDescent="0.2">
      <c r="A86" s="26"/>
      <c r="B86" s="26"/>
      <c r="C86" s="26" t="s">
        <v>2318</v>
      </c>
      <c r="D86" s="215"/>
      <c r="E86" s="218">
        <f>SUM(E80:E85)</f>
        <v>9885</v>
      </c>
      <c r="F86" s="219">
        <f>SUM(F80:F85)</f>
        <v>100</v>
      </c>
      <c r="G86" s="218">
        <v>22269</v>
      </c>
      <c r="H86" s="220">
        <v>44.4</v>
      </c>
    </row>
    <row r="87" spans="1:8" x14ac:dyDescent="0.2">
      <c r="A87" s="26"/>
      <c r="B87" s="26"/>
      <c r="C87" s="26" t="s">
        <v>2318</v>
      </c>
      <c r="D87" s="215"/>
      <c r="E87" s="31"/>
      <c r="F87" s="216"/>
      <c r="G87" s="31"/>
      <c r="H87" s="217"/>
    </row>
    <row r="88" spans="1:8" x14ac:dyDescent="0.2">
      <c r="A88" s="26" t="s">
        <v>3211</v>
      </c>
      <c r="B88" s="26"/>
      <c r="C88" s="26" t="s">
        <v>4566</v>
      </c>
      <c r="D88" s="215" t="s">
        <v>4426</v>
      </c>
      <c r="E88" s="31">
        <v>442</v>
      </c>
      <c r="F88" s="216">
        <v>3</v>
      </c>
      <c r="G88" s="31"/>
      <c r="H88" s="217"/>
    </row>
    <row r="89" spans="1:8" x14ac:dyDescent="0.2">
      <c r="A89" s="26"/>
      <c r="B89" s="26"/>
      <c r="C89" s="26" t="s">
        <v>4567</v>
      </c>
      <c r="D89" s="215" t="s">
        <v>4528</v>
      </c>
      <c r="E89" s="31">
        <v>1280</v>
      </c>
      <c r="F89" s="216">
        <v>8.6999999999999993</v>
      </c>
      <c r="G89" s="31"/>
      <c r="H89" s="217"/>
    </row>
    <row r="90" spans="1:8" x14ac:dyDescent="0.2">
      <c r="A90" s="26"/>
      <c r="B90" s="26"/>
      <c r="C90" s="214" t="s">
        <v>1885</v>
      </c>
      <c r="D90" s="215" t="s">
        <v>1736</v>
      </c>
      <c r="E90" s="31">
        <v>8212</v>
      </c>
      <c r="F90" s="216">
        <v>55.8</v>
      </c>
      <c r="G90" s="31"/>
      <c r="H90" s="217"/>
    </row>
    <row r="91" spans="1:8" x14ac:dyDescent="0.2">
      <c r="A91" s="26"/>
      <c r="B91" s="26"/>
      <c r="C91" s="26" t="s">
        <v>3121</v>
      </c>
      <c r="D91" s="215" t="s">
        <v>4526</v>
      </c>
      <c r="E91" s="31">
        <v>4774</v>
      </c>
      <c r="F91" s="216">
        <v>32.5</v>
      </c>
      <c r="G91" s="31"/>
      <c r="H91" s="217"/>
    </row>
    <row r="92" spans="1:8" x14ac:dyDescent="0.2">
      <c r="A92" s="26"/>
      <c r="B92" s="26"/>
      <c r="C92" s="26" t="s">
        <v>2318</v>
      </c>
      <c r="D92" s="215"/>
      <c r="E92" s="218">
        <f>SUM(E88:E91)</f>
        <v>14708</v>
      </c>
      <c r="F92" s="219">
        <f>SUM(F88:F91)</f>
        <v>100</v>
      </c>
      <c r="G92" s="218">
        <v>25017</v>
      </c>
      <c r="H92" s="220">
        <v>58.8</v>
      </c>
    </row>
    <row r="93" spans="1:8" x14ac:dyDescent="0.2">
      <c r="A93" s="26"/>
      <c r="B93" s="26"/>
      <c r="C93" s="26" t="s">
        <v>2318</v>
      </c>
      <c r="D93" s="215"/>
      <c r="E93" s="31"/>
      <c r="F93" s="216"/>
      <c r="G93" s="31"/>
      <c r="H93" s="217"/>
    </row>
    <row r="94" spans="1:8" x14ac:dyDescent="0.2">
      <c r="A94" s="26" t="s">
        <v>3220</v>
      </c>
      <c r="B94" s="26"/>
      <c r="C94" s="26" t="s">
        <v>4568</v>
      </c>
      <c r="D94" s="215" t="s">
        <v>4526</v>
      </c>
      <c r="E94" s="31">
        <v>691</v>
      </c>
      <c r="F94" s="216">
        <v>6.2</v>
      </c>
      <c r="G94" s="31"/>
      <c r="H94" s="217"/>
    </row>
    <row r="95" spans="1:8" x14ac:dyDescent="0.2">
      <c r="A95" s="26"/>
      <c r="B95" s="26"/>
      <c r="C95" s="26" t="s">
        <v>4569</v>
      </c>
      <c r="D95" s="215" t="s">
        <v>4426</v>
      </c>
      <c r="E95" s="31">
        <v>838</v>
      </c>
      <c r="F95" s="216">
        <v>7.5</v>
      </c>
      <c r="G95" s="31"/>
      <c r="H95" s="217"/>
    </row>
    <row r="96" spans="1:8" x14ac:dyDescent="0.2">
      <c r="A96" s="26"/>
      <c r="B96" s="26"/>
      <c r="C96" s="214" t="s">
        <v>4570</v>
      </c>
      <c r="D96" s="215" t="s">
        <v>1736</v>
      </c>
      <c r="E96" s="31">
        <v>7918</v>
      </c>
      <c r="F96" s="216">
        <v>70.5</v>
      </c>
      <c r="G96" s="31"/>
      <c r="H96" s="217"/>
    </row>
    <row r="97" spans="1:8" x14ac:dyDescent="0.2">
      <c r="A97" s="26"/>
      <c r="B97" s="26"/>
      <c r="C97" s="26" t="s">
        <v>4571</v>
      </c>
      <c r="D97" s="215" t="s">
        <v>4544</v>
      </c>
      <c r="E97" s="31">
        <v>20</v>
      </c>
      <c r="F97" s="216">
        <v>0.2</v>
      </c>
      <c r="G97" s="31"/>
      <c r="H97" s="217"/>
    </row>
    <row r="98" spans="1:8" x14ac:dyDescent="0.2">
      <c r="A98" s="26"/>
      <c r="B98" s="26"/>
      <c r="C98" s="26" t="s">
        <v>4572</v>
      </c>
      <c r="D98" s="215" t="s">
        <v>4528</v>
      </c>
      <c r="E98" s="31">
        <v>1757</v>
      </c>
      <c r="F98" s="216">
        <v>15.7</v>
      </c>
      <c r="G98" s="31"/>
      <c r="H98" s="217"/>
    </row>
    <row r="99" spans="1:8" x14ac:dyDescent="0.2">
      <c r="A99" s="26"/>
      <c r="B99" s="26"/>
      <c r="C99" s="26" t="s">
        <v>2318</v>
      </c>
      <c r="D99" s="215"/>
      <c r="E99" s="218">
        <f>SUM(E94:E98)</f>
        <v>11224</v>
      </c>
      <c r="F99" s="219">
        <v>100</v>
      </c>
      <c r="G99" s="218">
        <v>21663</v>
      </c>
      <c r="H99" s="220">
        <v>51.8</v>
      </c>
    </row>
    <row r="100" spans="1:8" x14ac:dyDescent="0.2">
      <c r="A100" s="26"/>
      <c r="B100" s="26"/>
      <c r="C100" s="26" t="s">
        <v>2318</v>
      </c>
      <c r="D100" s="215"/>
      <c r="E100" s="31"/>
      <c r="F100" s="216"/>
      <c r="G100" s="31"/>
      <c r="H100" s="217"/>
    </row>
    <row r="101" spans="1:8" x14ac:dyDescent="0.2">
      <c r="A101" s="26" t="s">
        <v>1414</v>
      </c>
      <c r="B101" s="26"/>
      <c r="C101" s="26" t="s">
        <v>4573</v>
      </c>
      <c r="D101" s="215" t="s">
        <v>4426</v>
      </c>
      <c r="E101" s="31">
        <v>1097</v>
      </c>
      <c r="F101" s="216">
        <v>9.4</v>
      </c>
      <c r="G101" s="31"/>
      <c r="H101" s="217"/>
    </row>
    <row r="102" spans="1:8" x14ac:dyDescent="0.2">
      <c r="A102" s="26"/>
      <c r="B102" s="26"/>
      <c r="C102" s="26" t="s">
        <v>4574</v>
      </c>
      <c r="D102" s="215" t="s">
        <v>4526</v>
      </c>
      <c r="E102" s="31">
        <v>664</v>
      </c>
      <c r="F102" s="216">
        <v>5.7</v>
      </c>
      <c r="G102" s="31"/>
      <c r="H102" s="217"/>
    </row>
    <row r="103" spans="1:8" x14ac:dyDescent="0.2">
      <c r="A103" s="26"/>
      <c r="B103" s="26"/>
      <c r="C103" s="26" t="s">
        <v>4575</v>
      </c>
      <c r="D103" s="215" t="s">
        <v>4528</v>
      </c>
      <c r="E103" s="31">
        <v>2684</v>
      </c>
      <c r="F103" s="216">
        <v>23</v>
      </c>
      <c r="G103" s="31"/>
      <c r="H103" s="217"/>
    </row>
    <row r="104" spans="1:8" x14ac:dyDescent="0.2">
      <c r="A104" s="26"/>
      <c r="B104" s="26"/>
      <c r="C104" s="214" t="s">
        <v>497</v>
      </c>
      <c r="D104" s="215" t="s">
        <v>1736</v>
      </c>
      <c r="E104" s="31">
        <v>7248</v>
      </c>
      <c r="F104" s="216">
        <v>62</v>
      </c>
      <c r="G104" s="31"/>
      <c r="H104" s="217"/>
    </row>
    <row r="105" spans="1:8" x14ac:dyDescent="0.2">
      <c r="A105" s="26"/>
      <c r="B105" s="26"/>
      <c r="C105" s="26" t="s">
        <v>2318</v>
      </c>
      <c r="D105" s="215"/>
      <c r="E105" s="218">
        <f>SUM(E101:E104)</f>
        <v>11693</v>
      </c>
      <c r="F105" s="219">
        <f>SUM(F101:F104)</f>
        <v>100.1</v>
      </c>
      <c r="G105" s="218">
        <v>22044</v>
      </c>
      <c r="H105" s="220">
        <v>53</v>
      </c>
    </row>
    <row r="106" spans="1:8" x14ac:dyDescent="0.2">
      <c r="A106" s="26"/>
      <c r="B106" s="26"/>
      <c r="C106" s="26" t="s">
        <v>2318</v>
      </c>
      <c r="D106" s="215"/>
      <c r="E106" s="31"/>
      <c r="F106" s="216"/>
      <c r="G106" s="31"/>
      <c r="H106" s="217"/>
    </row>
    <row r="107" spans="1:8" x14ac:dyDescent="0.2">
      <c r="A107" s="26" t="s">
        <v>1416</v>
      </c>
      <c r="B107" s="26"/>
      <c r="C107" s="214" t="s">
        <v>1887</v>
      </c>
      <c r="D107" s="222" t="s">
        <v>1736</v>
      </c>
      <c r="E107" s="31">
        <v>4034</v>
      </c>
      <c r="F107" s="216">
        <v>62.1</v>
      </c>
      <c r="G107" s="31"/>
      <c r="H107" s="217"/>
    </row>
    <row r="108" spans="1:8" x14ac:dyDescent="0.2">
      <c r="A108" s="26"/>
      <c r="B108" s="26"/>
      <c r="C108" s="26" t="s">
        <v>4576</v>
      </c>
      <c r="D108" s="215" t="s">
        <v>4526</v>
      </c>
      <c r="E108" s="31">
        <v>331</v>
      </c>
      <c r="F108" s="216">
        <v>5.0999999999999996</v>
      </c>
      <c r="G108" s="31"/>
      <c r="H108" s="217"/>
    </row>
    <row r="109" spans="1:8" x14ac:dyDescent="0.2">
      <c r="A109" s="26"/>
      <c r="B109" s="26"/>
      <c r="C109" s="26" t="s">
        <v>4577</v>
      </c>
      <c r="D109" s="215" t="s">
        <v>4528</v>
      </c>
      <c r="E109" s="31">
        <v>1539</v>
      </c>
      <c r="F109" s="216">
        <v>23.7</v>
      </c>
      <c r="G109" s="31"/>
      <c r="H109" s="217"/>
    </row>
    <row r="110" spans="1:8" x14ac:dyDescent="0.2">
      <c r="A110" s="26"/>
      <c r="B110" s="26"/>
      <c r="C110" s="26" t="s">
        <v>4578</v>
      </c>
      <c r="D110" s="215" t="s">
        <v>4426</v>
      </c>
      <c r="E110" s="31">
        <v>595</v>
      </c>
      <c r="F110" s="216">
        <v>9.1999999999999993</v>
      </c>
      <c r="G110" s="31"/>
      <c r="H110" s="217"/>
    </row>
    <row r="111" spans="1:8" x14ac:dyDescent="0.2">
      <c r="A111" s="26"/>
      <c r="B111" s="26"/>
      <c r="C111" s="26" t="s">
        <v>2318</v>
      </c>
      <c r="D111" s="26"/>
      <c r="E111" s="218">
        <f>SUM(E107:E110)</f>
        <v>6499</v>
      </c>
      <c r="F111" s="219">
        <v>100</v>
      </c>
      <c r="G111" s="218">
        <v>14052</v>
      </c>
      <c r="H111" s="220">
        <v>46.3</v>
      </c>
    </row>
    <row r="112" spans="1:8" x14ac:dyDescent="0.2">
      <c r="A112" s="26"/>
      <c r="B112" s="26"/>
      <c r="C112" s="26" t="s">
        <v>2318</v>
      </c>
      <c r="D112" s="26"/>
      <c r="E112" s="31"/>
      <c r="F112" s="216"/>
      <c r="G112" s="31"/>
      <c r="H112" s="217"/>
    </row>
    <row r="113" spans="1:8" x14ac:dyDescent="0.2">
      <c r="A113" s="26" t="s">
        <v>3231</v>
      </c>
      <c r="B113" s="26"/>
      <c r="C113" s="26" t="s">
        <v>4579</v>
      </c>
      <c r="D113" s="215" t="s">
        <v>4526</v>
      </c>
      <c r="E113" s="31">
        <v>804</v>
      </c>
      <c r="F113" s="216">
        <v>8.6</v>
      </c>
      <c r="G113" s="31"/>
      <c r="H113" s="217"/>
    </row>
    <row r="114" spans="1:8" x14ac:dyDescent="0.2">
      <c r="A114" s="26"/>
      <c r="B114" s="26"/>
      <c r="C114" s="214" t="s">
        <v>4580</v>
      </c>
      <c r="D114" s="215" t="s">
        <v>1736</v>
      </c>
      <c r="E114" s="31">
        <v>5141</v>
      </c>
      <c r="F114" s="216">
        <v>54.9</v>
      </c>
      <c r="G114" s="31"/>
      <c r="H114" s="217"/>
    </row>
    <row r="115" spans="1:8" x14ac:dyDescent="0.2">
      <c r="A115" s="26"/>
      <c r="B115" s="26"/>
      <c r="C115" s="26" t="s">
        <v>4581</v>
      </c>
      <c r="D115" s="215" t="s">
        <v>4528</v>
      </c>
      <c r="E115" s="31">
        <v>1968</v>
      </c>
      <c r="F115" s="216">
        <v>21</v>
      </c>
      <c r="G115" s="31"/>
      <c r="H115" s="217"/>
    </row>
    <row r="116" spans="1:8" x14ac:dyDescent="0.2">
      <c r="A116" s="26"/>
      <c r="B116" s="26"/>
      <c r="C116" s="26" t="s">
        <v>4582</v>
      </c>
      <c r="D116" s="215" t="s">
        <v>4426</v>
      </c>
      <c r="E116" s="31">
        <v>1455</v>
      </c>
      <c r="F116" s="216">
        <v>15.5</v>
      </c>
      <c r="G116" s="31"/>
      <c r="H116" s="217"/>
    </row>
    <row r="117" spans="1:8" x14ac:dyDescent="0.2">
      <c r="A117" s="26"/>
      <c r="B117" s="26"/>
      <c r="C117" s="26" t="s">
        <v>2318</v>
      </c>
      <c r="D117" s="215"/>
      <c r="E117" s="218">
        <f>SUM(E113:E116)</f>
        <v>9368</v>
      </c>
      <c r="F117" s="219">
        <f>SUM(F113:F116)</f>
        <v>100</v>
      </c>
      <c r="G117" s="218">
        <v>19782</v>
      </c>
      <c r="H117" s="220">
        <v>47.4</v>
      </c>
    </row>
    <row r="118" spans="1:8" x14ac:dyDescent="0.2">
      <c r="A118" s="26"/>
      <c r="B118" s="26"/>
      <c r="C118" s="26" t="s">
        <v>2318</v>
      </c>
      <c r="D118" s="215"/>
      <c r="E118" s="31"/>
      <c r="F118" s="216"/>
      <c r="G118" s="31"/>
      <c r="H118" s="217"/>
    </row>
    <row r="119" spans="1:8" x14ac:dyDescent="0.2">
      <c r="A119" s="26" t="s">
        <v>3235</v>
      </c>
      <c r="B119" s="26"/>
      <c r="C119" s="26" t="s">
        <v>1689</v>
      </c>
      <c r="D119" s="215" t="s">
        <v>4526</v>
      </c>
      <c r="E119" s="31">
        <v>747</v>
      </c>
      <c r="F119" s="216">
        <v>7.2</v>
      </c>
      <c r="G119" s="31"/>
      <c r="H119" s="217"/>
    </row>
    <row r="120" spans="1:8" x14ac:dyDescent="0.2">
      <c r="A120" s="26"/>
      <c r="B120" s="26"/>
      <c r="C120" s="26" t="s">
        <v>4583</v>
      </c>
      <c r="D120" s="215" t="s">
        <v>653</v>
      </c>
      <c r="E120" s="31">
        <v>71</v>
      </c>
      <c r="F120" s="216">
        <v>0.7</v>
      </c>
      <c r="G120" s="31"/>
      <c r="H120" s="217"/>
    </row>
    <row r="121" spans="1:8" x14ac:dyDescent="0.2">
      <c r="A121" s="26"/>
      <c r="B121" s="26"/>
      <c r="C121" s="26" t="s">
        <v>1690</v>
      </c>
      <c r="D121" s="215" t="s">
        <v>4426</v>
      </c>
      <c r="E121" s="31">
        <v>1052</v>
      </c>
      <c r="F121" s="216">
        <v>10.1</v>
      </c>
      <c r="G121" s="31"/>
      <c r="H121" s="217"/>
    </row>
    <row r="122" spans="1:8" x14ac:dyDescent="0.2">
      <c r="A122" s="26"/>
      <c r="B122" s="26"/>
      <c r="C122" s="214" t="s">
        <v>1888</v>
      </c>
      <c r="D122" s="215" t="s">
        <v>1736</v>
      </c>
      <c r="E122" s="31">
        <v>6760</v>
      </c>
      <c r="F122" s="216">
        <v>64.8</v>
      </c>
      <c r="G122" s="31"/>
      <c r="H122" s="217"/>
    </row>
    <row r="123" spans="1:8" x14ac:dyDescent="0.2">
      <c r="A123" s="26"/>
      <c r="B123" s="26"/>
      <c r="C123" s="26" t="s">
        <v>4584</v>
      </c>
      <c r="D123" s="215" t="s">
        <v>4528</v>
      </c>
      <c r="E123" s="31">
        <v>1799</v>
      </c>
      <c r="F123" s="216">
        <v>17.3</v>
      </c>
      <c r="G123" s="31"/>
      <c r="H123" s="217"/>
    </row>
    <row r="124" spans="1:8" x14ac:dyDescent="0.2">
      <c r="A124" s="26"/>
      <c r="B124" s="26"/>
      <c r="C124" s="26" t="s">
        <v>2318</v>
      </c>
      <c r="D124" s="215"/>
      <c r="E124" s="218">
        <f>SUM(E119:E123)</f>
        <v>10429</v>
      </c>
      <c r="F124" s="219">
        <v>100</v>
      </c>
      <c r="G124" s="218">
        <v>18983</v>
      </c>
      <c r="H124" s="220">
        <v>54.9</v>
      </c>
    </row>
    <row r="125" spans="1:8" x14ac:dyDescent="0.2">
      <c r="A125" s="26"/>
      <c r="B125" s="26"/>
      <c r="C125" s="26" t="s">
        <v>2318</v>
      </c>
      <c r="D125" s="215"/>
      <c r="E125" s="31"/>
      <c r="F125" s="216"/>
      <c r="G125" s="31"/>
      <c r="H125" s="217"/>
    </row>
    <row r="126" spans="1:8" x14ac:dyDescent="0.2">
      <c r="A126" s="26" t="s">
        <v>3240</v>
      </c>
      <c r="B126" s="26"/>
      <c r="C126" s="214" t="s">
        <v>247</v>
      </c>
      <c r="D126" s="215" t="s">
        <v>1736</v>
      </c>
      <c r="E126" s="31">
        <v>5976</v>
      </c>
      <c r="F126" s="216">
        <v>61.7</v>
      </c>
      <c r="G126" s="31"/>
      <c r="H126" s="217"/>
    </row>
    <row r="127" spans="1:8" x14ac:dyDescent="0.2">
      <c r="A127" s="26"/>
      <c r="B127" s="26"/>
      <c r="C127" s="26" t="s">
        <v>4585</v>
      </c>
      <c r="D127" s="215" t="s">
        <v>4526</v>
      </c>
      <c r="E127" s="31">
        <v>950</v>
      </c>
      <c r="F127" s="216">
        <v>9.8000000000000007</v>
      </c>
      <c r="G127" s="31"/>
      <c r="H127" s="217"/>
    </row>
    <row r="128" spans="1:8" x14ac:dyDescent="0.2">
      <c r="A128" s="26"/>
      <c r="B128" s="26"/>
      <c r="C128" s="26" t="s">
        <v>4586</v>
      </c>
      <c r="D128" s="215" t="s">
        <v>4528</v>
      </c>
      <c r="E128" s="31">
        <v>2043</v>
      </c>
      <c r="F128" s="216">
        <v>21.1</v>
      </c>
      <c r="G128" s="31"/>
      <c r="H128" s="217"/>
    </row>
    <row r="129" spans="1:10" x14ac:dyDescent="0.2">
      <c r="A129" s="26"/>
      <c r="B129" s="26"/>
      <c r="C129" s="26" t="s">
        <v>3086</v>
      </c>
      <c r="D129" s="215" t="s">
        <v>4426</v>
      </c>
      <c r="E129" s="31">
        <v>721</v>
      </c>
      <c r="F129" s="216">
        <v>7.4</v>
      </c>
      <c r="G129" s="31"/>
      <c r="H129" s="217"/>
    </row>
    <row r="130" spans="1:10" x14ac:dyDescent="0.2">
      <c r="A130" s="26"/>
      <c r="B130" s="26"/>
      <c r="C130" s="26" t="s">
        <v>2318</v>
      </c>
      <c r="D130" s="215"/>
      <c r="E130" s="218">
        <f>SUM(E126:E129)</f>
        <v>9690</v>
      </c>
      <c r="F130" s="219">
        <f>SUM(F126:F129)</f>
        <v>100</v>
      </c>
      <c r="G130" s="218">
        <v>15484</v>
      </c>
      <c r="H130" s="220">
        <v>62.6</v>
      </c>
    </row>
    <row r="131" spans="1:10" x14ac:dyDescent="0.2">
      <c r="A131" s="26"/>
      <c r="B131" s="26"/>
      <c r="C131" s="26" t="s">
        <v>2318</v>
      </c>
      <c r="D131" s="215"/>
      <c r="E131" s="31"/>
      <c r="F131" s="216"/>
      <c r="G131" s="31"/>
      <c r="H131" s="217"/>
    </row>
    <row r="132" spans="1:10" x14ac:dyDescent="0.2">
      <c r="A132" s="26" t="s">
        <v>1188</v>
      </c>
      <c r="B132" s="26"/>
      <c r="C132" s="26" t="s">
        <v>4587</v>
      </c>
      <c r="D132" s="215" t="s">
        <v>4589</v>
      </c>
      <c r="E132" s="31">
        <v>406</v>
      </c>
      <c r="F132" s="216">
        <v>3.8</v>
      </c>
      <c r="G132" s="31"/>
      <c r="H132" s="217"/>
    </row>
    <row r="133" spans="1:10" x14ac:dyDescent="0.2">
      <c r="A133" s="26"/>
      <c r="B133" s="26"/>
      <c r="C133" s="26" t="s">
        <v>4588</v>
      </c>
      <c r="D133" s="215" t="s">
        <v>4528</v>
      </c>
      <c r="E133" s="31">
        <v>930</v>
      </c>
      <c r="F133" s="216">
        <v>8.6999999999999993</v>
      </c>
      <c r="G133" s="31"/>
      <c r="H133" s="217"/>
    </row>
    <row r="134" spans="1:10" x14ac:dyDescent="0.2">
      <c r="A134" s="26"/>
      <c r="B134" s="26"/>
      <c r="C134" s="214" t="s">
        <v>1889</v>
      </c>
      <c r="D134" s="215" t="s">
        <v>1736</v>
      </c>
      <c r="E134" s="31">
        <v>7825</v>
      </c>
      <c r="F134" s="216">
        <v>72.900000000000006</v>
      </c>
      <c r="G134" s="31"/>
      <c r="H134" s="217"/>
    </row>
    <row r="135" spans="1:10" x14ac:dyDescent="0.2">
      <c r="A135" s="26"/>
      <c r="B135" s="26"/>
      <c r="C135" s="26" t="s">
        <v>654</v>
      </c>
      <c r="D135" s="215" t="s">
        <v>4526</v>
      </c>
      <c r="E135" s="31">
        <v>874</v>
      </c>
      <c r="F135" s="216">
        <v>8.1</v>
      </c>
      <c r="G135" s="31"/>
      <c r="H135" s="217"/>
    </row>
    <row r="136" spans="1:10" x14ac:dyDescent="0.2">
      <c r="A136" s="26"/>
      <c r="B136" s="26"/>
      <c r="C136" s="26" t="s">
        <v>251</v>
      </c>
      <c r="D136" s="215" t="s">
        <v>4426</v>
      </c>
      <c r="E136" s="31">
        <v>699</v>
      </c>
      <c r="F136" s="216">
        <v>6.5</v>
      </c>
      <c r="G136" s="31"/>
      <c r="H136" s="217"/>
    </row>
    <row r="137" spans="1:10" x14ac:dyDescent="0.2">
      <c r="A137" s="26"/>
      <c r="B137" s="26"/>
      <c r="C137" s="26" t="s">
        <v>2318</v>
      </c>
      <c r="D137" s="215"/>
      <c r="E137" s="218">
        <f>SUM(E132:E136)</f>
        <v>10734</v>
      </c>
      <c r="F137" s="219">
        <f>SUM(F132:F136)</f>
        <v>100</v>
      </c>
      <c r="G137" s="218">
        <v>17796</v>
      </c>
      <c r="H137" s="220">
        <v>60.3</v>
      </c>
    </row>
    <row r="138" spans="1:10" x14ac:dyDescent="0.2">
      <c r="A138" s="26"/>
      <c r="B138" s="26"/>
      <c r="C138" s="26" t="s">
        <v>2318</v>
      </c>
      <c r="D138" s="215"/>
      <c r="E138" s="31"/>
      <c r="F138" s="216"/>
      <c r="G138" s="31"/>
      <c r="H138" s="217"/>
    </row>
    <row r="139" spans="1:10" x14ac:dyDescent="0.2">
      <c r="A139" s="26" t="s">
        <v>1125</v>
      </c>
      <c r="B139" s="26"/>
      <c r="C139" s="26" t="s">
        <v>4590</v>
      </c>
      <c r="D139" s="215" t="s">
        <v>4593</v>
      </c>
      <c r="E139" s="31">
        <v>1888</v>
      </c>
      <c r="F139" s="216">
        <v>14.2</v>
      </c>
      <c r="G139" s="31"/>
      <c r="H139" s="217"/>
    </row>
    <row r="140" spans="1:10" x14ac:dyDescent="0.2">
      <c r="A140" s="26"/>
      <c r="B140" s="26"/>
      <c r="C140" s="26" t="s">
        <v>4591</v>
      </c>
      <c r="D140" s="215" t="s">
        <v>4526</v>
      </c>
      <c r="E140" s="31">
        <v>278</v>
      </c>
      <c r="F140" s="216">
        <v>2.1</v>
      </c>
      <c r="G140" s="31"/>
      <c r="H140" s="217"/>
    </row>
    <row r="141" spans="1:10" x14ac:dyDescent="0.2">
      <c r="A141" s="26"/>
      <c r="B141" s="26"/>
      <c r="C141" s="26" t="s">
        <v>4592</v>
      </c>
      <c r="D141" s="215" t="s">
        <v>4528</v>
      </c>
      <c r="E141" s="31">
        <v>3121</v>
      </c>
      <c r="F141" s="216">
        <v>23.5</v>
      </c>
      <c r="G141" s="31"/>
      <c r="H141" s="217"/>
      <c r="J141" s="221"/>
    </row>
    <row r="142" spans="1:10" x14ac:dyDescent="0.2">
      <c r="A142" s="26"/>
      <c r="B142" s="26"/>
      <c r="C142" s="214" t="s">
        <v>2335</v>
      </c>
      <c r="D142" s="215" t="s">
        <v>1736</v>
      </c>
      <c r="E142" s="31">
        <v>7998</v>
      </c>
      <c r="F142" s="216">
        <v>60.2</v>
      </c>
      <c r="G142" s="31"/>
      <c r="H142" s="217"/>
    </row>
    <row r="143" spans="1:10" x14ac:dyDescent="0.2">
      <c r="A143" s="26"/>
      <c r="B143" s="26"/>
      <c r="C143" s="26" t="s">
        <v>2318</v>
      </c>
      <c r="D143" s="215"/>
      <c r="E143" s="218">
        <f>SUM(E139:E142)</f>
        <v>13285</v>
      </c>
      <c r="F143" s="219">
        <f>SUM(F139:F142)</f>
        <v>100</v>
      </c>
      <c r="G143" s="218">
        <v>19905</v>
      </c>
      <c r="H143" s="220">
        <v>66.7</v>
      </c>
    </row>
    <row r="144" spans="1:10" x14ac:dyDescent="0.2">
      <c r="A144" s="26"/>
      <c r="B144" s="26"/>
      <c r="C144" s="26" t="s">
        <v>2318</v>
      </c>
      <c r="D144" s="215"/>
      <c r="E144" s="31"/>
      <c r="F144" s="216"/>
      <c r="G144" s="31"/>
      <c r="H144" s="217"/>
    </row>
    <row r="145" spans="1:8" x14ac:dyDescent="0.2">
      <c r="A145" s="26" t="s">
        <v>1427</v>
      </c>
      <c r="B145" s="26"/>
      <c r="C145" s="26" t="s">
        <v>4594</v>
      </c>
      <c r="D145" s="215" t="s">
        <v>4426</v>
      </c>
      <c r="E145" s="31">
        <v>102</v>
      </c>
      <c r="F145" s="216">
        <v>2</v>
      </c>
      <c r="G145" s="31"/>
      <c r="H145" s="217"/>
    </row>
    <row r="146" spans="1:8" x14ac:dyDescent="0.2">
      <c r="A146" s="26"/>
      <c r="B146" s="26"/>
      <c r="C146" s="26" t="s">
        <v>4595</v>
      </c>
      <c r="D146" s="215" t="s">
        <v>4528</v>
      </c>
      <c r="E146" s="31">
        <v>2196</v>
      </c>
      <c r="F146" s="216">
        <v>41.9</v>
      </c>
      <c r="G146" s="31"/>
      <c r="H146" s="217"/>
    </row>
    <row r="147" spans="1:8" x14ac:dyDescent="0.2">
      <c r="A147" s="26"/>
      <c r="B147" s="26"/>
      <c r="C147" s="26" t="s">
        <v>4596</v>
      </c>
      <c r="D147" s="215" t="s">
        <v>4526</v>
      </c>
      <c r="E147" s="31">
        <v>115</v>
      </c>
      <c r="F147" s="216">
        <v>2.2000000000000002</v>
      </c>
      <c r="G147" s="31"/>
      <c r="H147" s="217"/>
    </row>
    <row r="148" spans="1:8" x14ac:dyDescent="0.2">
      <c r="A148" s="26"/>
      <c r="B148" s="26"/>
      <c r="C148" s="214" t="s">
        <v>1890</v>
      </c>
      <c r="D148" s="215" t="s">
        <v>1736</v>
      </c>
      <c r="E148" s="31">
        <v>2832</v>
      </c>
      <c r="F148" s="216">
        <v>54</v>
      </c>
      <c r="G148" s="31"/>
      <c r="H148" s="217"/>
    </row>
    <row r="149" spans="1:8" x14ac:dyDescent="0.2">
      <c r="A149" s="26"/>
      <c r="B149" s="26"/>
      <c r="C149" s="26" t="s">
        <v>2318</v>
      </c>
      <c r="D149" s="215"/>
      <c r="E149" s="218">
        <f>SUM(E145:E148)</f>
        <v>5245</v>
      </c>
      <c r="F149" s="219">
        <v>100</v>
      </c>
      <c r="G149" s="218">
        <v>8944</v>
      </c>
      <c r="H149" s="220">
        <v>58.6</v>
      </c>
    </row>
    <row r="150" spans="1:8" x14ac:dyDescent="0.2">
      <c r="A150" s="26"/>
      <c r="B150" s="26"/>
      <c r="C150" s="26" t="s">
        <v>2318</v>
      </c>
      <c r="D150" s="215"/>
      <c r="E150" s="31"/>
      <c r="F150" s="216"/>
      <c r="G150" s="31"/>
      <c r="H150" s="217"/>
    </row>
    <row r="151" spans="1:8" x14ac:dyDescent="0.2">
      <c r="A151" s="26" t="s">
        <v>1968</v>
      </c>
      <c r="B151" s="26"/>
      <c r="C151" s="214" t="s">
        <v>1891</v>
      </c>
      <c r="D151" s="215" t="s">
        <v>1736</v>
      </c>
      <c r="E151" s="31">
        <v>4024</v>
      </c>
      <c r="F151" s="216">
        <v>66.5</v>
      </c>
      <c r="G151" s="31"/>
      <c r="H151" s="217"/>
    </row>
    <row r="152" spans="1:8" x14ac:dyDescent="0.2">
      <c r="A152" s="26"/>
      <c r="B152" s="26"/>
      <c r="C152" s="26" t="s">
        <v>4597</v>
      </c>
      <c r="D152" s="215" t="s">
        <v>4526</v>
      </c>
      <c r="E152" s="31">
        <v>314</v>
      </c>
      <c r="F152" s="216">
        <v>5.2</v>
      </c>
      <c r="G152" s="31"/>
      <c r="H152" s="217"/>
    </row>
    <row r="153" spans="1:8" x14ac:dyDescent="0.2">
      <c r="A153" s="26"/>
      <c r="B153" s="26"/>
      <c r="C153" s="26" t="s">
        <v>4598</v>
      </c>
      <c r="D153" s="215" t="s">
        <v>4426</v>
      </c>
      <c r="E153" s="31">
        <v>406</v>
      </c>
      <c r="F153" s="216">
        <v>6.7</v>
      </c>
      <c r="G153" s="31"/>
      <c r="H153" s="217"/>
    </row>
    <row r="154" spans="1:8" x14ac:dyDescent="0.2">
      <c r="A154" s="26"/>
      <c r="B154" s="26"/>
      <c r="C154" s="26" t="s">
        <v>4599</v>
      </c>
      <c r="D154" s="215" t="s">
        <v>4528</v>
      </c>
      <c r="E154" s="31">
        <v>1310</v>
      </c>
      <c r="F154" s="216">
        <v>21.6</v>
      </c>
      <c r="G154" s="31"/>
      <c r="H154" s="217"/>
    </row>
    <row r="155" spans="1:8" x14ac:dyDescent="0.2">
      <c r="A155" s="26"/>
      <c r="B155" s="26"/>
      <c r="C155" s="26" t="s">
        <v>2318</v>
      </c>
      <c r="D155" s="215"/>
      <c r="E155" s="218">
        <f>SUM(E151:E154)</f>
        <v>6054</v>
      </c>
      <c r="F155" s="219">
        <f>SUM(F151:F154)</f>
        <v>100</v>
      </c>
      <c r="G155" s="218">
        <v>8513</v>
      </c>
      <c r="H155" s="220">
        <v>71.099999999999994</v>
      </c>
    </row>
    <row r="156" spans="1:8" x14ac:dyDescent="0.2">
      <c r="A156" s="26"/>
      <c r="B156" s="26"/>
      <c r="C156" s="26" t="s">
        <v>2318</v>
      </c>
      <c r="D156" s="215"/>
      <c r="E156" s="31"/>
      <c r="F156" s="216"/>
      <c r="G156" s="31"/>
      <c r="H156" s="217"/>
    </row>
    <row r="157" spans="1:8" x14ac:dyDescent="0.2">
      <c r="A157" s="26" t="s">
        <v>1430</v>
      </c>
      <c r="B157" s="26"/>
      <c r="C157" s="214" t="s">
        <v>4770</v>
      </c>
      <c r="D157" s="215" t="s">
        <v>4528</v>
      </c>
      <c r="E157" s="31">
        <v>6033</v>
      </c>
      <c r="F157" s="216">
        <v>53.4</v>
      </c>
      <c r="G157" s="31"/>
      <c r="H157" s="217"/>
    </row>
    <row r="158" spans="1:8" x14ac:dyDescent="0.2">
      <c r="A158" s="26"/>
      <c r="B158" s="26"/>
      <c r="C158" s="26" t="s">
        <v>4600</v>
      </c>
      <c r="D158" s="215" t="s">
        <v>4526</v>
      </c>
      <c r="E158" s="31">
        <v>211</v>
      </c>
      <c r="F158" s="216">
        <v>1.9</v>
      </c>
      <c r="G158" s="31"/>
      <c r="H158" s="217"/>
    </row>
    <row r="159" spans="1:8" x14ac:dyDescent="0.2">
      <c r="A159" s="26"/>
      <c r="B159" s="26"/>
      <c r="C159" s="26" t="s">
        <v>4601</v>
      </c>
      <c r="D159" s="215" t="s">
        <v>4426</v>
      </c>
      <c r="E159" s="31">
        <v>1102</v>
      </c>
      <c r="F159" s="216">
        <v>9.8000000000000007</v>
      </c>
      <c r="G159" s="31"/>
      <c r="H159" s="217"/>
    </row>
    <row r="160" spans="1:8" x14ac:dyDescent="0.2">
      <c r="A160" s="26"/>
      <c r="B160" s="26"/>
      <c r="C160" s="26" t="s">
        <v>4602</v>
      </c>
      <c r="D160" s="215" t="s">
        <v>1736</v>
      </c>
      <c r="E160" s="31">
        <v>3947</v>
      </c>
      <c r="F160" s="216">
        <v>35</v>
      </c>
      <c r="G160" s="31"/>
      <c r="H160" s="217"/>
    </row>
    <row r="161" spans="1:8" x14ac:dyDescent="0.2">
      <c r="A161" s="26"/>
      <c r="B161" s="26"/>
      <c r="C161" s="26" t="s">
        <v>2318</v>
      </c>
      <c r="D161" s="215"/>
      <c r="E161" s="218">
        <f>SUM(E157:E160)</f>
        <v>11293</v>
      </c>
      <c r="F161" s="219">
        <v>100</v>
      </c>
      <c r="G161" s="218">
        <v>16985</v>
      </c>
      <c r="H161" s="220">
        <v>66.5</v>
      </c>
    </row>
    <row r="162" spans="1:8" x14ac:dyDescent="0.2">
      <c r="A162" s="26"/>
      <c r="B162" s="26"/>
      <c r="C162" s="26" t="s">
        <v>2318</v>
      </c>
      <c r="D162" s="215"/>
      <c r="E162" s="31"/>
      <c r="F162" s="216"/>
      <c r="G162" s="31"/>
      <c r="H162" s="217"/>
    </row>
    <row r="163" spans="1:8" x14ac:dyDescent="0.2">
      <c r="A163" s="26" t="s">
        <v>2268</v>
      </c>
      <c r="B163" s="26"/>
      <c r="C163" s="26" t="s">
        <v>4603</v>
      </c>
      <c r="D163" s="215" t="s">
        <v>4528</v>
      </c>
      <c r="E163" s="31">
        <v>1907</v>
      </c>
      <c r="F163" s="216">
        <v>32.4</v>
      </c>
      <c r="G163" s="31"/>
      <c r="H163" s="217"/>
    </row>
    <row r="164" spans="1:8" x14ac:dyDescent="0.2">
      <c r="A164" s="26"/>
      <c r="B164" s="26"/>
      <c r="C164" s="214" t="s">
        <v>1892</v>
      </c>
      <c r="D164" s="215" t="s">
        <v>1736</v>
      </c>
      <c r="E164" s="31">
        <v>3353</v>
      </c>
      <c r="F164" s="216">
        <v>57</v>
      </c>
      <c r="G164" s="31"/>
      <c r="H164" s="217"/>
    </row>
    <row r="165" spans="1:8" x14ac:dyDescent="0.2">
      <c r="A165" s="26"/>
      <c r="B165" s="26"/>
      <c r="C165" s="26" t="s">
        <v>4604</v>
      </c>
      <c r="D165" s="215" t="s">
        <v>4526</v>
      </c>
      <c r="E165" s="31">
        <v>123</v>
      </c>
      <c r="F165" s="216">
        <v>2.1</v>
      </c>
      <c r="G165" s="31"/>
      <c r="H165" s="217"/>
    </row>
    <row r="166" spans="1:8" x14ac:dyDescent="0.2">
      <c r="A166" s="26"/>
      <c r="B166" s="26"/>
      <c r="C166" s="26" t="s">
        <v>1921</v>
      </c>
      <c r="D166" s="215" t="s">
        <v>4426</v>
      </c>
      <c r="E166" s="31">
        <v>499</v>
      </c>
      <c r="F166" s="216">
        <v>8.5</v>
      </c>
      <c r="G166" s="31"/>
      <c r="H166" s="217"/>
    </row>
    <row r="167" spans="1:8" x14ac:dyDescent="0.2">
      <c r="A167" s="26"/>
      <c r="B167" s="26"/>
      <c r="C167" s="26" t="s">
        <v>2318</v>
      </c>
      <c r="D167" s="215"/>
      <c r="E167" s="218">
        <f>SUM(E163:E166)</f>
        <v>5882</v>
      </c>
      <c r="F167" s="219">
        <f>SUM(F163:F166)</f>
        <v>100</v>
      </c>
      <c r="G167" s="218">
        <v>8767</v>
      </c>
      <c r="H167" s="220">
        <v>67.099999999999994</v>
      </c>
    </row>
    <row r="168" spans="1:8" x14ac:dyDescent="0.2">
      <c r="A168" s="26"/>
      <c r="B168" s="26"/>
      <c r="C168" s="26" t="s">
        <v>2318</v>
      </c>
      <c r="D168" s="215"/>
      <c r="E168" s="31"/>
      <c r="F168" s="216"/>
      <c r="G168" s="31"/>
      <c r="H168" s="217"/>
    </row>
    <row r="169" spans="1:8" x14ac:dyDescent="0.2">
      <c r="A169" s="26" t="s">
        <v>1434</v>
      </c>
      <c r="B169" s="26"/>
      <c r="C169" s="214" t="s">
        <v>1893</v>
      </c>
      <c r="D169" s="215" t="s">
        <v>1736</v>
      </c>
      <c r="E169" s="31">
        <v>3530</v>
      </c>
      <c r="F169" s="216">
        <v>57</v>
      </c>
      <c r="G169" s="31"/>
      <c r="H169" s="217"/>
    </row>
    <row r="170" spans="1:8" x14ac:dyDescent="0.2">
      <c r="A170" s="26"/>
      <c r="B170" s="26"/>
      <c r="C170" s="26" t="s">
        <v>4605</v>
      </c>
      <c r="D170" s="215" t="s">
        <v>4426</v>
      </c>
      <c r="E170" s="31">
        <v>1290</v>
      </c>
      <c r="F170" s="216">
        <v>20.8</v>
      </c>
      <c r="G170" s="31"/>
      <c r="H170" s="217"/>
    </row>
    <row r="171" spans="1:8" x14ac:dyDescent="0.2">
      <c r="A171" s="26"/>
      <c r="B171" s="26"/>
      <c r="C171" s="26" t="s">
        <v>4606</v>
      </c>
      <c r="D171" s="215" t="s">
        <v>4526</v>
      </c>
      <c r="E171" s="31">
        <v>94</v>
      </c>
      <c r="F171" s="216">
        <v>1.5</v>
      </c>
      <c r="G171" s="31"/>
      <c r="H171" s="217"/>
    </row>
    <row r="172" spans="1:8" x14ac:dyDescent="0.2">
      <c r="A172" s="26"/>
      <c r="B172" s="26"/>
      <c r="C172" s="26" t="s">
        <v>4607</v>
      </c>
      <c r="D172" s="215" t="s">
        <v>4528</v>
      </c>
      <c r="E172" s="31">
        <v>1284</v>
      </c>
      <c r="F172" s="216">
        <v>20.7</v>
      </c>
      <c r="G172" s="31"/>
      <c r="H172" s="217"/>
    </row>
    <row r="173" spans="1:8" x14ac:dyDescent="0.2">
      <c r="A173" s="26"/>
      <c r="B173" s="26"/>
      <c r="C173" s="26" t="s">
        <v>2318</v>
      </c>
      <c r="D173" s="215"/>
      <c r="E173" s="218">
        <f>SUM(E169:E172)</f>
        <v>6198</v>
      </c>
      <c r="F173" s="219">
        <f>SUM(F169:F172)</f>
        <v>100</v>
      </c>
      <c r="G173" s="218">
        <v>9330</v>
      </c>
      <c r="H173" s="220">
        <v>66.400000000000006</v>
      </c>
    </row>
    <row r="174" spans="1:8" x14ac:dyDescent="0.2">
      <c r="A174" s="26"/>
      <c r="B174" s="26"/>
      <c r="C174" s="26" t="s">
        <v>2318</v>
      </c>
      <c r="D174" s="215"/>
      <c r="E174" s="31"/>
      <c r="F174" s="216"/>
      <c r="G174" s="31"/>
      <c r="H174" s="217"/>
    </row>
    <row r="175" spans="1:8" x14ac:dyDescent="0.2">
      <c r="A175" s="26" t="s">
        <v>1977</v>
      </c>
      <c r="B175" s="26"/>
      <c r="C175" s="214" t="s">
        <v>4608</v>
      </c>
      <c r="D175" s="215" t="s">
        <v>1736</v>
      </c>
      <c r="E175" s="31">
        <v>5585</v>
      </c>
      <c r="F175" s="216">
        <v>55</v>
      </c>
      <c r="G175" s="31"/>
      <c r="H175" s="217"/>
    </row>
    <row r="176" spans="1:8" x14ac:dyDescent="0.2">
      <c r="A176" s="26"/>
      <c r="B176" s="26"/>
      <c r="C176" s="26" t="s">
        <v>4609</v>
      </c>
      <c r="D176" s="215" t="s">
        <v>4526</v>
      </c>
      <c r="E176" s="31">
        <v>209</v>
      </c>
      <c r="F176" s="216">
        <v>2.1</v>
      </c>
      <c r="G176" s="31"/>
      <c r="H176" s="217"/>
    </row>
    <row r="177" spans="1:8" x14ac:dyDescent="0.2">
      <c r="A177" s="26"/>
      <c r="B177" s="26"/>
      <c r="C177" s="26" t="s">
        <v>4771</v>
      </c>
      <c r="D177" s="215" t="s">
        <v>4426</v>
      </c>
      <c r="E177" s="31">
        <v>526</v>
      </c>
      <c r="F177" s="216">
        <v>5.2</v>
      </c>
      <c r="G177" s="31"/>
      <c r="H177" s="217"/>
    </row>
    <row r="178" spans="1:8" x14ac:dyDescent="0.2">
      <c r="A178" s="26"/>
      <c r="B178" s="26"/>
      <c r="C178" s="26" t="s">
        <v>1922</v>
      </c>
      <c r="D178" s="215" t="s">
        <v>653</v>
      </c>
      <c r="E178" s="31">
        <v>1927</v>
      </c>
      <c r="F178" s="216">
        <v>19</v>
      </c>
      <c r="G178" s="31"/>
      <c r="H178" s="217"/>
    </row>
    <row r="179" spans="1:8" x14ac:dyDescent="0.2">
      <c r="A179" s="26"/>
      <c r="B179" s="26"/>
      <c r="C179" s="26" t="s">
        <v>4610</v>
      </c>
      <c r="D179" s="215" t="s">
        <v>4528</v>
      </c>
      <c r="E179" s="31">
        <v>1913</v>
      </c>
      <c r="F179" s="216">
        <v>18.8</v>
      </c>
      <c r="G179" s="31"/>
      <c r="H179" s="217"/>
    </row>
    <row r="180" spans="1:8" x14ac:dyDescent="0.2">
      <c r="A180" s="26"/>
      <c r="B180" s="26"/>
      <c r="C180" s="26" t="s">
        <v>2318</v>
      </c>
      <c r="D180" s="215"/>
      <c r="E180" s="218">
        <f>SUM(E175:E179)</f>
        <v>10160</v>
      </c>
      <c r="F180" s="219">
        <v>100</v>
      </c>
      <c r="G180" s="218">
        <v>14892</v>
      </c>
      <c r="H180" s="220">
        <v>68.2</v>
      </c>
    </row>
    <row r="181" spans="1:8" x14ac:dyDescent="0.2">
      <c r="A181" s="26"/>
      <c r="B181" s="26"/>
      <c r="C181" s="26" t="s">
        <v>2318</v>
      </c>
      <c r="D181" s="215"/>
      <c r="E181" s="31"/>
      <c r="F181" s="216"/>
      <c r="G181" s="31"/>
      <c r="H181" s="217"/>
    </row>
    <row r="182" spans="1:8" x14ac:dyDescent="0.2">
      <c r="A182" s="26" t="s">
        <v>1969</v>
      </c>
      <c r="B182" s="26"/>
      <c r="C182" s="26" t="s">
        <v>4611</v>
      </c>
      <c r="D182" s="215" t="s">
        <v>4426</v>
      </c>
      <c r="E182" s="31">
        <v>2363</v>
      </c>
      <c r="F182" s="216">
        <v>23.8</v>
      </c>
      <c r="G182" s="31"/>
      <c r="H182" s="217"/>
    </row>
    <row r="183" spans="1:8" x14ac:dyDescent="0.2">
      <c r="A183" s="26"/>
      <c r="B183" s="26"/>
      <c r="C183" s="26" t="s">
        <v>4612</v>
      </c>
      <c r="D183" s="215" t="s">
        <v>4526</v>
      </c>
      <c r="E183" s="31">
        <v>511</v>
      </c>
      <c r="F183" s="216">
        <v>5.0999999999999996</v>
      </c>
      <c r="G183" s="31"/>
      <c r="H183" s="217"/>
    </row>
    <row r="184" spans="1:8" x14ac:dyDescent="0.2">
      <c r="A184" s="26"/>
      <c r="B184" s="26"/>
      <c r="C184" s="214" t="s">
        <v>1894</v>
      </c>
      <c r="D184" s="215" t="s">
        <v>1736</v>
      </c>
      <c r="E184" s="31">
        <v>5382</v>
      </c>
      <c r="F184" s="216">
        <v>54.1</v>
      </c>
      <c r="G184" s="31"/>
      <c r="H184" s="217"/>
    </row>
    <row r="185" spans="1:8" x14ac:dyDescent="0.2">
      <c r="A185" s="26"/>
      <c r="B185" s="26"/>
      <c r="C185" s="26" t="s">
        <v>4613</v>
      </c>
      <c r="D185" s="215" t="s">
        <v>4528</v>
      </c>
      <c r="E185" s="31">
        <v>1691</v>
      </c>
      <c r="F185" s="216">
        <v>17</v>
      </c>
      <c r="G185" s="31"/>
      <c r="H185" s="217"/>
    </row>
    <row r="186" spans="1:8" x14ac:dyDescent="0.2">
      <c r="A186" s="26"/>
      <c r="B186" s="26"/>
      <c r="C186" s="26" t="s">
        <v>2318</v>
      </c>
      <c r="D186" s="215"/>
      <c r="E186" s="218">
        <f>SUM(E182:E185)</f>
        <v>9947</v>
      </c>
      <c r="F186" s="219">
        <f>SUM(F182:F185)</f>
        <v>100</v>
      </c>
      <c r="G186" s="218">
        <v>18456</v>
      </c>
      <c r="H186" s="220">
        <v>53.9</v>
      </c>
    </row>
    <row r="187" spans="1:8" x14ac:dyDescent="0.2">
      <c r="A187" s="26"/>
      <c r="B187" s="26"/>
      <c r="C187" s="26" t="s">
        <v>2318</v>
      </c>
      <c r="D187" s="215"/>
      <c r="E187" s="31"/>
      <c r="F187" s="216"/>
      <c r="G187" s="31"/>
      <c r="H187" s="217"/>
    </row>
    <row r="188" spans="1:8" x14ac:dyDescent="0.2">
      <c r="A188" s="26" t="s">
        <v>1161</v>
      </c>
      <c r="B188" s="26"/>
      <c r="C188" s="26" t="s">
        <v>4614</v>
      </c>
      <c r="D188" s="215" t="s">
        <v>4526</v>
      </c>
      <c r="E188" s="31">
        <v>369</v>
      </c>
      <c r="F188" s="216">
        <v>4.2</v>
      </c>
      <c r="G188" s="31"/>
      <c r="H188" s="217"/>
    </row>
    <row r="189" spans="1:8" x14ac:dyDescent="0.2">
      <c r="A189" s="26"/>
      <c r="B189" s="26"/>
      <c r="C189" s="26" t="s">
        <v>4615</v>
      </c>
      <c r="D189" s="215" t="s">
        <v>4426</v>
      </c>
      <c r="E189" s="31">
        <v>1769</v>
      </c>
      <c r="F189" s="216">
        <v>19.899999999999999</v>
      </c>
      <c r="G189" s="31"/>
      <c r="H189" s="217"/>
    </row>
    <row r="190" spans="1:8" x14ac:dyDescent="0.2">
      <c r="A190" s="26"/>
      <c r="B190" s="26"/>
      <c r="C190" s="214" t="s">
        <v>4616</v>
      </c>
      <c r="D190" s="215" t="s">
        <v>1736</v>
      </c>
      <c r="E190" s="31">
        <v>4923</v>
      </c>
      <c r="F190" s="216">
        <v>55.5</v>
      </c>
      <c r="G190" s="31"/>
      <c r="H190" s="217"/>
    </row>
    <row r="191" spans="1:8" x14ac:dyDescent="0.2">
      <c r="A191" s="26"/>
      <c r="B191" s="26"/>
      <c r="C191" s="26" t="s">
        <v>4617</v>
      </c>
      <c r="D191" s="215" t="s">
        <v>4528</v>
      </c>
      <c r="E191" s="31">
        <v>1813</v>
      </c>
      <c r="F191" s="216">
        <v>20.399999999999999</v>
      </c>
      <c r="G191" s="31"/>
      <c r="H191" s="217"/>
    </row>
    <row r="192" spans="1:8" x14ac:dyDescent="0.2">
      <c r="A192" s="26"/>
      <c r="B192" s="26"/>
      <c r="C192" s="26" t="s">
        <v>2318</v>
      </c>
      <c r="D192" s="215"/>
      <c r="E192" s="218">
        <f>SUM(E188:E191)</f>
        <v>8874</v>
      </c>
      <c r="F192" s="219">
        <f>SUM(F188:F191)</f>
        <v>100</v>
      </c>
      <c r="G192" s="218">
        <v>18736</v>
      </c>
      <c r="H192" s="220">
        <v>47.4</v>
      </c>
    </row>
    <row r="193" spans="1:8" x14ac:dyDescent="0.2">
      <c r="A193" s="26"/>
      <c r="B193" s="26"/>
      <c r="C193" s="26" t="s">
        <v>2318</v>
      </c>
      <c r="D193" s="215"/>
      <c r="E193" s="31"/>
      <c r="F193" s="216"/>
      <c r="G193" s="31"/>
      <c r="H193" s="217"/>
    </row>
    <row r="194" spans="1:8" x14ac:dyDescent="0.2">
      <c r="A194" s="26" t="s">
        <v>1163</v>
      </c>
      <c r="B194" s="26"/>
      <c r="C194" s="214" t="s">
        <v>1911</v>
      </c>
      <c r="D194" s="215" t="s">
        <v>1736</v>
      </c>
      <c r="E194" s="31">
        <v>3756</v>
      </c>
      <c r="F194" s="216">
        <v>50.5</v>
      </c>
      <c r="G194" s="31"/>
      <c r="H194" s="217"/>
    </row>
    <row r="195" spans="1:8" x14ac:dyDescent="0.2">
      <c r="A195" s="26"/>
      <c r="B195" s="26"/>
      <c r="C195" s="26" t="s">
        <v>4618</v>
      </c>
      <c r="D195" s="215" t="s">
        <v>4526</v>
      </c>
      <c r="E195" s="31">
        <v>231</v>
      </c>
      <c r="F195" s="216">
        <v>3.1</v>
      </c>
      <c r="G195" s="31"/>
      <c r="H195" s="217"/>
    </row>
    <row r="196" spans="1:8" x14ac:dyDescent="0.2">
      <c r="A196" s="26"/>
      <c r="B196" s="26"/>
      <c r="C196" s="26" t="s">
        <v>4619</v>
      </c>
      <c r="D196" s="215" t="s">
        <v>4426</v>
      </c>
      <c r="E196" s="31">
        <v>2592</v>
      </c>
      <c r="F196" s="216">
        <v>34.9</v>
      </c>
      <c r="G196" s="31"/>
      <c r="H196" s="217"/>
    </row>
    <row r="197" spans="1:8" x14ac:dyDescent="0.2">
      <c r="A197" s="26"/>
      <c r="B197" s="26"/>
      <c r="C197" s="26" t="s">
        <v>4620</v>
      </c>
      <c r="D197" s="215" t="s">
        <v>4528</v>
      </c>
      <c r="E197" s="31">
        <v>854</v>
      </c>
      <c r="F197" s="216">
        <v>11.5</v>
      </c>
      <c r="G197" s="31"/>
      <c r="H197" s="217"/>
    </row>
    <row r="198" spans="1:8" x14ac:dyDescent="0.2">
      <c r="A198" s="26"/>
      <c r="B198" s="26"/>
      <c r="C198" s="26" t="s">
        <v>2318</v>
      </c>
      <c r="D198" s="215"/>
      <c r="E198" s="218">
        <f>SUM(E194:E197)</f>
        <v>7433</v>
      </c>
      <c r="F198" s="219">
        <f>SUM(F194:F197)</f>
        <v>100</v>
      </c>
      <c r="G198" s="218">
        <v>13741</v>
      </c>
      <c r="H198" s="220">
        <v>54.1</v>
      </c>
    </row>
    <row r="199" spans="1:8" x14ac:dyDescent="0.2">
      <c r="A199" s="26"/>
      <c r="B199" s="26"/>
      <c r="C199" s="26" t="s">
        <v>2318</v>
      </c>
      <c r="D199" s="215"/>
      <c r="E199" s="31"/>
      <c r="F199" s="216"/>
      <c r="G199" s="31"/>
      <c r="H199" s="217"/>
    </row>
    <row r="200" spans="1:8" x14ac:dyDescent="0.2">
      <c r="A200" s="26" t="s">
        <v>469</v>
      </c>
      <c r="B200" s="26"/>
      <c r="C200" s="214" t="s">
        <v>1912</v>
      </c>
      <c r="D200" s="215" t="s">
        <v>1736</v>
      </c>
      <c r="E200" s="31">
        <v>5205</v>
      </c>
      <c r="F200" s="216">
        <v>58.5</v>
      </c>
      <c r="G200" s="31"/>
      <c r="H200" s="217"/>
    </row>
    <row r="201" spans="1:8" x14ac:dyDescent="0.2">
      <c r="A201" s="26"/>
      <c r="B201" s="26"/>
      <c r="C201" s="26" t="s">
        <v>4621</v>
      </c>
      <c r="D201" s="215" t="s">
        <v>4526</v>
      </c>
      <c r="E201" s="31">
        <v>535</v>
      </c>
      <c r="F201" s="216">
        <v>6</v>
      </c>
      <c r="G201" s="31"/>
      <c r="H201" s="217"/>
    </row>
    <row r="202" spans="1:8" x14ac:dyDescent="0.2">
      <c r="A202" s="26"/>
      <c r="B202" s="26"/>
      <c r="C202" s="26" t="s">
        <v>4622</v>
      </c>
      <c r="D202" s="215" t="s">
        <v>4426</v>
      </c>
      <c r="E202" s="31">
        <v>2180</v>
      </c>
      <c r="F202" s="216">
        <v>24.49</v>
      </c>
      <c r="G202" s="31"/>
      <c r="H202" s="217"/>
    </row>
    <row r="203" spans="1:8" x14ac:dyDescent="0.2">
      <c r="A203" s="26"/>
      <c r="B203" s="26"/>
      <c r="C203" s="26" t="s">
        <v>4623</v>
      </c>
      <c r="D203" s="215" t="s">
        <v>4528</v>
      </c>
      <c r="E203" s="31">
        <v>982</v>
      </c>
      <c r="F203" s="216">
        <v>11</v>
      </c>
      <c r="G203" s="31"/>
      <c r="H203" s="217"/>
    </row>
    <row r="204" spans="1:8" x14ac:dyDescent="0.2">
      <c r="A204" s="26"/>
      <c r="B204" s="26"/>
      <c r="C204" s="26" t="s">
        <v>2318</v>
      </c>
      <c r="D204" s="215"/>
      <c r="E204" s="218">
        <f>SUM(E200:E203)</f>
        <v>8902</v>
      </c>
      <c r="F204" s="219">
        <f>SUM(F200:F203)</f>
        <v>99.99</v>
      </c>
      <c r="G204" s="218">
        <v>19483</v>
      </c>
      <c r="H204" s="220">
        <v>45.7</v>
      </c>
    </row>
    <row r="205" spans="1:8" x14ac:dyDescent="0.2">
      <c r="A205" s="26"/>
      <c r="B205" s="26"/>
      <c r="C205" s="26" t="s">
        <v>2318</v>
      </c>
      <c r="D205" s="215"/>
      <c r="E205" s="31"/>
      <c r="F205" s="216"/>
      <c r="G205" s="31"/>
      <c r="H205" s="217"/>
    </row>
    <row r="206" spans="1:8" x14ac:dyDescent="0.2">
      <c r="A206" s="26" t="s">
        <v>477</v>
      </c>
      <c r="B206" s="26"/>
      <c r="C206" s="26" t="s">
        <v>4624</v>
      </c>
      <c r="D206" s="215" t="s">
        <v>4528</v>
      </c>
      <c r="E206" s="31">
        <v>838</v>
      </c>
      <c r="F206" s="216">
        <v>10</v>
      </c>
      <c r="G206" s="31"/>
      <c r="H206" s="217"/>
    </row>
    <row r="207" spans="1:8" x14ac:dyDescent="0.2">
      <c r="A207" s="26"/>
      <c r="B207" s="26"/>
      <c r="C207" s="214" t="s">
        <v>4625</v>
      </c>
      <c r="D207" s="215" t="s">
        <v>1736</v>
      </c>
      <c r="E207" s="31">
        <v>4550</v>
      </c>
      <c r="F207" s="216">
        <v>54.4</v>
      </c>
      <c r="G207" s="31"/>
      <c r="H207" s="217"/>
    </row>
    <row r="208" spans="1:8" x14ac:dyDescent="0.2">
      <c r="A208" s="26"/>
      <c r="B208" s="26"/>
      <c r="C208" s="26" t="s">
        <v>4626</v>
      </c>
      <c r="D208" s="215" t="s">
        <v>4426</v>
      </c>
      <c r="E208" s="31">
        <v>2273</v>
      </c>
      <c r="F208" s="216">
        <v>27.2</v>
      </c>
      <c r="G208" s="31"/>
      <c r="H208" s="217"/>
    </row>
    <row r="209" spans="1:8" x14ac:dyDescent="0.2">
      <c r="A209" s="26"/>
      <c r="B209" s="26"/>
      <c r="C209" s="26" t="s">
        <v>1194</v>
      </c>
      <c r="D209" s="215" t="s">
        <v>4526</v>
      </c>
      <c r="E209" s="31">
        <v>704</v>
      </c>
      <c r="F209" s="216">
        <v>8.4</v>
      </c>
      <c r="G209" s="31"/>
      <c r="H209" s="217"/>
    </row>
    <row r="210" spans="1:8" x14ac:dyDescent="0.2">
      <c r="A210" s="26"/>
      <c r="B210" s="26"/>
      <c r="C210" s="26" t="s">
        <v>2318</v>
      </c>
      <c r="D210" s="215"/>
      <c r="E210" s="218">
        <f>SUM(E206:E209)</f>
        <v>8365</v>
      </c>
      <c r="F210" s="219">
        <f>SUM(F206:F209)</f>
        <v>100.00000000000001</v>
      </c>
      <c r="G210" s="218">
        <v>17665</v>
      </c>
      <c r="H210" s="220">
        <v>47.4</v>
      </c>
    </row>
    <row r="211" spans="1:8" x14ac:dyDescent="0.2">
      <c r="A211" s="26"/>
      <c r="B211" s="26"/>
      <c r="C211" s="26" t="s">
        <v>2318</v>
      </c>
      <c r="D211" s="215"/>
      <c r="E211" s="31"/>
      <c r="F211" s="216"/>
      <c r="G211" s="31"/>
      <c r="H211" s="217"/>
    </row>
    <row r="212" spans="1:8" x14ac:dyDescent="0.2">
      <c r="A212" s="26" t="s">
        <v>1092</v>
      </c>
      <c r="B212" s="26"/>
      <c r="C212" s="214" t="s">
        <v>1913</v>
      </c>
      <c r="D212" s="215" t="s">
        <v>1736</v>
      </c>
      <c r="E212" s="31">
        <v>4309</v>
      </c>
      <c r="F212" s="216">
        <v>55.3</v>
      </c>
      <c r="G212" s="31"/>
      <c r="H212" s="217"/>
    </row>
    <row r="213" spans="1:8" x14ac:dyDescent="0.2">
      <c r="A213" s="26"/>
      <c r="B213" s="26"/>
      <c r="C213" s="26" t="s">
        <v>4627</v>
      </c>
      <c r="D213" s="215" t="s">
        <v>4526</v>
      </c>
      <c r="E213" s="31">
        <v>719</v>
      </c>
      <c r="F213" s="216">
        <v>9.1999999999999993</v>
      </c>
      <c r="G213" s="31"/>
      <c r="H213" s="217"/>
    </row>
    <row r="214" spans="1:8" x14ac:dyDescent="0.2">
      <c r="A214" s="26"/>
      <c r="B214" s="26"/>
      <c r="C214" s="26" t="s">
        <v>4772</v>
      </c>
      <c r="D214" s="215" t="s">
        <v>4528</v>
      </c>
      <c r="E214" s="31">
        <v>1277</v>
      </c>
      <c r="F214" s="216">
        <v>16.399999999999999</v>
      </c>
      <c r="G214" s="31"/>
      <c r="H214" s="217"/>
    </row>
    <row r="215" spans="1:8" x14ac:dyDescent="0.2">
      <c r="A215" s="26"/>
      <c r="B215" s="26"/>
      <c r="C215" s="26" t="s">
        <v>4631</v>
      </c>
      <c r="D215" s="215" t="s">
        <v>4426</v>
      </c>
      <c r="E215" s="31">
        <v>1489</v>
      </c>
      <c r="F215" s="216">
        <v>19.100000000000001</v>
      </c>
      <c r="G215" s="31"/>
      <c r="H215" s="217"/>
    </row>
    <row r="216" spans="1:8" x14ac:dyDescent="0.2">
      <c r="A216" s="26"/>
      <c r="B216" s="26"/>
      <c r="C216" s="26" t="s">
        <v>2318</v>
      </c>
      <c r="D216" s="215"/>
      <c r="E216" s="218">
        <f>SUM(E212:E215)</f>
        <v>7794</v>
      </c>
      <c r="F216" s="219">
        <v>100</v>
      </c>
      <c r="G216" s="218">
        <v>15055</v>
      </c>
      <c r="H216" s="220">
        <v>51.77</v>
      </c>
    </row>
    <row r="217" spans="1:8" x14ac:dyDescent="0.2">
      <c r="A217" s="26"/>
      <c r="B217" s="26"/>
      <c r="C217" s="26" t="s">
        <v>2318</v>
      </c>
      <c r="D217" s="215"/>
      <c r="E217" s="31"/>
      <c r="F217" s="216"/>
      <c r="G217" s="31"/>
      <c r="H217" s="217"/>
    </row>
    <row r="218" spans="1:8" x14ac:dyDescent="0.2">
      <c r="A218" s="26" t="s">
        <v>1096</v>
      </c>
      <c r="B218" s="26"/>
      <c r="C218" s="214" t="s">
        <v>1914</v>
      </c>
      <c r="D218" s="215" t="s">
        <v>1736</v>
      </c>
      <c r="E218" s="31">
        <v>6597</v>
      </c>
      <c r="F218" s="216">
        <v>61.5</v>
      </c>
      <c r="G218" s="31"/>
      <c r="H218" s="217"/>
    </row>
    <row r="219" spans="1:8" x14ac:dyDescent="0.2">
      <c r="A219" s="26"/>
      <c r="B219" s="26"/>
      <c r="C219" s="26" t="s">
        <v>4629</v>
      </c>
      <c r="D219" s="215" t="s">
        <v>4528</v>
      </c>
      <c r="E219" s="31">
        <v>967</v>
      </c>
      <c r="F219" s="216">
        <v>9</v>
      </c>
      <c r="G219" s="31"/>
      <c r="H219" s="217"/>
    </row>
    <row r="220" spans="1:8" x14ac:dyDescent="0.2">
      <c r="A220" s="26"/>
      <c r="B220" s="26"/>
      <c r="C220" s="26" t="s">
        <v>4630</v>
      </c>
      <c r="D220" s="215" t="s">
        <v>4526</v>
      </c>
      <c r="E220" s="31">
        <v>1330</v>
      </c>
      <c r="F220" s="216">
        <v>12.4</v>
      </c>
      <c r="G220" s="31"/>
      <c r="H220" s="217"/>
    </row>
    <row r="221" spans="1:8" x14ac:dyDescent="0.2">
      <c r="A221" s="26"/>
      <c r="B221" s="26"/>
      <c r="C221" s="26" t="s">
        <v>4628</v>
      </c>
      <c r="D221" s="215" t="s">
        <v>4426</v>
      </c>
      <c r="E221" s="31">
        <v>1838</v>
      </c>
      <c r="F221" s="216">
        <v>17.100000000000001</v>
      </c>
      <c r="G221" s="31"/>
      <c r="H221" s="217"/>
    </row>
    <row r="222" spans="1:8" x14ac:dyDescent="0.2">
      <c r="A222" s="26"/>
      <c r="B222" s="26"/>
      <c r="C222" s="26" t="s">
        <v>2318</v>
      </c>
      <c r="D222" s="215"/>
      <c r="E222" s="218">
        <f>SUM(E218:E221)</f>
        <v>10732</v>
      </c>
      <c r="F222" s="219">
        <f>SUM(F218:F221)</f>
        <v>100</v>
      </c>
      <c r="G222" s="218">
        <v>18175</v>
      </c>
      <c r="H222" s="220">
        <v>59.1</v>
      </c>
    </row>
    <row r="223" spans="1:8" x14ac:dyDescent="0.2">
      <c r="A223" s="26"/>
      <c r="B223" s="26"/>
      <c r="C223" s="26" t="s">
        <v>2318</v>
      </c>
      <c r="D223" s="215"/>
      <c r="E223" s="31"/>
      <c r="F223" s="216"/>
      <c r="G223" s="31"/>
      <c r="H223" s="217"/>
    </row>
    <row r="224" spans="1:8" x14ac:dyDescent="0.2">
      <c r="A224" s="26" t="s">
        <v>1100</v>
      </c>
      <c r="B224" s="26"/>
      <c r="C224" s="26" t="s">
        <v>4633</v>
      </c>
      <c r="D224" s="215" t="s">
        <v>4528</v>
      </c>
      <c r="E224" s="31">
        <v>1397</v>
      </c>
      <c r="F224" s="216">
        <v>13</v>
      </c>
      <c r="G224" s="31"/>
      <c r="H224" s="217"/>
    </row>
    <row r="225" spans="1:8" x14ac:dyDescent="0.2">
      <c r="A225" s="26"/>
      <c r="B225" s="26"/>
      <c r="C225" s="214" t="s">
        <v>1915</v>
      </c>
      <c r="D225" s="215" t="s">
        <v>1736</v>
      </c>
      <c r="E225" s="31">
        <v>6044</v>
      </c>
      <c r="F225" s="216">
        <v>56</v>
      </c>
      <c r="G225" s="31"/>
      <c r="H225" s="217"/>
    </row>
    <row r="226" spans="1:8" x14ac:dyDescent="0.2">
      <c r="A226" s="26"/>
      <c r="B226" s="26"/>
      <c r="C226" s="26" t="s">
        <v>1195</v>
      </c>
      <c r="D226" s="215" t="s">
        <v>4526</v>
      </c>
      <c r="E226" s="31">
        <v>1002</v>
      </c>
      <c r="F226" s="216">
        <v>9.3000000000000007</v>
      </c>
      <c r="G226" s="31"/>
      <c r="H226" s="217"/>
    </row>
    <row r="227" spans="1:8" x14ac:dyDescent="0.2">
      <c r="A227" s="26"/>
      <c r="B227" s="26"/>
      <c r="C227" s="26" t="s">
        <v>4632</v>
      </c>
      <c r="D227" s="215" t="s">
        <v>4426</v>
      </c>
      <c r="E227" s="31">
        <v>2343</v>
      </c>
      <c r="F227" s="216">
        <v>21.7</v>
      </c>
      <c r="G227" s="31"/>
      <c r="H227" s="217"/>
    </row>
    <row r="228" spans="1:8" x14ac:dyDescent="0.2">
      <c r="A228" s="26"/>
      <c r="B228" s="26"/>
      <c r="C228" s="26" t="s">
        <v>2318</v>
      </c>
      <c r="D228" s="215"/>
      <c r="E228" s="218">
        <f>SUM(E224:E227)</f>
        <v>10786</v>
      </c>
      <c r="F228" s="219">
        <f>SUM(F224:F227)</f>
        <v>100</v>
      </c>
      <c r="G228" s="218">
        <v>17599</v>
      </c>
      <c r="H228" s="220">
        <v>61.3</v>
      </c>
    </row>
    <row r="229" spans="1:8" x14ac:dyDescent="0.2">
      <c r="A229" s="26"/>
      <c r="B229" s="26"/>
      <c r="C229" s="26" t="s">
        <v>2318</v>
      </c>
      <c r="D229" s="215"/>
      <c r="E229" s="31"/>
      <c r="F229" s="216"/>
      <c r="G229" s="31"/>
      <c r="H229" s="217"/>
    </row>
    <row r="230" spans="1:8" x14ac:dyDescent="0.2">
      <c r="A230" s="26" t="s">
        <v>1105</v>
      </c>
      <c r="B230" s="26"/>
      <c r="C230" s="26" t="s">
        <v>4634</v>
      </c>
      <c r="D230" s="215" t="s">
        <v>4426</v>
      </c>
      <c r="E230" s="31">
        <v>2065</v>
      </c>
      <c r="F230" s="216">
        <v>25.1</v>
      </c>
      <c r="G230" s="31"/>
      <c r="H230" s="217"/>
    </row>
    <row r="231" spans="1:8" x14ac:dyDescent="0.2">
      <c r="A231" s="26"/>
      <c r="B231" s="26"/>
      <c r="C231" s="214" t="s">
        <v>1916</v>
      </c>
      <c r="D231" s="215" t="s">
        <v>1736</v>
      </c>
      <c r="E231" s="31">
        <v>4644</v>
      </c>
      <c r="F231" s="216">
        <v>56.5</v>
      </c>
      <c r="G231" s="31"/>
      <c r="H231" s="217"/>
    </row>
    <row r="232" spans="1:8" x14ac:dyDescent="0.2">
      <c r="A232" s="26"/>
      <c r="B232" s="26"/>
      <c r="C232" s="26" t="s">
        <v>4635</v>
      </c>
      <c r="D232" s="215" t="s">
        <v>4773</v>
      </c>
      <c r="E232" s="31">
        <v>65</v>
      </c>
      <c r="F232" s="216">
        <v>0.8</v>
      </c>
      <c r="G232" s="31"/>
      <c r="H232" s="217"/>
    </row>
    <row r="233" spans="1:8" x14ac:dyDescent="0.2">
      <c r="A233" s="26"/>
      <c r="B233" s="26"/>
      <c r="C233" s="26" t="s">
        <v>4636</v>
      </c>
      <c r="D233" s="215" t="s">
        <v>4528</v>
      </c>
      <c r="E233" s="31">
        <v>770</v>
      </c>
      <c r="F233" s="216">
        <v>9.4</v>
      </c>
      <c r="G233" s="31"/>
      <c r="H233" s="217"/>
    </row>
    <row r="234" spans="1:8" x14ac:dyDescent="0.2">
      <c r="A234" s="26"/>
      <c r="B234" s="26"/>
      <c r="C234" s="26" t="s">
        <v>4637</v>
      </c>
      <c r="D234" s="215" t="s">
        <v>4526</v>
      </c>
      <c r="E234" s="31">
        <v>594</v>
      </c>
      <c r="F234" s="216">
        <v>7.2</v>
      </c>
      <c r="G234" s="31"/>
      <c r="H234" s="217"/>
    </row>
    <row r="235" spans="1:8" x14ac:dyDescent="0.2">
      <c r="A235" s="26"/>
      <c r="B235" s="26"/>
      <c r="C235" s="26" t="s">
        <v>4638</v>
      </c>
      <c r="D235" s="215" t="s">
        <v>4544</v>
      </c>
      <c r="E235" s="31">
        <v>84</v>
      </c>
      <c r="F235" s="216">
        <v>1</v>
      </c>
      <c r="G235" s="31"/>
      <c r="H235" s="217"/>
    </row>
    <row r="236" spans="1:8" x14ac:dyDescent="0.2">
      <c r="A236" s="26"/>
      <c r="B236" s="26"/>
      <c r="C236" s="26" t="s">
        <v>2318</v>
      </c>
      <c r="D236" s="215"/>
      <c r="E236" s="218">
        <f>SUM(E230:E235)</f>
        <v>8222</v>
      </c>
      <c r="F236" s="219">
        <f>SUM(F230:F235)</f>
        <v>100</v>
      </c>
      <c r="G236" s="218">
        <v>15968</v>
      </c>
      <c r="H236" s="220">
        <v>51.5</v>
      </c>
    </row>
    <row r="237" spans="1:8" x14ac:dyDescent="0.2">
      <c r="A237" s="26"/>
      <c r="B237" s="26"/>
      <c r="C237" s="26" t="s">
        <v>2318</v>
      </c>
      <c r="D237" s="215"/>
      <c r="E237" s="31"/>
      <c r="F237" s="216"/>
      <c r="G237" s="31"/>
      <c r="H237" s="217"/>
    </row>
    <row r="238" spans="1:8" x14ac:dyDescent="0.2">
      <c r="A238" s="26" t="s">
        <v>772</v>
      </c>
      <c r="B238" s="26"/>
      <c r="C238" s="26" t="s">
        <v>4639</v>
      </c>
      <c r="D238" s="215" t="s">
        <v>4526</v>
      </c>
      <c r="E238" s="31">
        <v>554</v>
      </c>
      <c r="F238" s="216">
        <v>6.6</v>
      </c>
      <c r="G238" s="31"/>
      <c r="H238" s="217"/>
    </row>
    <row r="239" spans="1:8" x14ac:dyDescent="0.2">
      <c r="A239" s="26"/>
      <c r="B239" s="26"/>
      <c r="C239" s="26" t="s">
        <v>4640</v>
      </c>
      <c r="D239" s="215" t="s">
        <v>4528</v>
      </c>
      <c r="E239" s="31">
        <v>1037</v>
      </c>
      <c r="F239" s="216">
        <v>12.4</v>
      </c>
      <c r="G239" s="31"/>
      <c r="H239" s="217"/>
    </row>
    <row r="240" spans="1:8" x14ac:dyDescent="0.2">
      <c r="A240" s="26"/>
      <c r="B240" s="26"/>
      <c r="C240" s="26" t="s">
        <v>4641</v>
      </c>
      <c r="D240" s="215" t="s">
        <v>4426</v>
      </c>
      <c r="E240" s="31">
        <v>1735</v>
      </c>
      <c r="F240" s="216">
        <v>20.7</v>
      </c>
      <c r="G240" s="31"/>
      <c r="H240" s="217"/>
    </row>
    <row r="241" spans="1:8" x14ac:dyDescent="0.2">
      <c r="A241" s="26"/>
      <c r="B241" s="26"/>
      <c r="C241" s="214" t="s">
        <v>1917</v>
      </c>
      <c r="D241" s="215" t="s">
        <v>1736</v>
      </c>
      <c r="E241" s="31">
        <v>5049</v>
      </c>
      <c r="F241" s="216">
        <v>60.3</v>
      </c>
      <c r="G241" s="31"/>
      <c r="H241" s="217"/>
    </row>
    <row r="242" spans="1:8" x14ac:dyDescent="0.2">
      <c r="A242" s="26"/>
      <c r="B242" s="26"/>
      <c r="C242" s="26" t="s">
        <v>2318</v>
      </c>
      <c r="D242" s="215"/>
      <c r="E242" s="218">
        <f>SUM(E238:E241)</f>
        <v>8375</v>
      </c>
      <c r="F242" s="219">
        <f>SUM(F238:F241)</f>
        <v>100</v>
      </c>
      <c r="G242" s="218">
        <v>16919</v>
      </c>
      <c r="H242" s="220">
        <v>49.5</v>
      </c>
    </row>
    <row r="243" spans="1:8" x14ac:dyDescent="0.2">
      <c r="A243" s="26"/>
      <c r="B243" s="26"/>
      <c r="C243" s="26" t="s">
        <v>2318</v>
      </c>
      <c r="D243" s="215"/>
      <c r="E243" s="31"/>
      <c r="F243" s="216"/>
      <c r="G243" s="31"/>
      <c r="H243" s="217"/>
    </row>
    <row r="244" spans="1:8" x14ac:dyDescent="0.2">
      <c r="A244" s="26" t="s">
        <v>742</v>
      </c>
      <c r="B244" s="26"/>
      <c r="C244" s="26" t="s">
        <v>4642</v>
      </c>
      <c r="D244" s="215" t="s">
        <v>4528</v>
      </c>
      <c r="E244" s="31">
        <v>975</v>
      </c>
      <c r="F244" s="216">
        <v>11.3</v>
      </c>
      <c r="G244" s="31"/>
      <c r="H244" s="217"/>
    </row>
    <row r="245" spans="1:8" x14ac:dyDescent="0.2">
      <c r="A245" s="26"/>
      <c r="B245" s="26"/>
      <c r="C245" s="26" t="s">
        <v>4643</v>
      </c>
      <c r="D245" s="215" t="s">
        <v>653</v>
      </c>
      <c r="E245" s="31">
        <v>51</v>
      </c>
      <c r="F245" s="216">
        <v>0.6</v>
      </c>
      <c r="G245" s="31"/>
      <c r="H245" s="217"/>
    </row>
    <row r="246" spans="1:8" x14ac:dyDescent="0.2">
      <c r="A246" s="26"/>
      <c r="B246" s="26"/>
      <c r="C246" s="26" t="s">
        <v>3163</v>
      </c>
      <c r="D246" s="215" t="s">
        <v>4426</v>
      </c>
      <c r="E246" s="31">
        <v>2563</v>
      </c>
      <c r="F246" s="216">
        <v>29.6</v>
      </c>
      <c r="G246" s="31"/>
      <c r="H246" s="217"/>
    </row>
    <row r="247" spans="1:8" x14ac:dyDescent="0.2">
      <c r="A247" s="26"/>
      <c r="B247" s="26"/>
      <c r="C247" s="214" t="s">
        <v>4644</v>
      </c>
      <c r="D247" s="215" t="s">
        <v>1736</v>
      </c>
      <c r="E247" s="31">
        <v>4387</v>
      </c>
      <c r="F247" s="216">
        <v>50.7</v>
      </c>
      <c r="G247" s="31"/>
      <c r="H247" s="217"/>
    </row>
    <row r="248" spans="1:8" x14ac:dyDescent="0.2">
      <c r="A248" s="26"/>
      <c r="B248" s="26"/>
      <c r="C248" s="26" t="s">
        <v>4645</v>
      </c>
      <c r="D248" s="215" t="s">
        <v>4526</v>
      </c>
      <c r="E248" s="31">
        <v>684</v>
      </c>
      <c r="F248" s="216">
        <v>7.9</v>
      </c>
      <c r="G248" s="31"/>
      <c r="H248" s="217"/>
    </row>
    <row r="249" spans="1:8" x14ac:dyDescent="0.2">
      <c r="A249" s="26"/>
      <c r="B249" s="26"/>
      <c r="C249" s="26" t="s">
        <v>2318</v>
      </c>
      <c r="D249" s="215"/>
      <c r="E249" s="218">
        <f>SUM(E244:E248)</f>
        <v>8660</v>
      </c>
      <c r="F249" s="219">
        <v>100</v>
      </c>
      <c r="G249" s="218">
        <v>16847</v>
      </c>
      <c r="H249" s="220">
        <v>51.4</v>
      </c>
    </row>
    <row r="250" spans="1:8" x14ac:dyDescent="0.2">
      <c r="A250" s="26"/>
      <c r="B250" s="26"/>
      <c r="C250" s="26" t="s">
        <v>2318</v>
      </c>
      <c r="D250" s="215"/>
      <c r="E250" s="31"/>
      <c r="F250" s="216"/>
      <c r="G250" s="31"/>
      <c r="H250" s="217"/>
    </row>
    <row r="251" spans="1:8" x14ac:dyDescent="0.2">
      <c r="A251" s="26" t="s">
        <v>1118</v>
      </c>
      <c r="B251" s="26"/>
      <c r="C251" s="214" t="s">
        <v>4649</v>
      </c>
      <c r="D251" s="215" t="s">
        <v>1736</v>
      </c>
      <c r="E251" s="31">
        <v>7075</v>
      </c>
      <c r="F251" s="216">
        <v>60.2</v>
      </c>
      <c r="G251" s="31"/>
      <c r="H251" s="217"/>
    </row>
    <row r="252" spans="1:8" x14ac:dyDescent="0.2">
      <c r="A252" s="26"/>
      <c r="B252" s="26"/>
      <c r="C252" s="26" t="s">
        <v>912</v>
      </c>
      <c r="D252" s="215" t="s">
        <v>4426</v>
      </c>
      <c r="E252" s="31">
        <v>2098</v>
      </c>
      <c r="F252" s="216">
        <v>17.8</v>
      </c>
      <c r="G252" s="31"/>
      <c r="H252" s="217"/>
    </row>
    <row r="253" spans="1:8" x14ac:dyDescent="0.2">
      <c r="A253" s="26"/>
      <c r="B253" s="26"/>
      <c r="C253" s="26" t="s">
        <v>4646</v>
      </c>
      <c r="D253" s="215" t="s">
        <v>4526</v>
      </c>
      <c r="E253" s="31">
        <v>904</v>
      </c>
      <c r="F253" s="216">
        <v>7.7</v>
      </c>
      <c r="G253" s="31"/>
      <c r="H253" s="217"/>
    </row>
    <row r="254" spans="1:8" x14ac:dyDescent="0.2">
      <c r="A254" s="26"/>
      <c r="B254" s="26"/>
      <c r="C254" s="26" t="s">
        <v>4647</v>
      </c>
      <c r="D254" s="215" t="s">
        <v>4528</v>
      </c>
      <c r="E254" s="31">
        <v>1237</v>
      </c>
      <c r="F254" s="216">
        <v>10.5</v>
      </c>
      <c r="G254" s="31"/>
      <c r="H254" s="217"/>
    </row>
    <row r="255" spans="1:8" x14ac:dyDescent="0.2">
      <c r="A255" s="26"/>
      <c r="B255" s="26"/>
      <c r="C255" s="26" t="s">
        <v>4648</v>
      </c>
      <c r="D255" s="215" t="s">
        <v>653</v>
      </c>
      <c r="E255" s="31">
        <v>448</v>
      </c>
      <c r="F255" s="216">
        <v>3.8</v>
      </c>
      <c r="G255" s="31"/>
      <c r="H255" s="217"/>
    </row>
    <row r="256" spans="1:8" x14ac:dyDescent="0.2">
      <c r="A256" s="26"/>
      <c r="B256" s="26"/>
      <c r="C256" s="26" t="s">
        <v>2318</v>
      </c>
      <c r="D256" s="215"/>
      <c r="E256" s="218">
        <f>SUM(E251:E255)</f>
        <v>11762</v>
      </c>
      <c r="F256" s="219">
        <f>SUM(F251:F255)</f>
        <v>100</v>
      </c>
      <c r="G256" s="218">
        <v>23118</v>
      </c>
      <c r="H256" s="220">
        <v>50.9</v>
      </c>
    </row>
    <row r="257" spans="1:8" x14ac:dyDescent="0.2">
      <c r="A257" s="26"/>
      <c r="B257" s="26"/>
      <c r="C257" s="26" t="s">
        <v>2318</v>
      </c>
      <c r="D257" s="215"/>
      <c r="E257" s="31"/>
      <c r="F257" s="216"/>
      <c r="G257" s="31"/>
      <c r="H257" s="217"/>
    </row>
    <row r="258" spans="1:8" x14ac:dyDescent="0.2">
      <c r="A258" s="26" t="s">
        <v>977</v>
      </c>
      <c r="B258" s="26"/>
      <c r="C258" s="26" t="s">
        <v>4650</v>
      </c>
      <c r="D258" s="215" t="s">
        <v>4526</v>
      </c>
      <c r="E258" s="31">
        <v>989</v>
      </c>
      <c r="F258" s="216">
        <v>13.3</v>
      </c>
      <c r="G258" s="31"/>
      <c r="H258" s="217"/>
    </row>
    <row r="259" spans="1:8" x14ac:dyDescent="0.2">
      <c r="A259" s="26"/>
      <c r="B259" s="26"/>
      <c r="C259" s="26" t="s">
        <v>4651</v>
      </c>
      <c r="D259" s="215" t="s">
        <v>655</v>
      </c>
      <c r="E259" s="31">
        <v>1552</v>
      </c>
      <c r="F259" s="216">
        <v>21</v>
      </c>
      <c r="G259" s="31"/>
      <c r="H259" s="217"/>
    </row>
    <row r="260" spans="1:8" x14ac:dyDescent="0.2">
      <c r="A260" s="26"/>
      <c r="B260" s="26"/>
      <c r="C260" s="214" t="s">
        <v>492</v>
      </c>
      <c r="D260" s="215" t="s">
        <v>1736</v>
      </c>
      <c r="E260" s="31">
        <v>4299</v>
      </c>
      <c r="F260" s="216">
        <v>58</v>
      </c>
      <c r="G260" s="31"/>
      <c r="H260" s="217"/>
    </row>
    <row r="261" spans="1:8" x14ac:dyDescent="0.2">
      <c r="A261" s="26"/>
      <c r="B261" s="26"/>
      <c r="C261" s="26" t="s">
        <v>4652</v>
      </c>
      <c r="D261" s="215" t="s">
        <v>4528</v>
      </c>
      <c r="E261" s="31">
        <v>573</v>
      </c>
      <c r="F261" s="216">
        <v>7.7</v>
      </c>
      <c r="G261" s="31"/>
      <c r="H261" s="217"/>
    </row>
    <row r="262" spans="1:8" x14ac:dyDescent="0.2">
      <c r="A262" s="26"/>
      <c r="B262" s="26"/>
      <c r="C262" s="26" t="s">
        <v>2318</v>
      </c>
      <c r="D262" s="215"/>
      <c r="E262" s="218">
        <f>SUM(E258:E261)</f>
        <v>7413</v>
      </c>
      <c r="F262" s="219">
        <f>SUM(F258:F261)</f>
        <v>100</v>
      </c>
      <c r="G262" s="218">
        <v>13834</v>
      </c>
      <c r="H262" s="220">
        <v>53.6</v>
      </c>
    </row>
    <row r="263" spans="1:8" x14ac:dyDescent="0.2">
      <c r="A263" s="26"/>
      <c r="B263" s="26"/>
      <c r="C263" s="26" t="s">
        <v>2318</v>
      </c>
      <c r="D263" s="215"/>
      <c r="E263" s="31"/>
      <c r="F263" s="216"/>
      <c r="G263" s="31"/>
      <c r="H263" s="217"/>
    </row>
    <row r="264" spans="1:8" x14ac:dyDescent="0.2">
      <c r="A264" s="26" t="s">
        <v>981</v>
      </c>
      <c r="B264" s="26"/>
      <c r="C264" s="26" t="s">
        <v>4653</v>
      </c>
      <c r="D264" s="215" t="s">
        <v>4544</v>
      </c>
      <c r="E264" s="31">
        <v>45</v>
      </c>
      <c r="F264" s="216">
        <v>0.5</v>
      </c>
      <c r="G264" s="31"/>
      <c r="H264" s="217"/>
    </row>
    <row r="265" spans="1:8" x14ac:dyDescent="0.2">
      <c r="A265" s="26"/>
      <c r="B265" s="26"/>
      <c r="C265" s="214" t="s">
        <v>493</v>
      </c>
      <c r="D265" s="215" t="s">
        <v>1736</v>
      </c>
      <c r="E265" s="31">
        <v>3950</v>
      </c>
      <c r="F265" s="216">
        <v>47.2</v>
      </c>
      <c r="G265" s="31"/>
      <c r="H265" s="217"/>
    </row>
    <row r="266" spans="1:8" x14ac:dyDescent="0.2">
      <c r="A266" s="26"/>
      <c r="B266" s="26"/>
      <c r="C266" s="26" t="s">
        <v>4654</v>
      </c>
      <c r="D266" s="215" t="s">
        <v>4526</v>
      </c>
      <c r="E266" s="31">
        <v>486</v>
      </c>
      <c r="F266" s="216">
        <v>5.8</v>
      </c>
      <c r="G266" s="31"/>
      <c r="H266" s="217"/>
    </row>
    <row r="267" spans="1:8" x14ac:dyDescent="0.2">
      <c r="A267" s="26"/>
      <c r="B267" s="26"/>
      <c r="C267" s="26" t="s">
        <v>4655</v>
      </c>
      <c r="D267" s="215" t="s">
        <v>4528</v>
      </c>
      <c r="E267" s="31">
        <v>703</v>
      </c>
      <c r="F267" s="216">
        <v>8.4</v>
      </c>
      <c r="G267" s="31"/>
      <c r="H267" s="217"/>
    </row>
    <row r="268" spans="1:8" x14ac:dyDescent="0.2">
      <c r="A268" s="26"/>
      <c r="B268" s="26"/>
      <c r="C268" s="26" t="s">
        <v>1196</v>
      </c>
      <c r="D268" s="215" t="s">
        <v>4426</v>
      </c>
      <c r="E268" s="31">
        <v>3194</v>
      </c>
      <c r="F268" s="216">
        <v>38.1</v>
      </c>
      <c r="G268" s="31"/>
      <c r="H268" s="217"/>
    </row>
    <row r="269" spans="1:8" x14ac:dyDescent="0.2">
      <c r="A269" s="26"/>
      <c r="B269" s="26"/>
      <c r="C269" s="26" t="s">
        <v>2318</v>
      </c>
      <c r="D269" s="215"/>
      <c r="E269" s="218">
        <f>SUM(E264:E268)</f>
        <v>8378</v>
      </c>
      <c r="F269" s="219">
        <f>SUM(F264:F268)</f>
        <v>100</v>
      </c>
      <c r="G269" s="218">
        <v>16231</v>
      </c>
      <c r="H269" s="220">
        <v>51.3</v>
      </c>
    </row>
    <row r="270" spans="1:8" x14ac:dyDescent="0.2">
      <c r="A270" s="26"/>
      <c r="B270" s="26"/>
      <c r="C270" s="26" t="s">
        <v>2318</v>
      </c>
      <c r="D270" s="215"/>
      <c r="E270" s="31"/>
      <c r="F270" s="216"/>
      <c r="G270" s="31"/>
      <c r="H270" s="217"/>
    </row>
    <row r="271" spans="1:8" x14ac:dyDescent="0.2">
      <c r="A271" s="26" t="s">
        <v>3119</v>
      </c>
      <c r="B271" s="26"/>
      <c r="C271" s="214" t="s">
        <v>1511</v>
      </c>
      <c r="D271" s="215" t="s">
        <v>1736</v>
      </c>
      <c r="E271" s="31">
        <v>6457</v>
      </c>
      <c r="F271" s="216">
        <v>50.6</v>
      </c>
      <c r="G271" s="31"/>
      <c r="H271" s="217"/>
    </row>
    <row r="272" spans="1:8" x14ac:dyDescent="0.2">
      <c r="A272" s="26"/>
      <c r="B272" s="26"/>
      <c r="C272" s="26" t="s">
        <v>4656</v>
      </c>
      <c r="D272" s="215" t="s">
        <v>4526</v>
      </c>
      <c r="E272" s="31">
        <v>724</v>
      </c>
      <c r="F272" s="216">
        <v>5.7</v>
      </c>
      <c r="G272" s="31"/>
      <c r="H272" s="217"/>
    </row>
    <row r="273" spans="1:8" x14ac:dyDescent="0.2">
      <c r="A273" s="26"/>
      <c r="B273" s="26"/>
      <c r="C273" s="26" t="s">
        <v>4657</v>
      </c>
      <c r="D273" s="215" t="s">
        <v>4528</v>
      </c>
      <c r="E273" s="31">
        <v>1483</v>
      </c>
      <c r="F273" s="216">
        <v>11.6</v>
      </c>
      <c r="G273" s="31"/>
      <c r="H273" s="217"/>
    </row>
    <row r="274" spans="1:8" x14ac:dyDescent="0.2">
      <c r="A274" s="26"/>
      <c r="B274" s="26"/>
      <c r="C274" s="26" t="s">
        <v>1197</v>
      </c>
      <c r="D274" s="215" t="s">
        <v>4426</v>
      </c>
      <c r="E274" s="31">
        <v>4102</v>
      </c>
      <c r="F274" s="216">
        <v>32.1</v>
      </c>
      <c r="G274" s="31"/>
      <c r="H274" s="217"/>
    </row>
    <row r="275" spans="1:8" x14ac:dyDescent="0.2">
      <c r="A275" s="26"/>
      <c r="B275" s="26"/>
      <c r="C275" s="26" t="s">
        <v>2318</v>
      </c>
      <c r="D275" s="215"/>
      <c r="E275" s="218">
        <f>SUM(E271:E274)</f>
        <v>12766</v>
      </c>
      <c r="F275" s="219">
        <f>SUM(F271:F274)</f>
        <v>100</v>
      </c>
      <c r="G275" s="218">
        <v>19583</v>
      </c>
      <c r="H275" s="220">
        <v>65.19</v>
      </c>
    </row>
    <row r="276" spans="1:8" x14ac:dyDescent="0.2">
      <c r="A276" s="26"/>
      <c r="B276" s="26"/>
      <c r="C276" s="26" t="s">
        <v>2318</v>
      </c>
      <c r="D276" s="215"/>
      <c r="E276" s="31"/>
      <c r="F276" s="216"/>
      <c r="G276" s="31"/>
      <c r="H276" s="217"/>
    </row>
    <row r="277" spans="1:8" x14ac:dyDescent="0.2">
      <c r="A277" s="26" t="s">
        <v>406</v>
      </c>
      <c r="B277" s="26"/>
      <c r="C277" s="26" t="s">
        <v>4658</v>
      </c>
      <c r="D277" s="215" t="s">
        <v>4426</v>
      </c>
      <c r="E277" s="31">
        <v>1682</v>
      </c>
      <c r="F277" s="216">
        <v>16.2</v>
      </c>
      <c r="G277" s="31"/>
      <c r="H277" s="217"/>
    </row>
    <row r="278" spans="1:8" x14ac:dyDescent="0.2">
      <c r="A278" s="26"/>
      <c r="B278" s="26"/>
      <c r="C278" s="26" t="s">
        <v>4659</v>
      </c>
      <c r="D278" s="215" t="s">
        <v>4528</v>
      </c>
      <c r="E278" s="31">
        <v>1594</v>
      </c>
      <c r="F278" s="216">
        <v>15.4</v>
      </c>
      <c r="G278" s="31"/>
      <c r="H278" s="217"/>
    </row>
    <row r="279" spans="1:8" x14ac:dyDescent="0.2">
      <c r="A279" s="26"/>
      <c r="B279" s="26"/>
      <c r="C279" s="26" t="s">
        <v>2547</v>
      </c>
      <c r="D279" s="215" t="s">
        <v>4526</v>
      </c>
      <c r="E279" s="31">
        <v>795</v>
      </c>
      <c r="F279" s="216">
        <v>7.7</v>
      </c>
      <c r="G279" s="31"/>
      <c r="H279" s="217"/>
    </row>
    <row r="280" spans="1:8" x14ac:dyDescent="0.2">
      <c r="A280" s="26"/>
      <c r="B280" s="26"/>
      <c r="C280" s="214" t="s">
        <v>1512</v>
      </c>
      <c r="D280" s="215" t="s">
        <v>1736</v>
      </c>
      <c r="E280" s="31">
        <v>6285</v>
      </c>
      <c r="F280" s="216">
        <v>60.7</v>
      </c>
      <c r="G280" s="223"/>
      <c r="H280" s="217"/>
    </row>
    <row r="281" spans="1:8" x14ac:dyDescent="0.2">
      <c r="A281" s="26"/>
      <c r="B281" s="26"/>
      <c r="C281" s="26" t="s">
        <v>2318</v>
      </c>
      <c r="D281" s="215"/>
      <c r="E281" s="218">
        <f>SUM(E277:E280)</f>
        <v>10356</v>
      </c>
      <c r="F281" s="219">
        <f>SUM(F277:F280)</f>
        <v>100</v>
      </c>
      <c r="G281" s="218">
        <v>17572</v>
      </c>
      <c r="H281" s="220">
        <v>58.93</v>
      </c>
    </row>
    <row r="282" spans="1:8" x14ac:dyDescent="0.2">
      <c r="A282" s="26"/>
      <c r="B282" s="26"/>
      <c r="C282" s="26" t="s">
        <v>2318</v>
      </c>
      <c r="D282" s="215"/>
      <c r="E282" s="31"/>
      <c r="F282" s="216"/>
      <c r="G282" s="31"/>
      <c r="H282" s="217"/>
    </row>
    <row r="283" spans="1:8" x14ac:dyDescent="0.2">
      <c r="A283" s="26" t="s">
        <v>994</v>
      </c>
      <c r="B283" s="26"/>
      <c r="C283" s="26" t="s">
        <v>4660</v>
      </c>
      <c r="D283" s="215" t="s">
        <v>4665</v>
      </c>
      <c r="E283" s="31">
        <v>155</v>
      </c>
      <c r="F283" s="216">
        <v>1.3</v>
      </c>
      <c r="G283" s="31"/>
      <c r="H283" s="217"/>
    </row>
    <row r="284" spans="1:8" x14ac:dyDescent="0.2">
      <c r="A284" s="26"/>
      <c r="B284" s="26"/>
      <c r="C284" s="26" t="s">
        <v>4661</v>
      </c>
      <c r="D284" s="215" t="s">
        <v>4528</v>
      </c>
      <c r="E284" s="31">
        <v>927</v>
      </c>
      <c r="F284" s="216">
        <v>7.6</v>
      </c>
      <c r="G284" s="31"/>
      <c r="H284" s="217"/>
    </row>
    <row r="285" spans="1:8" x14ac:dyDescent="0.2">
      <c r="A285" s="26"/>
      <c r="B285" s="26"/>
      <c r="C285" s="26" t="s">
        <v>4662</v>
      </c>
      <c r="D285" s="215" t="s">
        <v>4544</v>
      </c>
      <c r="E285" s="31">
        <v>52</v>
      </c>
      <c r="F285" s="216">
        <v>0.4</v>
      </c>
      <c r="G285" s="31"/>
      <c r="H285" s="217"/>
    </row>
    <row r="286" spans="1:8" x14ac:dyDescent="0.2">
      <c r="A286" s="26"/>
      <c r="B286" s="26"/>
      <c r="C286" s="214" t="s">
        <v>1513</v>
      </c>
      <c r="D286" s="215" t="s">
        <v>1736</v>
      </c>
      <c r="E286" s="31">
        <v>5464</v>
      </c>
      <c r="F286" s="216">
        <v>45</v>
      </c>
      <c r="G286" s="31"/>
      <c r="H286" s="217"/>
    </row>
    <row r="287" spans="1:8" x14ac:dyDescent="0.2">
      <c r="A287" s="26"/>
      <c r="B287" s="26"/>
      <c r="C287" s="26" t="s">
        <v>4663</v>
      </c>
      <c r="D287" s="215" t="s">
        <v>4526</v>
      </c>
      <c r="E287" s="31">
        <v>739</v>
      </c>
      <c r="F287" s="216">
        <v>6.1</v>
      </c>
      <c r="G287" s="31"/>
      <c r="H287" s="217"/>
    </row>
    <row r="288" spans="1:8" x14ac:dyDescent="0.2">
      <c r="A288" s="26"/>
      <c r="B288" s="26"/>
      <c r="C288" s="26" t="s">
        <v>4664</v>
      </c>
      <c r="D288" s="215" t="s">
        <v>4426</v>
      </c>
      <c r="E288" s="31">
        <v>4808</v>
      </c>
      <c r="F288" s="216">
        <v>39.6</v>
      </c>
      <c r="G288" s="31"/>
      <c r="H288" s="217"/>
    </row>
    <row r="289" spans="1:8" x14ac:dyDescent="0.2">
      <c r="A289" s="26"/>
      <c r="B289" s="26"/>
      <c r="C289" s="26" t="s">
        <v>2318</v>
      </c>
      <c r="D289" s="215"/>
      <c r="E289" s="218">
        <f>SUM(E283:E288)</f>
        <v>12145</v>
      </c>
      <c r="F289" s="219">
        <f>SUM(F283:F288)</f>
        <v>100</v>
      </c>
      <c r="G289" s="218">
        <v>17995</v>
      </c>
      <c r="H289" s="220">
        <v>67.489999999999995</v>
      </c>
    </row>
    <row r="290" spans="1:8" x14ac:dyDescent="0.2">
      <c r="A290" s="26"/>
      <c r="B290" s="26"/>
      <c r="C290" s="26" t="s">
        <v>2318</v>
      </c>
      <c r="D290" s="215"/>
      <c r="E290" s="31"/>
      <c r="F290" s="216"/>
      <c r="G290" s="31"/>
      <c r="H290" s="217"/>
    </row>
    <row r="291" spans="1:8" x14ac:dyDescent="0.2">
      <c r="A291" s="26" t="s">
        <v>999</v>
      </c>
      <c r="B291" s="26"/>
      <c r="C291" s="26" t="s">
        <v>4666</v>
      </c>
      <c r="D291" s="215" t="s">
        <v>4528</v>
      </c>
      <c r="E291" s="31">
        <v>939</v>
      </c>
      <c r="F291" s="216">
        <v>7.9</v>
      </c>
      <c r="G291" s="31"/>
      <c r="H291" s="217"/>
    </row>
    <row r="292" spans="1:8" x14ac:dyDescent="0.2">
      <c r="A292" s="26"/>
      <c r="B292" s="26"/>
      <c r="C292" s="214" t="s">
        <v>4667</v>
      </c>
      <c r="D292" s="215" t="s">
        <v>1736</v>
      </c>
      <c r="E292" s="31">
        <v>6833</v>
      </c>
      <c r="F292" s="216">
        <v>57.6</v>
      </c>
      <c r="G292" s="31"/>
      <c r="H292" s="217"/>
    </row>
    <row r="293" spans="1:8" x14ac:dyDescent="0.2">
      <c r="A293" s="26"/>
      <c r="B293" s="26"/>
      <c r="C293" s="26" t="s">
        <v>4668</v>
      </c>
      <c r="D293" s="215" t="s">
        <v>4526</v>
      </c>
      <c r="E293" s="31">
        <v>1964</v>
      </c>
      <c r="F293" s="216">
        <v>16.600000000000001</v>
      </c>
      <c r="G293" s="31"/>
      <c r="H293" s="217"/>
    </row>
    <row r="294" spans="1:8" x14ac:dyDescent="0.2">
      <c r="A294" s="26"/>
      <c r="B294" s="26"/>
      <c r="C294" s="26" t="s">
        <v>2935</v>
      </c>
      <c r="D294" s="215" t="s">
        <v>4426</v>
      </c>
      <c r="E294" s="31">
        <v>2122</v>
      </c>
      <c r="F294" s="216">
        <v>17.899999999999999</v>
      </c>
      <c r="G294" s="31"/>
      <c r="H294" s="217"/>
    </row>
    <row r="295" spans="1:8" x14ac:dyDescent="0.2">
      <c r="A295" s="26"/>
      <c r="B295" s="26"/>
      <c r="C295" s="26" t="s">
        <v>2318</v>
      </c>
      <c r="D295" s="215"/>
      <c r="E295" s="218">
        <f>SUM(E291:E294)</f>
        <v>11858</v>
      </c>
      <c r="F295" s="219">
        <f>SUM(F291:F294)</f>
        <v>100</v>
      </c>
      <c r="G295" s="218">
        <v>19855</v>
      </c>
      <c r="H295" s="220">
        <v>59.72</v>
      </c>
    </row>
    <row r="296" spans="1:8" x14ac:dyDescent="0.2">
      <c r="A296" s="26"/>
      <c r="B296" s="26"/>
      <c r="C296" s="26" t="s">
        <v>2318</v>
      </c>
      <c r="D296" s="215"/>
      <c r="E296" s="31"/>
      <c r="F296" s="216"/>
      <c r="G296" s="31"/>
      <c r="H296" s="217"/>
    </row>
    <row r="297" spans="1:8" x14ac:dyDescent="0.2">
      <c r="A297" s="26" t="s">
        <v>2269</v>
      </c>
      <c r="B297" s="26"/>
      <c r="C297" s="26" t="s">
        <v>4671</v>
      </c>
      <c r="D297" s="215" t="s">
        <v>4426</v>
      </c>
      <c r="E297" s="31">
        <v>2958</v>
      </c>
      <c r="F297" s="216">
        <v>35.200000000000003</v>
      </c>
      <c r="G297" s="31"/>
      <c r="H297" s="217"/>
    </row>
    <row r="298" spans="1:8" x14ac:dyDescent="0.2">
      <c r="A298" s="26"/>
      <c r="B298" s="26"/>
      <c r="C298" s="26" t="s">
        <v>4670</v>
      </c>
      <c r="D298" s="215" t="s">
        <v>4528</v>
      </c>
      <c r="E298" s="31">
        <v>676</v>
      </c>
      <c r="F298" s="216">
        <v>8</v>
      </c>
      <c r="G298" s="31"/>
      <c r="H298" s="217"/>
    </row>
    <row r="299" spans="1:8" x14ac:dyDescent="0.2">
      <c r="A299" s="26"/>
      <c r="B299" s="26"/>
      <c r="C299" s="26" t="s">
        <v>4669</v>
      </c>
      <c r="D299" s="215" t="s">
        <v>4526</v>
      </c>
      <c r="E299" s="31">
        <v>260</v>
      </c>
      <c r="F299" s="216">
        <v>3.1</v>
      </c>
      <c r="G299" s="31"/>
      <c r="H299" s="217"/>
    </row>
    <row r="300" spans="1:8" x14ac:dyDescent="0.2">
      <c r="A300" s="26"/>
      <c r="B300" s="26"/>
      <c r="C300" s="214" t="s">
        <v>1514</v>
      </c>
      <c r="D300" s="215" t="s">
        <v>1736</v>
      </c>
      <c r="E300" s="31">
        <v>4517</v>
      </c>
      <c r="F300" s="216">
        <v>53.7</v>
      </c>
      <c r="G300" s="31"/>
      <c r="H300" s="217"/>
    </row>
    <row r="301" spans="1:8" x14ac:dyDescent="0.2">
      <c r="A301" s="26"/>
      <c r="B301" s="26"/>
      <c r="C301" s="26" t="s">
        <v>2318</v>
      </c>
      <c r="D301" s="215"/>
      <c r="E301" s="218">
        <f>SUM(E297:E300)</f>
        <v>8411</v>
      </c>
      <c r="F301" s="219">
        <f>SUM(F297:F300)</f>
        <v>100</v>
      </c>
      <c r="G301" s="218">
        <v>13855</v>
      </c>
      <c r="H301" s="220">
        <v>60.71</v>
      </c>
    </row>
    <row r="302" spans="1:8" x14ac:dyDescent="0.2">
      <c r="A302" s="26"/>
      <c r="B302" s="26"/>
      <c r="C302" s="26" t="s">
        <v>2318</v>
      </c>
      <c r="D302" s="215"/>
      <c r="E302" s="31"/>
      <c r="F302" s="216"/>
      <c r="G302" s="31"/>
      <c r="H302" s="217"/>
    </row>
    <row r="303" spans="1:8" x14ac:dyDescent="0.2">
      <c r="A303" s="26" t="s">
        <v>1920</v>
      </c>
      <c r="B303" s="26"/>
      <c r="C303" s="214" t="s">
        <v>4672</v>
      </c>
      <c r="D303" s="215" t="s">
        <v>655</v>
      </c>
      <c r="E303" s="31">
        <v>6313</v>
      </c>
      <c r="F303" s="216">
        <v>50.3</v>
      </c>
      <c r="G303" s="31"/>
      <c r="H303" s="217"/>
    </row>
    <row r="304" spans="1:8" x14ac:dyDescent="0.2">
      <c r="A304" s="26"/>
      <c r="B304" s="26"/>
      <c r="C304" s="26" t="s">
        <v>4673</v>
      </c>
      <c r="D304" s="215" t="s">
        <v>1736</v>
      </c>
      <c r="E304" s="31">
        <v>601</v>
      </c>
      <c r="F304" s="216">
        <v>4.8</v>
      </c>
      <c r="G304" s="31"/>
      <c r="H304" s="217"/>
    </row>
    <row r="305" spans="1:8" x14ac:dyDescent="0.2">
      <c r="A305" s="26"/>
      <c r="B305" s="26"/>
      <c r="C305" s="26" t="s">
        <v>865</v>
      </c>
      <c r="D305" s="215" t="s">
        <v>1071</v>
      </c>
      <c r="E305" s="31">
        <v>2266</v>
      </c>
      <c r="F305" s="216">
        <v>18</v>
      </c>
      <c r="G305" s="31"/>
      <c r="H305" s="217"/>
    </row>
    <row r="306" spans="1:8" x14ac:dyDescent="0.2">
      <c r="A306" s="26"/>
      <c r="B306" s="26"/>
      <c r="C306" s="26" t="s">
        <v>4674</v>
      </c>
      <c r="D306" s="215" t="s">
        <v>1072</v>
      </c>
      <c r="E306" s="31">
        <v>3380</v>
      </c>
      <c r="F306" s="216">
        <v>26.9</v>
      </c>
      <c r="G306" s="31"/>
      <c r="H306" s="217"/>
    </row>
    <row r="307" spans="1:8" x14ac:dyDescent="0.2">
      <c r="A307" s="26"/>
      <c r="B307" s="26"/>
      <c r="C307" s="26" t="s">
        <v>2318</v>
      </c>
      <c r="D307" s="215"/>
      <c r="E307" s="218">
        <f>SUM(E303:E306)</f>
        <v>12560</v>
      </c>
      <c r="F307" s="219">
        <f>SUM(F303:F306)</f>
        <v>100</v>
      </c>
      <c r="G307" s="218">
        <v>20718</v>
      </c>
      <c r="H307" s="220">
        <v>60.62</v>
      </c>
    </row>
    <row r="308" spans="1:8" x14ac:dyDescent="0.2">
      <c r="A308" s="26"/>
      <c r="B308" s="26"/>
      <c r="C308" s="26" t="s">
        <v>2318</v>
      </c>
      <c r="D308" s="215"/>
      <c r="E308" s="31"/>
      <c r="F308" s="216"/>
      <c r="G308" s="31"/>
      <c r="H308" s="217"/>
    </row>
    <row r="309" spans="1:8" x14ac:dyDescent="0.2">
      <c r="A309" s="26" t="s">
        <v>1372</v>
      </c>
      <c r="B309" s="26"/>
      <c r="C309" s="26" t="s">
        <v>2936</v>
      </c>
      <c r="D309" s="215" t="s">
        <v>4526</v>
      </c>
      <c r="E309" s="31">
        <v>191</v>
      </c>
      <c r="F309" s="216">
        <v>2.4900000000000002</v>
      </c>
      <c r="G309" s="31"/>
      <c r="H309" s="217"/>
    </row>
    <row r="310" spans="1:8" x14ac:dyDescent="0.2">
      <c r="A310" s="26"/>
      <c r="B310" s="26"/>
      <c r="C310" s="26" t="s">
        <v>4675</v>
      </c>
      <c r="D310" s="215" t="s">
        <v>4528</v>
      </c>
      <c r="E310" s="31">
        <v>2092</v>
      </c>
      <c r="F310" s="216">
        <v>27.29</v>
      </c>
      <c r="G310" s="31"/>
      <c r="H310" s="217"/>
    </row>
    <row r="311" spans="1:8" x14ac:dyDescent="0.2">
      <c r="A311" s="26"/>
      <c r="B311" s="26"/>
      <c r="C311" s="26" t="s">
        <v>2937</v>
      </c>
      <c r="D311" s="215" t="s">
        <v>4426</v>
      </c>
      <c r="E311" s="31">
        <v>281</v>
      </c>
      <c r="F311" s="216">
        <v>3.66</v>
      </c>
      <c r="G311" s="31"/>
      <c r="H311" s="217"/>
    </row>
    <row r="312" spans="1:8" x14ac:dyDescent="0.2">
      <c r="A312" s="26"/>
      <c r="B312" s="26"/>
      <c r="C312" s="214" t="s">
        <v>4676</v>
      </c>
      <c r="D312" s="215" t="s">
        <v>1736</v>
      </c>
      <c r="E312" s="31">
        <v>5103</v>
      </c>
      <c r="F312" s="216">
        <v>66.56</v>
      </c>
      <c r="G312" s="31"/>
      <c r="H312" s="217"/>
    </row>
    <row r="313" spans="1:8" x14ac:dyDescent="0.2">
      <c r="A313" s="26"/>
      <c r="B313" s="26"/>
      <c r="C313" s="26" t="s">
        <v>2318</v>
      </c>
      <c r="D313" s="215"/>
      <c r="E313" s="218">
        <f>SUM(E309:E312)</f>
        <v>7667</v>
      </c>
      <c r="F313" s="219">
        <f>SUM(F309:F312)</f>
        <v>100</v>
      </c>
      <c r="G313" s="218">
        <v>11680</v>
      </c>
      <c r="H313" s="220">
        <v>65.64</v>
      </c>
    </row>
    <row r="314" spans="1:8" x14ac:dyDescent="0.2">
      <c r="A314" s="26"/>
      <c r="B314" s="26"/>
      <c r="C314" s="26" t="s">
        <v>2318</v>
      </c>
      <c r="D314" s="215"/>
      <c r="E314" s="31"/>
      <c r="F314" s="216"/>
      <c r="G314" s="31"/>
      <c r="H314" s="217"/>
    </row>
    <row r="315" spans="1:8" x14ac:dyDescent="0.2">
      <c r="A315" s="26" t="s">
        <v>1742</v>
      </c>
      <c r="B315" s="26"/>
      <c r="C315" s="26" t="s">
        <v>4677</v>
      </c>
      <c r="D315" s="215" t="s">
        <v>4526</v>
      </c>
      <c r="E315" s="31">
        <v>101</v>
      </c>
      <c r="F315" s="216">
        <v>1.32</v>
      </c>
      <c r="G315" s="31"/>
      <c r="H315" s="217"/>
    </row>
    <row r="316" spans="1:8" x14ac:dyDescent="0.2">
      <c r="A316" s="26"/>
      <c r="B316" s="26"/>
      <c r="C316" s="26" t="s">
        <v>4678</v>
      </c>
      <c r="D316" s="215" t="s">
        <v>4426</v>
      </c>
      <c r="E316" s="31">
        <v>371</v>
      </c>
      <c r="F316" s="216">
        <v>4.8499999999999996</v>
      </c>
      <c r="G316" s="31"/>
      <c r="H316" s="217"/>
    </row>
    <row r="317" spans="1:8" x14ac:dyDescent="0.2">
      <c r="A317" s="26"/>
      <c r="B317" s="26"/>
      <c r="C317" s="26" t="s">
        <v>4679</v>
      </c>
      <c r="D317" s="215" t="s">
        <v>4528</v>
      </c>
      <c r="E317" s="31">
        <v>2921</v>
      </c>
      <c r="F317" s="216">
        <v>38.15</v>
      </c>
      <c r="G317" s="31"/>
      <c r="H317" s="217"/>
    </row>
    <row r="318" spans="1:8" x14ac:dyDescent="0.2">
      <c r="A318" s="26"/>
      <c r="B318" s="26"/>
      <c r="C318" s="214" t="s">
        <v>1515</v>
      </c>
      <c r="D318" s="215" t="s">
        <v>1736</v>
      </c>
      <c r="E318" s="31">
        <v>4263</v>
      </c>
      <c r="F318" s="216">
        <v>55.68</v>
      </c>
      <c r="G318" s="31"/>
      <c r="H318" s="217"/>
    </row>
    <row r="319" spans="1:8" x14ac:dyDescent="0.2">
      <c r="A319" s="26"/>
      <c r="B319" s="26"/>
      <c r="C319" s="26" t="s">
        <v>2318</v>
      </c>
      <c r="D319" s="215"/>
      <c r="E319" s="218">
        <f>SUM(E315:E318)</f>
        <v>7656</v>
      </c>
      <c r="F319" s="219">
        <f>SUM(F315:F318)</f>
        <v>100</v>
      </c>
      <c r="G319" s="218">
        <v>11069</v>
      </c>
      <c r="H319" s="220">
        <v>69.17</v>
      </c>
    </row>
    <row r="320" spans="1:8" x14ac:dyDescent="0.2">
      <c r="A320" s="26"/>
      <c r="B320" s="26"/>
      <c r="C320" s="26" t="s">
        <v>2318</v>
      </c>
      <c r="D320" s="215"/>
      <c r="E320" s="31"/>
      <c r="F320" s="216"/>
      <c r="G320" s="31"/>
      <c r="H320" s="217"/>
    </row>
    <row r="321" spans="1:8" x14ac:dyDescent="0.2">
      <c r="A321" s="26" t="s">
        <v>498</v>
      </c>
      <c r="B321" s="26"/>
      <c r="C321" s="26" t="s">
        <v>4680</v>
      </c>
      <c r="D321" s="215" t="s">
        <v>4526</v>
      </c>
      <c r="E321" s="31">
        <v>320</v>
      </c>
      <c r="F321" s="216">
        <v>4.6500000000000004</v>
      </c>
      <c r="G321" s="31"/>
      <c r="H321" s="217"/>
    </row>
    <row r="322" spans="1:8" x14ac:dyDescent="0.2">
      <c r="A322" s="26"/>
      <c r="B322" s="26"/>
      <c r="C322" s="26" t="s">
        <v>4682</v>
      </c>
      <c r="D322" s="215" t="s">
        <v>4528</v>
      </c>
      <c r="E322" s="31">
        <v>1347</v>
      </c>
      <c r="F322" s="216">
        <v>19.59</v>
      </c>
      <c r="G322" s="31"/>
      <c r="H322" s="217"/>
    </row>
    <row r="323" spans="1:8" x14ac:dyDescent="0.2">
      <c r="A323" s="26"/>
      <c r="B323" s="26"/>
      <c r="C323" s="214" t="s">
        <v>1516</v>
      </c>
      <c r="D323" s="215" t="s">
        <v>1736</v>
      </c>
      <c r="E323" s="31">
        <v>3431</v>
      </c>
      <c r="F323" s="216">
        <v>49.91</v>
      </c>
      <c r="G323" s="31"/>
      <c r="H323" s="217"/>
    </row>
    <row r="324" spans="1:8" x14ac:dyDescent="0.2">
      <c r="A324" s="26"/>
      <c r="B324" s="26"/>
      <c r="C324" s="26" t="s">
        <v>4681</v>
      </c>
      <c r="D324" s="215" t="s">
        <v>4426</v>
      </c>
      <c r="E324" s="31">
        <v>1777</v>
      </c>
      <c r="F324" s="216">
        <v>25.85</v>
      </c>
      <c r="G324" s="31"/>
      <c r="H324" s="217"/>
    </row>
    <row r="325" spans="1:8" x14ac:dyDescent="0.2">
      <c r="A325" s="26"/>
      <c r="B325" s="26"/>
      <c r="C325" s="26" t="s">
        <v>2318</v>
      </c>
      <c r="D325" s="215"/>
      <c r="E325" s="218">
        <f>SUM(E321:E324)</f>
        <v>6875</v>
      </c>
      <c r="F325" s="219">
        <f>SUM(F321:F324)</f>
        <v>100</v>
      </c>
      <c r="G325" s="218">
        <v>17015</v>
      </c>
      <c r="H325" s="220">
        <v>40.409999999999997</v>
      </c>
    </row>
    <row r="326" spans="1:8" x14ac:dyDescent="0.2">
      <c r="A326" s="26"/>
      <c r="B326" s="26"/>
      <c r="C326" s="26" t="s">
        <v>2318</v>
      </c>
      <c r="D326" s="215"/>
      <c r="E326" s="31"/>
      <c r="F326" s="216"/>
      <c r="G326" s="31"/>
      <c r="H326" s="217"/>
    </row>
    <row r="327" spans="1:8" x14ac:dyDescent="0.2">
      <c r="A327" s="26" t="s">
        <v>1744</v>
      </c>
      <c r="B327" s="26"/>
      <c r="C327" s="214" t="s">
        <v>4775</v>
      </c>
      <c r="D327" s="215" t="s">
        <v>1736</v>
      </c>
      <c r="E327" s="31">
        <v>4458</v>
      </c>
      <c r="F327" s="216">
        <v>64.34</v>
      </c>
      <c r="G327" s="31"/>
      <c r="H327" s="217"/>
    </row>
    <row r="328" spans="1:8" x14ac:dyDescent="0.2">
      <c r="A328" s="26"/>
      <c r="B328" s="26"/>
      <c r="C328" s="26" t="s">
        <v>4683</v>
      </c>
      <c r="D328" s="215" t="s">
        <v>653</v>
      </c>
      <c r="E328" s="31">
        <v>85</v>
      </c>
      <c r="F328" s="216">
        <v>1.23</v>
      </c>
      <c r="G328" s="31"/>
      <c r="H328" s="217"/>
    </row>
    <row r="329" spans="1:8" x14ac:dyDescent="0.2">
      <c r="A329" s="26"/>
      <c r="B329" s="26"/>
      <c r="C329" s="26" t="s">
        <v>4776</v>
      </c>
      <c r="D329" s="215" t="s">
        <v>4526</v>
      </c>
      <c r="E329" s="31">
        <v>260</v>
      </c>
      <c r="F329" s="216">
        <v>3.75</v>
      </c>
      <c r="G329" s="31"/>
      <c r="H329" s="217"/>
    </row>
    <row r="330" spans="1:8" x14ac:dyDescent="0.2">
      <c r="A330" s="26"/>
      <c r="B330" s="26"/>
      <c r="C330" s="26" t="s">
        <v>4777</v>
      </c>
      <c r="D330" s="215" t="s">
        <v>4528</v>
      </c>
      <c r="E330" s="31">
        <v>1409</v>
      </c>
      <c r="F330" s="216">
        <v>20.329999999999998</v>
      </c>
      <c r="G330" s="31"/>
      <c r="H330" s="217"/>
    </row>
    <row r="331" spans="1:8" x14ac:dyDescent="0.2">
      <c r="A331" s="26"/>
      <c r="B331" s="26"/>
      <c r="C331" s="26" t="s">
        <v>4778</v>
      </c>
      <c r="D331" s="215" t="s">
        <v>655</v>
      </c>
      <c r="E331" s="31">
        <v>717</v>
      </c>
      <c r="F331" s="216">
        <v>10.35</v>
      </c>
      <c r="G331" s="31"/>
      <c r="H331" s="217"/>
    </row>
    <row r="332" spans="1:8" x14ac:dyDescent="0.2">
      <c r="A332" s="26"/>
      <c r="B332" s="26"/>
      <c r="C332" s="26" t="s">
        <v>2318</v>
      </c>
      <c r="D332" s="215"/>
      <c r="E332" s="218">
        <v>6929</v>
      </c>
      <c r="F332" s="219">
        <v>100</v>
      </c>
      <c r="G332" s="218">
        <v>10367</v>
      </c>
      <c r="H332" s="220">
        <v>66.84</v>
      </c>
    </row>
    <row r="333" spans="1:8" x14ac:dyDescent="0.2">
      <c r="A333" s="26"/>
      <c r="B333" s="26"/>
      <c r="C333" s="26" t="s">
        <v>2318</v>
      </c>
      <c r="D333" s="215"/>
      <c r="E333" s="31"/>
      <c r="F333" s="216"/>
      <c r="G333" s="31"/>
      <c r="H333" s="217"/>
    </row>
    <row r="334" spans="1:8" x14ac:dyDescent="0.2">
      <c r="A334" s="26" t="s">
        <v>2350</v>
      </c>
      <c r="B334" s="26"/>
      <c r="C334" s="26" t="s">
        <v>2938</v>
      </c>
      <c r="D334" s="215" t="s">
        <v>4526</v>
      </c>
      <c r="E334" s="31">
        <v>171</v>
      </c>
      <c r="F334" s="216">
        <v>3.4</v>
      </c>
      <c r="G334" s="31"/>
      <c r="H334" s="217"/>
    </row>
    <row r="335" spans="1:8" x14ac:dyDescent="0.2">
      <c r="A335" s="26"/>
      <c r="B335" s="26"/>
      <c r="C335" s="26" t="s">
        <v>4684</v>
      </c>
      <c r="D335" s="215" t="s">
        <v>4528</v>
      </c>
      <c r="E335" s="31">
        <v>1743</v>
      </c>
      <c r="F335" s="216">
        <v>34.700000000000003</v>
      </c>
      <c r="G335" s="31"/>
      <c r="H335" s="217"/>
    </row>
    <row r="336" spans="1:8" x14ac:dyDescent="0.2">
      <c r="A336" s="26"/>
      <c r="B336" s="26"/>
      <c r="C336" s="26" t="s">
        <v>4685</v>
      </c>
      <c r="D336" s="215" t="s">
        <v>4426</v>
      </c>
      <c r="E336" s="31">
        <v>799</v>
      </c>
      <c r="F336" s="216">
        <v>15.9</v>
      </c>
      <c r="G336" s="31"/>
      <c r="H336" s="217"/>
    </row>
    <row r="337" spans="1:8" x14ac:dyDescent="0.2">
      <c r="A337" s="26"/>
      <c r="B337" s="26"/>
      <c r="C337" s="214" t="s">
        <v>1517</v>
      </c>
      <c r="D337" s="215" t="s">
        <v>1736</v>
      </c>
      <c r="E337" s="31">
        <v>2313</v>
      </c>
      <c r="F337" s="216">
        <v>46</v>
      </c>
      <c r="G337" s="31"/>
      <c r="H337" s="217"/>
    </row>
    <row r="338" spans="1:8" x14ac:dyDescent="0.2">
      <c r="A338" s="26"/>
      <c r="B338" s="26"/>
      <c r="C338" s="26" t="s">
        <v>2318</v>
      </c>
      <c r="D338" s="215"/>
      <c r="E338" s="218">
        <f>SUM(E334:E337)</f>
        <v>5026</v>
      </c>
      <c r="F338" s="219">
        <f>SUM(F334:F337)</f>
        <v>100</v>
      </c>
      <c r="G338" s="218">
        <v>8252</v>
      </c>
      <c r="H338" s="220">
        <v>60.91</v>
      </c>
    </row>
    <row r="339" spans="1:8" x14ac:dyDescent="0.2">
      <c r="A339" s="26"/>
      <c r="B339" s="26"/>
      <c r="C339" s="26" t="s">
        <v>2318</v>
      </c>
      <c r="D339" s="215"/>
      <c r="E339" s="31"/>
      <c r="F339" s="216"/>
      <c r="G339" s="31"/>
      <c r="H339" s="217"/>
    </row>
    <row r="340" spans="1:8" x14ac:dyDescent="0.2">
      <c r="A340" s="26" t="s">
        <v>2270</v>
      </c>
      <c r="B340" s="26"/>
      <c r="C340" s="214" t="s">
        <v>1518</v>
      </c>
      <c r="D340" s="215" t="s">
        <v>1736</v>
      </c>
      <c r="E340" s="31">
        <v>5870</v>
      </c>
      <c r="F340" s="216">
        <v>59.7</v>
      </c>
      <c r="G340" s="31"/>
      <c r="H340" s="217"/>
    </row>
    <row r="341" spans="1:8" x14ac:dyDescent="0.2">
      <c r="A341" s="26"/>
      <c r="B341" s="26"/>
      <c r="C341" s="26" t="s">
        <v>4686</v>
      </c>
      <c r="D341" s="215" t="s">
        <v>4690</v>
      </c>
      <c r="E341" s="31">
        <v>1375</v>
      </c>
      <c r="F341" s="216">
        <v>13.99</v>
      </c>
      <c r="G341" s="31"/>
      <c r="H341" s="217"/>
    </row>
    <row r="342" spans="1:8" x14ac:dyDescent="0.2">
      <c r="A342" s="26"/>
      <c r="B342" s="26"/>
      <c r="C342" s="26" t="s">
        <v>4687</v>
      </c>
      <c r="D342" s="215" t="s">
        <v>4528</v>
      </c>
      <c r="E342" s="31">
        <v>1223</v>
      </c>
      <c r="F342" s="216">
        <v>12.45</v>
      </c>
      <c r="G342" s="31"/>
      <c r="H342" s="217"/>
    </row>
    <row r="343" spans="1:8" x14ac:dyDescent="0.2">
      <c r="A343" s="26"/>
      <c r="B343" s="26"/>
      <c r="C343" s="26" t="s">
        <v>4688</v>
      </c>
      <c r="D343" s="215" t="s">
        <v>4526</v>
      </c>
      <c r="E343" s="31">
        <v>666</v>
      </c>
      <c r="F343" s="216">
        <v>6.78</v>
      </c>
      <c r="G343" s="31"/>
      <c r="H343" s="217"/>
    </row>
    <row r="344" spans="1:8" x14ac:dyDescent="0.2">
      <c r="A344" s="26"/>
      <c r="B344" s="26"/>
      <c r="C344" s="26" t="s">
        <v>4689</v>
      </c>
      <c r="D344" s="215" t="s">
        <v>4426</v>
      </c>
      <c r="E344" s="31">
        <v>692</v>
      </c>
      <c r="F344" s="216">
        <v>7.04</v>
      </c>
      <c r="G344" s="31"/>
      <c r="H344" s="217"/>
    </row>
    <row r="345" spans="1:8" x14ac:dyDescent="0.2">
      <c r="A345" s="26"/>
      <c r="B345" s="26"/>
      <c r="C345" s="26" t="s">
        <v>2318</v>
      </c>
      <c r="D345" s="215"/>
      <c r="E345" s="218">
        <f>SUM(E340:E344)</f>
        <v>9826</v>
      </c>
      <c r="F345" s="219">
        <f>SUM(F340:F344)</f>
        <v>99.960000000000008</v>
      </c>
      <c r="G345" s="218">
        <v>15941</v>
      </c>
      <c r="H345" s="220">
        <v>61.64</v>
      </c>
    </row>
    <row r="346" spans="1:8" x14ac:dyDescent="0.2">
      <c r="A346" s="26"/>
      <c r="B346" s="26"/>
      <c r="C346" s="26" t="s">
        <v>2318</v>
      </c>
      <c r="D346" s="215"/>
      <c r="E346" s="31"/>
      <c r="F346" s="216"/>
      <c r="G346" s="31"/>
      <c r="H346" s="217"/>
    </row>
    <row r="347" spans="1:8" x14ac:dyDescent="0.2">
      <c r="A347" s="26" t="s">
        <v>2338</v>
      </c>
      <c r="B347" s="26"/>
      <c r="C347" s="26" t="s">
        <v>4691</v>
      </c>
      <c r="D347" s="215" t="s">
        <v>4426</v>
      </c>
      <c r="E347" s="31">
        <v>971</v>
      </c>
      <c r="F347" s="216">
        <v>11.05</v>
      </c>
      <c r="G347" s="31"/>
      <c r="H347" s="217"/>
    </row>
    <row r="348" spans="1:8" x14ac:dyDescent="0.2">
      <c r="A348" s="26"/>
      <c r="B348" s="26"/>
      <c r="C348" s="214" t="s">
        <v>1519</v>
      </c>
      <c r="D348" s="215" t="s">
        <v>1736</v>
      </c>
      <c r="E348" s="31">
        <v>5682</v>
      </c>
      <c r="F348" s="216">
        <v>64.650000000000006</v>
      </c>
      <c r="G348" s="31"/>
      <c r="H348" s="217"/>
    </row>
    <row r="349" spans="1:8" x14ac:dyDescent="0.2">
      <c r="A349" s="26"/>
      <c r="B349" s="26"/>
      <c r="C349" s="26" t="s">
        <v>2939</v>
      </c>
      <c r="D349" s="215" t="s">
        <v>4528</v>
      </c>
      <c r="E349" s="31">
        <v>1625</v>
      </c>
      <c r="F349" s="216">
        <v>18.489999999999998</v>
      </c>
      <c r="G349" s="31"/>
      <c r="H349" s="217"/>
    </row>
    <row r="350" spans="1:8" x14ac:dyDescent="0.2">
      <c r="A350" s="26"/>
      <c r="B350" s="26"/>
      <c r="C350" s="26" t="s">
        <v>4692</v>
      </c>
      <c r="D350" s="215" t="s">
        <v>4526</v>
      </c>
      <c r="E350" s="31">
        <v>511</v>
      </c>
      <c r="F350" s="216">
        <v>5.81</v>
      </c>
      <c r="G350" s="31"/>
      <c r="H350" s="217"/>
    </row>
    <row r="351" spans="1:8" x14ac:dyDescent="0.2">
      <c r="A351" s="26"/>
      <c r="B351" s="26"/>
      <c r="C351" s="26" t="s">
        <v>2318</v>
      </c>
      <c r="D351" s="215"/>
      <c r="E351" s="218">
        <f>SUM(E347:E350)</f>
        <v>8789</v>
      </c>
      <c r="F351" s="219">
        <f>SUM(F347:F350)</f>
        <v>100</v>
      </c>
      <c r="G351" s="218">
        <v>16117</v>
      </c>
      <c r="H351" s="220">
        <v>54.53</v>
      </c>
    </row>
    <row r="352" spans="1:8" x14ac:dyDescent="0.2">
      <c r="A352" s="26"/>
      <c r="B352" s="26"/>
      <c r="C352" s="26" t="s">
        <v>2318</v>
      </c>
      <c r="D352" s="215"/>
      <c r="E352" s="31"/>
      <c r="F352" s="216"/>
      <c r="G352" s="31"/>
      <c r="H352" s="217"/>
    </row>
    <row r="353" spans="1:8" x14ac:dyDescent="0.2">
      <c r="A353" s="26" t="s">
        <v>3185</v>
      </c>
      <c r="B353" s="26"/>
      <c r="C353" s="26" t="s">
        <v>4693</v>
      </c>
      <c r="D353" s="215" t="s">
        <v>4526</v>
      </c>
      <c r="E353" s="31">
        <v>43</v>
      </c>
      <c r="F353" s="216">
        <v>0.75</v>
      </c>
      <c r="G353" s="31"/>
      <c r="H353" s="217"/>
    </row>
    <row r="354" spans="1:8" x14ac:dyDescent="0.2">
      <c r="A354" s="26"/>
      <c r="B354" s="26"/>
      <c r="C354" s="26" t="s">
        <v>333</v>
      </c>
      <c r="D354" s="215" t="s">
        <v>655</v>
      </c>
      <c r="E354" s="31">
        <v>236</v>
      </c>
      <c r="F354" s="216">
        <v>4.13</v>
      </c>
      <c r="G354" s="31"/>
      <c r="H354" s="217"/>
    </row>
    <row r="355" spans="1:8" x14ac:dyDescent="0.2">
      <c r="C355" s="26" t="s">
        <v>4694</v>
      </c>
      <c r="D355" s="215" t="s">
        <v>1736</v>
      </c>
      <c r="E355" s="31">
        <v>1684</v>
      </c>
      <c r="F355" s="216">
        <v>29.49</v>
      </c>
    </row>
    <row r="356" spans="1:8" x14ac:dyDescent="0.2">
      <c r="A356" s="26"/>
      <c r="B356" s="26"/>
      <c r="C356" s="214" t="s">
        <v>4695</v>
      </c>
      <c r="D356" s="215" t="s">
        <v>4528</v>
      </c>
      <c r="E356" s="31">
        <v>3748</v>
      </c>
      <c r="F356" s="216">
        <v>65.63</v>
      </c>
      <c r="G356" s="31"/>
      <c r="H356" s="217"/>
    </row>
    <row r="357" spans="1:8" x14ac:dyDescent="0.2">
      <c r="A357" s="26"/>
      <c r="B357" s="26"/>
      <c r="C357" s="26" t="s">
        <v>2318</v>
      </c>
      <c r="D357" s="215"/>
      <c r="E357" s="218">
        <f>SUM(E353:E356)</f>
        <v>5711</v>
      </c>
      <c r="F357" s="219">
        <f>SUM(F353:F356)</f>
        <v>100</v>
      </c>
      <c r="G357" s="218">
        <v>8238</v>
      </c>
      <c r="H357" s="220">
        <v>69.33</v>
      </c>
    </row>
    <row r="358" spans="1:8" x14ac:dyDescent="0.2">
      <c r="A358" s="26"/>
      <c r="B358" s="26"/>
      <c r="C358" s="26" t="s">
        <v>2318</v>
      </c>
      <c r="D358" s="215"/>
      <c r="E358" s="31"/>
      <c r="F358" s="216"/>
      <c r="G358" s="31"/>
      <c r="H358" s="217"/>
    </row>
    <row r="359" spans="1:8" x14ac:dyDescent="0.2">
      <c r="A359" s="26" t="s">
        <v>2339</v>
      </c>
      <c r="B359" s="26"/>
      <c r="C359" s="26" t="s">
        <v>4696</v>
      </c>
      <c r="D359" s="215" t="s">
        <v>4526</v>
      </c>
      <c r="E359" s="31">
        <v>131</v>
      </c>
      <c r="F359" s="216">
        <v>2.21</v>
      </c>
      <c r="G359" s="31"/>
      <c r="H359" s="217"/>
    </row>
    <row r="360" spans="1:8" x14ac:dyDescent="0.2">
      <c r="A360" s="26"/>
      <c r="B360" s="26"/>
      <c r="C360" s="26" t="s">
        <v>4697</v>
      </c>
      <c r="D360" s="215" t="s">
        <v>4426</v>
      </c>
      <c r="E360" s="31">
        <v>680</v>
      </c>
      <c r="F360" s="216">
        <v>11.47</v>
      </c>
      <c r="G360" s="31"/>
      <c r="H360" s="217"/>
    </row>
    <row r="361" spans="1:8" x14ac:dyDescent="0.2">
      <c r="A361" s="26"/>
      <c r="B361" s="26"/>
      <c r="C361" s="214" t="s">
        <v>1520</v>
      </c>
      <c r="D361" s="215" t="s">
        <v>1736</v>
      </c>
      <c r="E361" s="31">
        <v>4674</v>
      </c>
      <c r="F361" s="216">
        <v>78.819999999999993</v>
      </c>
      <c r="G361" s="31"/>
      <c r="H361" s="217"/>
    </row>
    <row r="362" spans="1:8" x14ac:dyDescent="0.2">
      <c r="A362" s="26"/>
      <c r="B362" s="26"/>
      <c r="C362" s="26" t="s">
        <v>4698</v>
      </c>
      <c r="D362" s="215" t="s">
        <v>4528</v>
      </c>
      <c r="E362" s="31">
        <v>445</v>
      </c>
      <c r="F362" s="216">
        <v>7.5</v>
      </c>
      <c r="G362" s="31"/>
      <c r="H362" s="217"/>
    </row>
    <row r="363" spans="1:8" x14ac:dyDescent="0.2">
      <c r="A363" s="26"/>
      <c r="B363" s="26"/>
      <c r="C363" s="26" t="s">
        <v>2318</v>
      </c>
      <c r="D363" s="215"/>
      <c r="E363" s="218">
        <f>SUM(E359:E362)</f>
        <v>5930</v>
      </c>
      <c r="F363" s="219">
        <f>SUM(F359:F362)</f>
        <v>100</v>
      </c>
      <c r="G363" s="218">
        <v>9633</v>
      </c>
      <c r="H363" s="220">
        <v>61.56</v>
      </c>
    </row>
    <row r="364" spans="1:8" x14ac:dyDescent="0.2">
      <c r="A364" s="26"/>
      <c r="B364" s="26"/>
      <c r="C364" s="26" t="s">
        <v>2318</v>
      </c>
      <c r="D364" s="215"/>
      <c r="E364" s="31"/>
      <c r="F364" s="216"/>
      <c r="G364" s="31"/>
      <c r="H364" s="217"/>
    </row>
    <row r="365" spans="1:8" x14ac:dyDescent="0.2">
      <c r="A365" s="26" t="s">
        <v>1752</v>
      </c>
      <c r="B365" s="26"/>
      <c r="C365" s="26" t="s">
        <v>4779</v>
      </c>
      <c r="D365" s="215" t="s">
        <v>655</v>
      </c>
      <c r="E365" s="31">
        <v>384</v>
      </c>
      <c r="F365" s="216">
        <v>5.4</v>
      </c>
      <c r="G365" s="31"/>
      <c r="H365" s="217"/>
    </row>
    <row r="366" spans="1:8" x14ac:dyDescent="0.2">
      <c r="A366" s="26"/>
      <c r="B366" s="26"/>
      <c r="C366" s="214" t="s">
        <v>2512</v>
      </c>
      <c r="D366" s="215" t="s">
        <v>1736</v>
      </c>
      <c r="E366" s="31">
        <v>4189</v>
      </c>
      <c r="F366" s="216">
        <v>58.9</v>
      </c>
      <c r="G366" s="31"/>
      <c r="H366" s="217"/>
    </row>
    <row r="367" spans="1:8" x14ac:dyDescent="0.2">
      <c r="A367" s="26"/>
      <c r="B367" s="26"/>
      <c r="C367" s="26" t="s">
        <v>4699</v>
      </c>
      <c r="D367" s="215" t="s">
        <v>4426</v>
      </c>
      <c r="E367" s="31">
        <v>2369</v>
      </c>
      <c r="F367" s="216">
        <v>33.299999999999997</v>
      </c>
      <c r="G367" s="31"/>
      <c r="H367" s="217"/>
    </row>
    <row r="368" spans="1:8" x14ac:dyDescent="0.2">
      <c r="A368" s="26"/>
      <c r="B368" s="26"/>
      <c r="C368" s="26" t="s">
        <v>4700</v>
      </c>
      <c r="D368" s="215" t="s">
        <v>4526</v>
      </c>
      <c r="E368" s="31">
        <v>171</v>
      </c>
      <c r="F368" s="216">
        <v>2.4</v>
      </c>
      <c r="G368" s="31"/>
      <c r="H368" s="217"/>
    </row>
    <row r="369" spans="1:8" x14ac:dyDescent="0.2">
      <c r="A369" s="26"/>
      <c r="B369" s="26"/>
      <c r="C369" s="26" t="s">
        <v>2318</v>
      </c>
      <c r="D369" s="215"/>
      <c r="E369" s="218">
        <f>SUM(E365:E368)</f>
        <v>7113</v>
      </c>
      <c r="F369" s="219">
        <v>100</v>
      </c>
      <c r="G369" s="218">
        <v>10994</v>
      </c>
      <c r="H369" s="220">
        <v>64.7</v>
      </c>
    </row>
    <row r="370" spans="1:8" x14ac:dyDescent="0.2">
      <c r="A370" s="26"/>
      <c r="B370" s="26"/>
      <c r="C370" s="26" t="s">
        <v>2318</v>
      </c>
      <c r="D370" s="215"/>
      <c r="E370" s="31"/>
      <c r="F370" s="216"/>
      <c r="G370" s="31"/>
      <c r="H370" s="217"/>
    </row>
    <row r="371" spans="1:8" x14ac:dyDescent="0.2">
      <c r="A371" s="26" t="s">
        <v>3195</v>
      </c>
      <c r="B371" s="26"/>
      <c r="C371" s="26" t="s">
        <v>4701</v>
      </c>
      <c r="D371" s="215" t="s">
        <v>4528</v>
      </c>
      <c r="E371" s="31">
        <v>1904</v>
      </c>
      <c r="F371" s="216">
        <v>13.72</v>
      </c>
      <c r="G371" s="31"/>
      <c r="H371" s="217"/>
    </row>
    <row r="372" spans="1:8" x14ac:dyDescent="0.2">
      <c r="A372" s="26"/>
      <c r="B372" s="26"/>
      <c r="C372" s="214" t="s">
        <v>1521</v>
      </c>
      <c r="D372" s="215" t="s">
        <v>1736</v>
      </c>
      <c r="E372" s="31">
        <v>10107</v>
      </c>
      <c r="F372" s="216">
        <v>72.849999999999994</v>
      </c>
      <c r="G372" s="31"/>
      <c r="H372" s="217"/>
    </row>
    <row r="373" spans="1:8" x14ac:dyDescent="0.2">
      <c r="A373" s="26"/>
      <c r="B373" s="26"/>
      <c r="C373" s="26" t="s">
        <v>4702</v>
      </c>
      <c r="D373" s="215" t="s">
        <v>4526</v>
      </c>
      <c r="E373" s="31">
        <v>729</v>
      </c>
      <c r="F373" s="216">
        <v>5.25</v>
      </c>
      <c r="G373" s="31"/>
      <c r="H373" s="217"/>
    </row>
    <row r="374" spans="1:8" x14ac:dyDescent="0.2">
      <c r="A374" s="26"/>
      <c r="B374" s="26"/>
      <c r="C374" s="26" t="s">
        <v>4703</v>
      </c>
      <c r="D374" s="215" t="s">
        <v>4426</v>
      </c>
      <c r="E374" s="31">
        <v>1134</v>
      </c>
      <c r="F374" s="216">
        <v>8.18</v>
      </c>
      <c r="G374" s="31"/>
      <c r="H374" s="217"/>
    </row>
    <row r="375" spans="1:8" x14ac:dyDescent="0.2">
      <c r="A375" s="26"/>
      <c r="B375" s="26"/>
      <c r="C375" s="26" t="s">
        <v>2318</v>
      </c>
      <c r="D375" s="215"/>
      <c r="E375" s="218">
        <f>SUM(E371:E374)</f>
        <v>13874</v>
      </c>
      <c r="F375" s="219">
        <f>SUM(F371:F374)</f>
        <v>100</v>
      </c>
      <c r="G375" s="218">
        <v>23646</v>
      </c>
      <c r="H375" s="220">
        <v>58.67</v>
      </c>
    </row>
    <row r="376" spans="1:8" x14ac:dyDescent="0.2">
      <c r="A376" s="26"/>
      <c r="B376" s="26"/>
      <c r="C376" s="26" t="s">
        <v>2318</v>
      </c>
      <c r="D376" s="215"/>
      <c r="E376" s="31"/>
      <c r="F376" s="216"/>
      <c r="G376" s="31"/>
      <c r="H376" s="217"/>
    </row>
    <row r="377" spans="1:8" x14ac:dyDescent="0.2">
      <c r="A377" s="26" t="s">
        <v>1978</v>
      </c>
      <c r="B377" s="26"/>
      <c r="C377" s="214" t="s">
        <v>4704</v>
      </c>
      <c r="D377" s="215" t="s">
        <v>4528</v>
      </c>
      <c r="E377" s="31">
        <v>6399</v>
      </c>
      <c r="F377" s="216">
        <v>70.16</v>
      </c>
      <c r="G377" s="31"/>
      <c r="H377" s="217"/>
    </row>
    <row r="378" spans="1:8" x14ac:dyDescent="0.2">
      <c r="A378" s="26"/>
      <c r="B378" s="26"/>
      <c r="C378" s="26" t="s">
        <v>4705</v>
      </c>
      <c r="D378" s="215" t="s">
        <v>1736</v>
      </c>
      <c r="E378" s="31">
        <v>2514</v>
      </c>
      <c r="F378" s="216">
        <v>27.57</v>
      </c>
      <c r="G378" s="31"/>
      <c r="H378" s="217"/>
    </row>
    <row r="379" spans="1:8" x14ac:dyDescent="0.2">
      <c r="A379" s="26"/>
      <c r="B379" s="26"/>
      <c r="C379" s="26" t="s">
        <v>4706</v>
      </c>
      <c r="D379" s="215" t="s">
        <v>4426</v>
      </c>
      <c r="E379" s="31">
        <v>152</v>
      </c>
      <c r="F379" s="216">
        <v>1.67</v>
      </c>
      <c r="G379" s="31"/>
      <c r="H379" s="217"/>
    </row>
    <row r="380" spans="1:8" x14ac:dyDescent="0.2">
      <c r="A380" s="26"/>
      <c r="B380" s="26"/>
      <c r="C380" s="26" t="s">
        <v>4707</v>
      </c>
      <c r="D380" s="215" t="s">
        <v>4526</v>
      </c>
      <c r="E380" s="31">
        <v>55</v>
      </c>
      <c r="F380" s="216">
        <v>0.6</v>
      </c>
      <c r="G380" s="31"/>
      <c r="H380" s="217"/>
    </row>
    <row r="381" spans="1:8" x14ac:dyDescent="0.2">
      <c r="A381" s="26"/>
      <c r="B381" s="26"/>
      <c r="C381" s="26" t="s">
        <v>2318</v>
      </c>
      <c r="D381" s="215"/>
      <c r="E381" s="218">
        <f>SUM(E377:E380)</f>
        <v>9120</v>
      </c>
      <c r="F381" s="219">
        <f>SUM(F377:F380)</f>
        <v>99.999999999999986</v>
      </c>
      <c r="G381" s="218">
        <v>12458</v>
      </c>
      <c r="H381" s="220">
        <v>73.209999999999994</v>
      </c>
    </row>
    <row r="382" spans="1:8" x14ac:dyDescent="0.2">
      <c r="A382" s="26"/>
      <c r="B382" s="26"/>
      <c r="C382" s="26" t="s">
        <v>2318</v>
      </c>
      <c r="D382" s="215"/>
      <c r="E382" s="31"/>
      <c r="F382" s="216"/>
      <c r="G382" s="31"/>
      <c r="H382" s="217"/>
    </row>
    <row r="383" spans="1:8" x14ac:dyDescent="0.2">
      <c r="A383" s="26" t="s">
        <v>415</v>
      </c>
      <c r="B383" s="26"/>
      <c r="C383" s="214" t="s">
        <v>1522</v>
      </c>
      <c r="D383" s="215" t="s">
        <v>1736</v>
      </c>
      <c r="E383" s="31">
        <v>3901</v>
      </c>
      <c r="F383" s="216">
        <v>59.8</v>
      </c>
      <c r="G383" s="31"/>
      <c r="H383" s="217"/>
    </row>
    <row r="384" spans="1:8" x14ac:dyDescent="0.2">
      <c r="A384" s="26"/>
      <c r="B384" s="26"/>
      <c r="C384" s="26" t="s">
        <v>4708</v>
      </c>
      <c r="D384" s="215" t="s">
        <v>4426</v>
      </c>
      <c r="E384" s="31">
        <v>1604</v>
      </c>
      <c r="F384" s="216">
        <v>24.59</v>
      </c>
      <c r="G384" s="31"/>
      <c r="H384" s="217"/>
    </row>
    <row r="385" spans="1:8" x14ac:dyDescent="0.2">
      <c r="A385" s="26"/>
      <c r="B385" s="26"/>
      <c r="C385" s="26" t="s">
        <v>4709</v>
      </c>
      <c r="D385" s="215" t="s">
        <v>4526</v>
      </c>
      <c r="E385" s="31">
        <v>234</v>
      </c>
      <c r="F385" s="216">
        <v>3.59</v>
      </c>
      <c r="G385" s="31"/>
      <c r="H385" s="217"/>
    </row>
    <row r="386" spans="1:8" x14ac:dyDescent="0.2">
      <c r="A386" s="26"/>
      <c r="B386" s="26"/>
      <c r="C386" s="26" t="s">
        <v>4710</v>
      </c>
      <c r="D386" s="215" t="s">
        <v>4528</v>
      </c>
      <c r="E386" s="31">
        <v>784</v>
      </c>
      <c r="F386" s="216">
        <v>12.02</v>
      </c>
      <c r="G386" s="31"/>
      <c r="H386" s="217"/>
    </row>
    <row r="387" spans="1:8" x14ac:dyDescent="0.2">
      <c r="A387" s="26"/>
      <c r="B387" s="26"/>
      <c r="C387" s="26" t="s">
        <v>2318</v>
      </c>
      <c r="D387" s="215"/>
      <c r="E387" s="218">
        <f>SUM(E383:E386)</f>
        <v>6523</v>
      </c>
      <c r="F387" s="219">
        <f>SUM(F383:F386)</f>
        <v>100</v>
      </c>
      <c r="G387" s="218">
        <v>12480</v>
      </c>
      <c r="H387" s="220">
        <v>52.27</v>
      </c>
    </row>
    <row r="388" spans="1:8" x14ac:dyDescent="0.2">
      <c r="A388" s="26"/>
      <c r="B388" s="26"/>
      <c r="C388" s="26" t="s">
        <v>2318</v>
      </c>
      <c r="D388" s="215"/>
      <c r="E388" s="31"/>
      <c r="F388" s="216"/>
      <c r="G388" s="31"/>
      <c r="H388" s="217"/>
    </row>
    <row r="389" spans="1:8" x14ac:dyDescent="0.2">
      <c r="A389" s="26" t="s">
        <v>584</v>
      </c>
      <c r="B389" s="26"/>
      <c r="C389" s="214" t="s">
        <v>4711</v>
      </c>
      <c r="D389" s="215" t="s">
        <v>1736</v>
      </c>
      <c r="E389" s="31">
        <v>3567</v>
      </c>
      <c r="F389" s="216">
        <v>60.67</v>
      </c>
      <c r="G389" s="31"/>
      <c r="H389" s="217"/>
    </row>
    <row r="390" spans="1:8" x14ac:dyDescent="0.2">
      <c r="A390" s="26"/>
      <c r="B390" s="26"/>
      <c r="C390" s="26" t="s">
        <v>4712</v>
      </c>
      <c r="D390" s="215" t="s">
        <v>4426</v>
      </c>
      <c r="E390" s="31">
        <v>628</v>
      </c>
      <c r="F390" s="216">
        <v>10.68</v>
      </c>
      <c r="G390" s="31"/>
      <c r="H390" s="217"/>
    </row>
    <row r="391" spans="1:8" x14ac:dyDescent="0.2">
      <c r="A391" s="26"/>
      <c r="B391" s="26"/>
      <c r="C391" s="26" t="s">
        <v>4713</v>
      </c>
      <c r="D391" s="215" t="s">
        <v>4526</v>
      </c>
      <c r="E391" s="31">
        <v>181</v>
      </c>
      <c r="F391" s="216">
        <v>3.08</v>
      </c>
      <c r="G391" s="31"/>
      <c r="H391" s="217"/>
    </row>
    <row r="392" spans="1:8" x14ac:dyDescent="0.2">
      <c r="A392" s="26"/>
      <c r="B392" s="26"/>
      <c r="C392" s="26" t="s">
        <v>4714</v>
      </c>
      <c r="D392" s="215" t="s">
        <v>4528</v>
      </c>
      <c r="E392" s="31">
        <v>1503</v>
      </c>
      <c r="F392" s="216">
        <v>25.57</v>
      </c>
      <c r="G392" s="31"/>
      <c r="H392" s="217"/>
    </row>
    <row r="393" spans="1:8" x14ac:dyDescent="0.2">
      <c r="A393" s="26"/>
      <c r="B393" s="26"/>
      <c r="C393" s="26" t="s">
        <v>2318</v>
      </c>
      <c r="D393" s="215"/>
      <c r="E393" s="218">
        <v>5879</v>
      </c>
      <c r="F393" s="219">
        <f>SUM(F389:F392)</f>
        <v>100</v>
      </c>
      <c r="G393" s="218">
        <v>8788</v>
      </c>
      <c r="H393" s="220">
        <v>66.900000000000006</v>
      </c>
    </row>
    <row r="394" spans="1:8" x14ac:dyDescent="0.2">
      <c r="A394" s="26"/>
      <c r="B394" s="26"/>
      <c r="C394" s="26" t="s">
        <v>2318</v>
      </c>
      <c r="D394" s="215"/>
      <c r="E394" s="31"/>
      <c r="F394" s="216"/>
      <c r="G394" s="31"/>
      <c r="H394" s="217"/>
    </row>
    <row r="395" spans="1:8" x14ac:dyDescent="0.2">
      <c r="A395" s="26" t="s">
        <v>2340</v>
      </c>
      <c r="B395" s="26"/>
      <c r="C395" s="26" t="s">
        <v>4715</v>
      </c>
      <c r="D395" s="215" t="s">
        <v>4426</v>
      </c>
      <c r="E395" s="31">
        <v>1279</v>
      </c>
      <c r="F395" s="216">
        <v>19.48</v>
      </c>
      <c r="G395" s="31"/>
      <c r="H395" s="217"/>
    </row>
    <row r="396" spans="1:8" x14ac:dyDescent="0.2">
      <c r="A396" s="26"/>
      <c r="B396" s="26"/>
      <c r="C396" s="26" t="s">
        <v>4716</v>
      </c>
      <c r="D396" s="215" t="s">
        <v>4526</v>
      </c>
      <c r="E396" s="31">
        <v>113</v>
      </c>
      <c r="F396" s="216">
        <v>1.72</v>
      </c>
      <c r="G396" s="31"/>
      <c r="H396" s="217"/>
    </row>
    <row r="397" spans="1:8" x14ac:dyDescent="0.2">
      <c r="A397" s="26"/>
      <c r="B397" s="26"/>
      <c r="C397" s="26" t="s">
        <v>4717</v>
      </c>
      <c r="D397" s="215" t="s">
        <v>4528</v>
      </c>
      <c r="E397" s="224">
        <v>1856</v>
      </c>
      <c r="F397" s="216">
        <v>28.27</v>
      </c>
      <c r="G397" s="31"/>
      <c r="H397" s="217"/>
    </row>
    <row r="398" spans="1:8" x14ac:dyDescent="0.2">
      <c r="A398" s="26"/>
      <c r="B398" s="26"/>
      <c r="C398" s="214" t="s">
        <v>4718</v>
      </c>
      <c r="D398" s="215" t="s">
        <v>1736</v>
      </c>
      <c r="E398" s="31">
        <v>3317</v>
      </c>
      <c r="F398" s="216">
        <v>50.53</v>
      </c>
      <c r="G398" s="31"/>
      <c r="H398" s="217"/>
    </row>
    <row r="399" spans="1:8" x14ac:dyDescent="0.2">
      <c r="A399" s="26"/>
      <c r="B399" s="26"/>
      <c r="C399" s="26" t="s">
        <v>2318</v>
      </c>
      <c r="D399" s="215"/>
      <c r="E399" s="218">
        <f>SUM(E395:E398)</f>
        <v>6565</v>
      </c>
      <c r="F399" s="219">
        <f>SUM(F395:F398)</f>
        <v>100</v>
      </c>
      <c r="G399" s="218">
        <v>10222</v>
      </c>
      <c r="H399" s="220">
        <v>64.22</v>
      </c>
    </row>
    <row r="400" spans="1:8" x14ac:dyDescent="0.2">
      <c r="A400" s="26"/>
      <c r="B400" s="26"/>
      <c r="C400" s="26" t="s">
        <v>2318</v>
      </c>
      <c r="D400" s="215"/>
      <c r="E400" s="31"/>
      <c r="F400" s="216"/>
      <c r="G400" s="31"/>
      <c r="H400" s="217"/>
    </row>
    <row r="401" spans="1:8" x14ac:dyDescent="0.2">
      <c r="A401" s="26" t="s">
        <v>2341</v>
      </c>
      <c r="B401" s="26"/>
      <c r="C401" s="26" t="s">
        <v>4719</v>
      </c>
      <c r="D401" s="215" t="s">
        <v>4526</v>
      </c>
      <c r="E401" s="31">
        <v>258</v>
      </c>
      <c r="F401" s="216">
        <v>1.95</v>
      </c>
      <c r="G401" s="31"/>
      <c r="H401" s="217"/>
    </row>
    <row r="402" spans="1:8" x14ac:dyDescent="0.2">
      <c r="A402" s="26"/>
      <c r="B402" s="26"/>
      <c r="C402" s="214" t="s">
        <v>4720</v>
      </c>
      <c r="D402" s="215" t="s">
        <v>1736</v>
      </c>
      <c r="E402" s="31">
        <v>5727</v>
      </c>
      <c r="F402" s="216">
        <v>43.22</v>
      </c>
      <c r="G402" s="31"/>
      <c r="H402" s="217"/>
    </row>
    <row r="403" spans="1:8" x14ac:dyDescent="0.2">
      <c r="A403" s="26"/>
      <c r="B403" s="26"/>
      <c r="C403" s="26" t="s">
        <v>961</v>
      </c>
      <c r="D403" s="215" t="s">
        <v>4528</v>
      </c>
      <c r="E403" s="31">
        <v>5406</v>
      </c>
      <c r="F403" s="216">
        <v>40.79</v>
      </c>
      <c r="G403" s="31"/>
      <c r="H403" s="217"/>
    </row>
    <row r="404" spans="1:8" x14ac:dyDescent="0.2">
      <c r="A404" s="26"/>
      <c r="B404" s="26"/>
      <c r="C404" s="26" t="s">
        <v>4721</v>
      </c>
      <c r="D404" s="215" t="s">
        <v>4426</v>
      </c>
      <c r="E404" s="31">
        <v>1861</v>
      </c>
      <c r="F404" s="216">
        <v>14.04</v>
      </c>
      <c r="G404" s="31"/>
      <c r="H404" s="217"/>
    </row>
    <row r="405" spans="1:8" x14ac:dyDescent="0.2">
      <c r="A405" s="26"/>
      <c r="B405" s="26"/>
      <c r="C405" s="26" t="s">
        <v>2318</v>
      </c>
      <c r="D405" s="215"/>
      <c r="E405" s="218">
        <f>SUM(E401:E404)</f>
        <v>13252</v>
      </c>
      <c r="F405" s="219">
        <f>SUM(F401:F404)</f>
        <v>100</v>
      </c>
      <c r="G405" s="218">
        <v>23640</v>
      </c>
      <c r="H405" s="220">
        <v>56.06</v>
      </c>
    </row>
    <row r="406" spans="1:8" x14ac:dyDescent="0.2">
      <c r="A406" s="26"/>
      <c r="B406" s="26"/>
      <c r="C406" s="26" t="s">
        <v>2318</v>
      </c>
      <c r="D406" s="215"/>
      <c r="E406" s="31"/>
      <c r="F406" s="216"/>
      <c r="G406" s="31"/>
      <c r="H406" s="217"/>
    </row>
    <row r="407" spans="1:8" x14ac:dyDescent="0.2">
      <c r="A407" s="26" t="s">
        <v>588</v>
      </c>
      <c r="B407" s="26"/>
      <c r="C407" s="26" t="s">
        <v>4722</v>
      </c>
      <c r="D407" s="215" t="s">
        <v>4528</v>
      </c>
      <c r="E407" s="31">
        <v>547</v>
      </c>
      <c r="F407" s="216">
        <v>7.28</v>
      </c>
      <c r="G407" s="31"/>
      <c r="H407" s="217"/>
    </row>
    <row r="408" spans="1:8" x14ac:dyDescent="0.2">
      <c r="A408" s="26"/>
      <c r="B408" s="26"/>
      <c r="C408" s="26" t="s">
        <v>1877</v>
      </c>
      <c r="D408" s="215" t="s">
        <v>4426</v>
      </c>
      <c r="E408" s="31">
        <v>2870</v>
      </c>
      <c r="F408" s="216">
        <v>38.22</v>
      </c>
      <c r="G408" s="31"/>
      <c r="H408" s="217"/>
    </row>
    <row r="409" spans="1:8" x14ac:dyDescent="0.2">
      <c r="A409" s="26"/>
      <c r="B409" s="26"/>
      <c r="C409" s="26" t="s">
        <v>4723</v>
      </c>
      <c r="D409" s="215" t="s">
        <v>4526</v>
      </c>
      <c r="E409" s="31">
        <v>148</v>
      </c>
      <c r="F409" s="216">
        <v>1.97</v>
      </c>
      <c r="G409" s="31"/>
      <c r="H409" s="217"/>
    </row>
    <row r="410" spans="1:8" x14ac:dyDescent="0.2">
      <c r="A410" s="26"/>
      <c r="B410" s="26"/>
      <c r="C410" s="214" t="s">
        <v>962</v>
      </c>
      <c r="D410" s="215" t="s">
        <v>1736</v>
      </c>
      <c r="E410" s="31">
        <v>3945</v>
      </c>
      <c r="F410" s="216">
        <v>52.53</v>
      </c>
      <c r="G410" s="31"/>
      <c r="H410" s="217"/>
    </row>
    <row r="411" spans="1:8" x14ac:dyDescent="0.2">
      <c r="A411" s="26"/>
      <c r="B411" s="26"/>
      <c r="C411" s="26" t="s">
        <v>2318</v>
      </c>
      <c r="D411" s="215"/>
      <c r="E411" s="218">
        <f>SUM(E407:E410)</f>
        <v>7510</v>
      </c>
      <c r="F411" s="219">
        <f>SUM(F407:F410)</f>
        <v>100</v>
      </c>
      <c r="G411" s="218">
        <v>10636</v>
      </c>
      <c r="H411" s="220">
        <v>70.61</v>
      </c>
    </row>
    <row r="412" spans="1:8" x14ac:dyDescent="0.2">
      <c r="A412" s="26"/>
      <c r="B412" s="26"/>
      <c r="C412" s="26" t="s">
        <v>2318</v>
      </c>
      <c r="D412" s="215"/>
      <c r="E412" s="31"/>
      <c r="F412" s="216"/>
      <c r="G412" s="31"/>
      <c r="H412" s="217"/>
    </row>
    <row r="413" spans="1:8" x14ac:dyDescent="0.2">
      <c r="A413" s="26" t="s">
        <v>441</v>
      </c>
      <c r="B413" s="26"/>
      <c r="C413" s="26" t="s">
        <v>442</v>
      </c>
      <c r="D413" s="215" t="s">
        <v>4528</v>
      </c>
      <c r="E413" s="31">
        <v>2628</v>
      </c>
      <c r="F413" s="216">
        <v>34.21</v>
      </c>
      <c r="G413" s="31"/>
      <c r="H413" s="217"/>
    </row>
    <row r="414" spans="1:8" x14ac:dyDescent="0.2">
      <c r="A414" s="26"/>
      <c r="B414" s="26"/>
      <c r="C414" s="214" t="s">
        <v>1524</v>
      </c>
      <c r="D414" s="215" t="s">
        <v>1736</v>
      </c>
      <c r="E414" s="31">
        <v>4080</v>
      </c>
      <c r="F414" s="216">
        <v>53.1</v>
      </c>
      <c r="G414" s="31"/>
      <c r="H414" s="217"/>
    </row>
    <row r="415" spans="1:8" x14ac:dyDescent="0.2">
      <c r="A415" s="26"/>
      <c r="B415" s="26"/>
      <c r="C415" s="26" t="s">
        <v>4724</v>
      </c>
      <c r="D415" s="215" t="s">
        <v>4526</v>
      </c>
      <c r="E415" s="31">
        <v>104</v>
      </c>
      <c r="F415" s="216">
        <v>1.35</v>
      </c>
      <c r="G415" s="31"/>
      <c r="H415" s="217"/>
    </row>
    <row r="416" spans="1:8" x14ac:dyDescent="0.2">
      <c r="A416" s="26"/>
      <c r="B416" s="26"/>
      <c r="C416" s="26" t="s">
        <v>1761</v>
      </c>
      <c r="D416" s="215" t="s">
        <v>4426</v>
      </c>
      <c r="E416" s="31">
        <v>871</v>
      </c>
      <c r="F416" s="216">
        <v>11.34</v>
      </c>
      <c r="G416" s="31"/>
      <c r="H416" s="217"/>
    </row>
    <row r="417" spans="1:8" x14ac:dyDescent="0.2">
      <c r="A417" s="26"/>
      <c r="B417" s="26"/>
      <c r="C417" s="26" t="s">
        <v>2318</v>
      </c>
      <c r="D417" s="215"/>
      <c r="E417" s="218">
        <f>SUM(E413:E416)</f>
        <v>7683</v>
      </c>
      <c r="F417" s="219">
        <f>SUM(F413:F416)</f>
        <v>100</v>
      </c>
      <c r="G417" s="218">
        <v>11880</v>
      </c>
      <c r="H417" s="220">
        <v>64.67</v>
      </c>
    </row>
    <row r="418" spans="1:8" x14ac:dyDescent="0.2">
      <c r="A418" s="26"/>
      <c r="B418" s="26"/>
      <c r="C418" s="26" t="s">
        <v>2318</v>
      </c>
      <c r="D418" s="215"/>
      <c r="E418" s="31"/>
      <c r="F418" s="216"/>
      <c r="G418" s="31"/>
      <c r="H418" s="217"/>
    </row>
    <row r="419" spans="1:8" x14ac:dyDescent="0.2">
      <c r="A419" s="26" t="s">
        <v>3259</v>
      </c>
      <c r="B419" s="26"/>
      <c r="C419" s="26" t="s">
        <v>4725</v>
      </c>
      <c r="D419" s="215" t="s">
        <v>4426</v>
      </c>
      <c r="E419" s="31">
        <v>1743</v>
      </c>
      <c r="F419" s="216">
        <v>29.83</v>
      </c>
      <c r="G419" s="31"/>
      <c r="H419" s="217"/>
    </row>
    <row r="420" spans="1:8" x14ac:dyDescent="0.2">
      <c r="A420" s="26"/>
      <c r="B420" s="26"/>
      <c r="C420" s="26" t="s">
        <v>4726</v>
      </c>
      <c r="D420" s="215" t="s">
        <v>4528</v>
      </c>
      <c r="E420" s="31">
        <v>854</v>
      </c>
      <c r="F420" s="216">
        <v>14.62</v>
      </c>
      <c r="G420" s="31"/>
      <c r="H420" s="217"/>
    </row>
    <row r="421" spans="1:8" x14ac:dyDescent="0.2">
      <c r="A421" s="26"/>
      <c r="B421" s="26"/>
      <c r="C421" s="26" t="s">
        <v>4727</v>
      </c>
      <c r="D421" s="215" t="s">
        <v>4526</v>
      </c>
      <c r="E421" s="31">
        <v>214</v>
      </c>
      <c r="F421" s="216">
        <v>3.66</v>
      </c>
      <c r="G421" s="31"/>
      <c r="H421" s="217"/>
    </row>
    <row r="422" spans="1:8" x14ac:dyDescent="0.2">
      <c r="A422" s="26"/>
      <c r="B422" s="26"/>
      <c r="C422" s="214" t="s">
        <v>1525</v>
      </c>
      <c r="D422" s="215" t="s">
        <v>1736</v>
      </c>
      <c r="E422" s="31">
        <v>3032</v>
      </c>
      <c r="F422" s="216">
        <v>51.89</v>
      </c>
      <c r="G422" s="31"/>
      <c r="H422" s="217"/>
    </row>
    <row r="423" spans="1:8" x14ac:dyDescent="0.2">
      <c r="A423" s="26"/>
      <c r="B423" s="26"/>
      <c r="C423" s="26" t="s">
        <v>2318</v>
      </c>
      <c r="D423" s="215"/>
      <c r="E423" s="218">
        <f>SUM(E419:E422)</f>
        <v>5843</v>
      </c>
      <c r="F423" s="219">
        <f>SUM(F419:F422)</f>
        <v>100</v>
      </c>
      <c r="G423" s="218">
        <v>8563</v>
      </c>
      <c r="H423" s="220">
        <v>68.23</v>
      </c>
    </row>
    <row r="424" spans="1:8" x14ac:dyDescent="0.2">
      <c r="A424" s="26"/>
      <c r="B424" s="26"/>
      <c r="C424" s="26" t="s">
        <v>2318</v>
      </c>
      <c r="D424" s="215"/>
      <c r="E424" s="31"/>
      <c r="F424" s="216"/>
      <c r="G424" s="31"/>
      <c r="H424" s="217"/>
    </row>
    <row r="425" spans="1:8" x14ac:dyDescent="0.2">
      <c r="A425" s="26" t="s">
        <v>1937</v>
      </c>
      <c r="B425" s="26"/>
      <c r="C425" s="26" t="s">
        <v>4728</v>
      </c>
      <c r="D425" s="215" t="s">
        <v>4526</v>
      </c>
      <c r="E425" s="31">
        <v>68</v>
      </c>
      <c r="F425" s="216">
        <v>1</v>
      </c>
      <c r="G425" s="31"/>
      <c r="H425" s="217"/>
    </row>
    <row r="426" spans="1:8" x14ac:dyDescent="0.2">
      <c r="A426" s="26"/>
      <c r="B426" s="26"/>
      <c r="C426" s="26" t="s">
        <v>4729</v>
      </c>
      <c r="D426" s="215" t="s">
        <v>4528</v>
      </c>
      <c r="E426" s="31">
        <v>356</v>
      </c>
      <c r="F426" s="216">
        <v>5.28</v>
      </c>
      <c r="G426" s="31"/>
      <c r="H426" s="217"/>
    </row>
    <row r="427" spans="1:8" x14ac:dyDescent="0.2">
      <c r="A427" s="26"/>
      <c r="B427" s="26"/>
      <c r="C427" s="214" t="s">
        <v>4730</v>
      </c>
      <c r="D427" s="215" t="s">
        <v>4426</v>
      </c>
      <c r="E427" s="31">
        <v>3657</v>
      </c>
      <c r="F427" s="216">
        <v>54.19</v>
      </c>
      <c r="G427" s="31"/>
      <c r="H427" s="217"/>
    </row>
    <row r="428" spans="1:8" x14ac:dyDescent="0.2">
      <c r="A428" s="26"/>
      <c r="B428" s="26"/>
      <c r="C428" s="26" t="s">
        <v>4731</v>
      </c>
      <c r="D428" s="215" t="s">
        <v>1736</v>
      </c>
      <c r="E428" s="31">
        <v>2668</v>
      </c>
      <c r="F428" s="216">
        <v>39.53</v>
      </c>
      <c r="G428" s="31"/>
      <c r="H428" s="217"/>
    </row>
    <row r="429" spans="1:8" x14ac:dyDescent="0.2">
      <c r="A429" s="26"/>
      <c r="B429" s="26"/>
      <c r="C429" s="26"/>
      <c r="D429" s="215"/>
      <c r="E429" s="218">
        <f>SUM(E425:E428)</f>
        <v>6749</v>
      </c>
      <c r="F429" s="219">
        <f>SUM(F425:F428)</f>
        <v>100</v>
      </c>
      <c r="G429" s="218">
        <v>8458</v>
      </c>
      <c r="H429" s="220">
        <v>79.790000000000006</v>
      </c>
    </row>
    <row r="430" spans="1:8" x14ac:dyDescent="0.2">
      <c r="A430" s="26"/>
      <c r="B430" s="26"/>
      <c r="C430" s="26" t="s">
        <v>2318</v>
      </c>
      <c r="D430" s="215"/>
      <c r="E430" s="31"/>
      <c r="F430" s="216"/>
      <c r="G430" s="31"/>
      <c r="H430" s="217"/>
    </row>
    <row r="431" spans="1:8" x14ac:dyDescent="0.2">
      <c r="A431" s="26" t="s">
        <v>446</v>
      </c>
      <c r="B431" s="26"/>
      <c r="C431" s="26" t="s">
        <v>4732</v>
      </c>
      <c r="D431" s="215" t="s">
        <v>4426</v>
      </c>
      <c r="E431" s="31">
        <v>3178</v>
      </c>
      <c r="F431" s="216">
        <v>19.98</v>
      </c>
      <c r="G431" s="31"/>
      <c r="H431" s="217"/>
    </row>
    <row r="432" spans="1:8" x14ac:dyDescent="0.2">
      <c r="A432" s="26"/>
      <c r="B432" s="26"/>
      <c r="C432" s="214" t="s">
        <v>1526</v>
      </c>
      <c r="D432" s="215" t="s">
        <v>1736</v>
      </c>
      <c r="E432" s="31">
        <v>9361</v>
      </c>
      <c r="F432" s="216">
        <v>58.85</v>
      </c>
      <c r="G432" s="31"/>
      <c r="H432" s="217"/>
    </row>
    <row r="433" spans="1:8" x14ac:dyDescent="0.2">
      <c r="A433" s="26"/>
      <c r="B433" s="26"/>
      <c r="C433" s="26" t="s">
        <v>4733</v>
      </c>
      <c r="D433" s="215" t="s">
        <v>4528</v>
      </c>
      <c r="E433" s="31">
        <v>1686</v>
      </c>
      <c r="F433" s="216">
        <v>10.6</v>
      </c>
      <c r="G433" s="31"/>
      <c r="H433" s="217"/>
    </row>
    <row r="434" spans="1:8" x14ac:dyDescent="0.2">
      <c r="A434" s="26"/>
      <c r="B434" s="26"/>
      <c r="C434" s="26" t="s">
        <v>4734</v>
      </c>
      <c r="D434" s="215" t="s">
        <v>4526</v>
      </c>
      <c r="E434" s="31">
        <v>1681</v>
      </c>
      <c r="F434" s="216">
        <v>10.57</v>
      </c>
      <c r="G434" s="31"/>
      <c r="H434" s="217"/>
    </row>
    <row r="435" spans="1:8" x14ac:dyDescent="0.2">
      <c r="A435" s="26"/>
      <c r="B435" s="26"/>
      <c r="C435" s="26" t="s">
        <v>2318</v>
      </c>
      <c r="D435" s="215"/>
      <c r="E435" s="218">
        <f>SUM(E431:E434)</f>
        <v>15906</v>
      </c>
      <c r="F435" s="219">
        <f>SUM(F431:F434)</f>
        <v>100</v>
      </c>
      <c r="G435" s="218">
        <v>27602</v>
      </c>
      <c r="H435" s="220">
        <v>57.63</v>
      </c>
    </row>
    <row r="436" spans="1:8" x14ac:dyDescent="0.2">
      <c r="A436" s="26"/>
      <c r="B436" s="26"/>
      <c r="C436" s="26" t="s">
        <v>2318</v>
      </c>
      <c r="D436" s="215"/>
      <c r="E436" s="31"/>
      <c r="F436" s="216"/>
      <c r="G436" s="31"/>
      <c r="H436" s="217"/>
    </row>
    <row r="437" spans="1:8" x14ac:dyDescent="0.2">
      <c r="A437" s="26" t="s">
        <v>715</v>
      </c>
      <c r="B437" s="26"/>
      <c r="C437" s="26" t="s">
        <v>4735</v>
      </c>
      <c r="D437" s="215" t="s">
        <v>4526</v>
      </c>
      <c r="E437" s="31">
        <v>110</v>
      </c>
      <c r="F437" s="216">
        <v>1.81</v>
      </c>
      <c r="G437" s="31"/>
      <c r="H437" s="217"/>
    </row>
    <row r="438" spans="1:8" x14ac:dyDescent="0.2">
      <c r="A438" s="26"/>
      <c r="B438" s="26"/>
      <c r="C438" s="214" t="s">
        <v>4780</v>
      </c>
      <c r="D438" s="215" t="s">
        <v>1736</v>
      </c>
      <c r="E438" s="31">
        <v>4262</v>
      </c>
      <c r="F438" s="216">
        <v>70.260000000000005</v>
      </c>
      <c r="G438" s="31"/>
      <c r="H438" s="217"/>
    </row>
    <row r="439" spans="1:8" x14ac:dyDescent="0.2">
      <c r="A439" s="26"/>
      <c r="B439" s="26"/>
      <c r="C439" s="26" t="s">
        <v>4</v>
      </c>
      <c r="D439" s="215" t="s">
        <v>4426</v>
      </c>
      <c r="E439" s="31">
        <v>503</v>
      </c>
      <c r="F439" s="216">
        <v>8.2899999999999991</v>
      </c>
      <c r="G439" s="31"/>
      <c r="H439" s="217"/>
    </row>
    <row r="440" spans="1:8" x14ac:dyDescent="0.2">
      <c r="A440" s="26"/>
      <c r="B440" s="26"/>
      <c r="C440" s="26" t="s">
        <v>4736</v>
      </c>
      <c r="D440" s="215" t="s">
        <v>4528</v>
      </c>
      <c r="E440" s="31">
        <v>1191</v>
      </c>
      <c r="F440" s="216">
        <v>19.64</v>
      </c>
      <c r="G440" s="31"/>
      <c r="H440" s="217"/>
    </row>
    <row r="441" spans="1:8" x14ac:dyDescent="0.2">
      <c r="A441" s="26"/>
      <c r="B441" s="26"/>
      <c r="C441" s="26" t="s">
        <v>2318</v>
      </c>
      <c r="D441" s="215"/>
      <c r="E441" s="218">
        <f>SUM(E437:E440)</f>
        <v>6066</v>
      </c>
      <c r="F441" s="219">
        <f>SUM(F437:F440)</f>
        <v>100.00000000000001</v>
      </c>
      <c r="G441" s="218">
        <v>8738</v>
      </c>
      <c r="H441" s="220">
        <v>69.42</v>
      </c>
    </row>
    <row r="442" spans="1:8" x14ac:dyDescent="0.2">
      <c r="A442" s="26"/>
      <c r="B442" s="26"/>
      <c r="C442" s="26" t="s">
        <v>2318</v>
      </c>
      <c r="D442" s="215"/>
      <c r="E442" s="31"/>
      <c r="F442" s="216"/>
      <c r="G442" s="31"/>
      <c r="H442" s="217"/>
    </row>
    <row r="443" spans="1:8" x14ac:dyDescent="0.2">
      <c r="A443" s="26" t="s">
        <v>2545</v>
      </c>
      <c r="B443" s="26"/>
      <c r="C443" s="26" t="s">
        <v>4739</v>
      </c>
      <c r="D443" s="215" t="s">
        <v>4426</v>
      </c>
      <c r="E443" s="31">
        <v>1218</v>
      </c>
      <c r="F443" s="216">
        <v>10.36</v>
      </c>
      <c r="G443" s="31"/>
      <c r="H443" s="217"/>
    </row>
    <row r="444" spans="1:8" x14ac:dyDescent="0.2">
      <c r="A444" s="26"/>
      <c r="B444" s="26"/>
      <c r="C444" s="26" t="s">
        <v>4740</v>
      </c>
      <c r="D444" s="215" t="s">
        <v>4690</v>
      </c>
      <c r="E444" s="31">
        <v>83</v>
      </c>
      <c r="F444" s="216">
        <v>0.71</v>
      </c>
      <c r="G444" s="31"/>
      <c r="H444" s="217"/>
    </row>
    <row r="445" spans="1:8" x14ac:dyDescent="0.2">
      <c r="A445" s="26"/>
      <c r="B445" s="26"/>
      <c r="C445" s="26" t="s">
        <v>4741</v>
      </c>
      <c r="D445" s="215" t="s">
        <v>4526</v>
      </c>
      <c r="E445" s="31">
        <v>1250</v>
      </c>
      <c r="F445" s="216">
        <v>10.64</v>
      </c>
      <c r="G445" s="31"/>
      <c r="H445" s="217"/>
    </row>
    <row r="446" spans="1:8" x14ac:dyDescent="0.2">
      <c r="A446" s="26"/>
      <c r="B446" s="26"/>
      <c r="C446" s="214" t="s">
        <v>4742</v>
      </c>
      <c r="D446" s="215" t="s">
        <v>1736</v>
      </c>
      <c r="E446" s="31">
        <v>6927</v>
      </c>
      <c r="F446" s="216">
        <v>58.94</v>
      </c>
      <c r="G446" s="31"/>
      <c r="H446" s="217"/>
    </row>
    <row r="447" spans="1:8" x14ac:dyDescent="0.2">
      <c r="A447" s="26"/>
      <c r="B447" s="26"/>
      <c r="C447" s="26" t="s">
        <v>4743</v>
      </c>
      <c r="D447" s="215" t="s">
        <v>4528</v>
      </c>
      <c r="E447" s="31">
        <v>2274</v>
      </c>
      <c r="F447" s="216">
        <v>19.350000000000001</v>
      </c>
      <c r="G447" s="31"/>
      <c r="H447" s="217"/>
    </row>
    <row r="448" spans="1:8" x14ac:dyDescent="0.2">
      <c r="A448" s="26"/>
      <c r="B448" s="26"/>
      <c r="C448" s="26" t="s">
        <v>2318</v>
      </c>
      <c r="D448" s="215"/>
      <c r="E448" s="218">
        <f>SUM(E443:E447)</f>
        <v>11752</v>
      </c>
      <c r="F448" s="219">
        <f>SUM(F443:F447)</f>
        <v>100</v>
      </c>
      <c r="G448" s="218">
        <v>19212</v>
      </c>
      <c r="H448" s="220">
        <v>61.17</v>
      </c>
    </row>
    <row r="449" spans="1:8" x14ac:dyDescent="0.2">
      <c r="A449" s="26"/>
      <c r="B449" s="26"/>
      <c r="C449" s="26" t="s">
        <v>2318</v>
      </c>
      <c r="D449" s="215"/>
      <c r="E449" s="31"/>
      <c r="F449" s="216"/>
      <c r="G449" s="31"/>
      <c r="H449" s="217"/>
    </row>
    <row r="450" spans="1:8" x14ac:dyDescent="0.2">
      <c r="A450" s="26" t="s">
        <v>3262</v>
      </c>
      <c r="B450" s="26"/>
      <c r="C450" s="214" t="s">
        <v>4781</v>
      </c>
      <c r="D450" s="215" t="s">
        <v>1736</v>
      </c>
      <c r="E450" s="31">
        <v>3173</v>
      </c>
      <c r="F450" s="216">
        <v>46.47</v>
      </c>
      <c r="G450" s="31"/>
      <c r="H450" s="217"/>
    </row>
    <row r="451" spans="1:8" x14ac:dyDescent="0.2">
      <c r="A451" s="26"/>
      <c r="B451" s="26"/>
      <c r="C451" s="26" t="s">
        <v>4737</v>
      </c>
      <c r="D451" s="215" t="s">
        <v>4526</v>
      </c>
      <c r="E451" s="31">
        <v>219</v>
      </c>
      <c r="F451" s="216">
        <v>3.24</v>
      </c>
      <c r="G451" s="31"/>
      <c r="H451" s="217"/>
    </row>
    <row r="452" spans="1:8" x14ac:dyDescent="0.2">
      <c r="A452" s="26"/>
      <c r="B452" s="26"/>
      <c r="C452" s="26" t="s">
        <v>1070</v>
      </c>
      <c r="D452" s="215" t="s">
        <v>4426</v>
      </c>
      <c r="E452" s="31">
        <v>2854</v>
      </c>
      <c r="F452" s="216">
        <v>41.8</v>
      </c>
      <c r="G452" s="31"/>
      <c r="H452" s="217"/>
    </row>
    <row r="453" spans="1:8" x14ac:dyDescent="0.2">
      <c r="A453" s="26"/>
      <c r="B453" s="26"/>
      <c r="C453" s="26" t="s">
        <v>4738</v>
      </c>
      <c r="D453" s="215" t="s">
        <v>4528</v>
      </c>
      <c r="E453" s="31">
        <v>582</v>
      </c>
      <c r="F453" s="216">
        <v>8.52</v>
      </c>
      <c r="G453" s="31"/>
      <c r="H453" s="217"/>
    </row>
    <row r="454" spans="1:8" x14ac:dyDescent="0.2">
      <c r="A454" s="26"/>
      <c r="B454" s="26"/>
      <c r="C454" s="26" t="s">
        <v>2318</v>
      </c>
      <c r="D454" s="215"/>
      <c r="E454" s="218">
        <f>SUM(E450:E453)</f>
        <v>6828</v>
      </c>
      <c r="F454" s="219">
        <f>SUM(F450:F453)</f>
        <v>100.02999999999999</v>
      </c>
      <c r="G454" s="218">
        <v>9452</v>
      </c>
      <c r="H454" s="220">
        <v>75.239999999999995</v>
      </c>
    </row>
    <row r="455" spans="1:8" x14ac:dyDescent="0.2">
      <c r="A455" s="26"/>
      <c r="B455" s="26"/>
      <c r="C455" s="26" t="s">
        <v>2318</v>
      </c>
      <c r="D455" s="215"/>
      <c r="E455" s="31"/>
      <c r="F455" s="216"/>
      <c r="G455" s="31"/>
      <c r="H455" s="217"/>
    </row>
    <row r="456" spans="1:8" x14ac:dyDescent="0.2">
      <c r="A456" s="26" t="s">
        <v>1979</v>
      </c>
      <c r="B456" s="26"/>
      <c r="C456" s="214" t="s">
        <v>1527</v>
      </c>
      <c r="D456" s="215" t="s">
        <v>1736</v>
      </c>
      <c r="E456" s="31">
        <v>5010</v>
      </c>
      <c r="F456" s="216">
        <v>65.36</v>
      </c>
      <c r="G456" s="31"/>
      <c r="H456" s="217"/>
    </row>
    <row r="457" spans="1:8" x14ac:dyDescent="0.2">
      <c r="A457" s="26"/>
      <c r="B457" s="26"/>
      <c r="C457" s="26" t="s">
        <v>4744</v>
      </c>
      <c r="D457" s="215" t="s">
        <v>4528</v>
      </c>
      <c r="E457" s="31">
        <v>2108</v>
      </c>
      <c r="F457" s="216">
        <v>27.49</v>
      </c>
      <c r="G457" s="31"/>
      <c r="H457" s="217"/>
    </row>
    <row r="458" spans="1:8" x14ac:dyDescent="0.2">
      <c r="A458" s="26"/>
      <c r="B458" s="26"/>
      <c r="C458" s="26" t="s">
        <v>4745</v>
      </c>
      <c r="D458" s="215" t="s">
        <v>4426</v>
      </c>
      <c r="E458" s="31">
        <v>214</v>
      </c>
      <c r="F458" s="216">
        <v>2.79</v>
      </c>
      <c r="G458" s="31"/>
      <c r="H458" s="217"/>
    </row>
    <row r="459" spans="1:8" x14ac:dyDescent="0.2">
      <c r="A459" s="26"/>
      <c r="B459" s="26"/>
      <c r="C459" s="26" t="s">
        <v>4746</v>
      </c>
      <c r="D459" s="215" t="s">
        <v>4526</v>
      </c>
      <c r="E459" s="31">
        <v>335</v>
      </c>
      <c r="F459" s="216">
        <v>4.37</v>
      </c>
      <c r="G459" s="31"/>
      <c r="H459" s="217"/>
    </row>
    <row r="460" spans="1:8" x14ac:dyDescent="0.2">
      <c r="A460" s="26"/>
      <c r="B460" s="26"/>
      <c r="C460" s="26" t="s">
        <v>2318</v>
      </c>
      <c r="D460" s="215"/>
      <c r="E460" s="218">
        <f>SUM(E456:E459)</f>
        <v>7667</v>
      </c>
      <c r="F460" s="219">
        <f>SUM(F456:F459)</f>
        <v>100.01</v>
      </c>
      <c r="G460" s="218">
        <v>12330</v>
      </c>
      <c r="H460" s="220">
        <v>62.18</v>
      </c>
    </row>
    <row r="461" spans="1:8" x14ac:dyDescent="0.2">
      <c r="A461" s="26"/>
      <c r="B461" s="26"/>
      <c r="C461" s="26" t="s">
        <v>2318</v>
      </c>
      <c r="D461" s="215"/>
      <c r="E461" s="31"/>
      <c r="F461" s="216"/>
      <c r="G461" s="31"/>
      <c r="H461" s="217"/>
    </row>
    <row r="462" spans="1:8" x14ac:dyDescent="0.2">
      <c r="A462" s="26" t="s">
        <v>3087</v>
      </c>
      <c r="B462" s="26"/>
      <c r="C462" s="26" t="s">
        <v>4747</v>
      </c>
      <c r="D462" s="215" t="s">
        <v>4528</v>
      </c>
      <c r="E462" s="31">
        <v>2660</v>
      </c>
      <c r="F462" s="216">
        <v>35.909999999999997</v>
      </c>
      <c r="G462" s="31"/>
      <c r="H462" s="217"/>
    </row>
    <row r="463" spans="1:8" x14ac:dyDescent="0.2">
      <c r="A463" s="26"/>
      <c r="B463" s="26"/>
      <c r="C463" s="214" t="s">
        <v>1528</v>
      </c>
      <c r="D463" s="215" t="s">
        <v>1736</v>
      </c>
      <c r="E463" s="31">
        <v>4401</v>
      </c>
      <c r="F463" s="216">
        <v>59.42</v>
      </c>
      <c r="G463" s="31"/>
      <c r="H463" s="217"/>
    </row>
    <row r="464" spans="1:8" x14ac:dyDescent="0.2">
      <c r="A464" s="26"/>
      <c r="B464" s="26"/>
      <c r="C464" s="26" t="s">
        <v>4748</v>
      </c>
      <c r="D464" s="215" t="s">
        <v>4426</v>
      </c>
      <c r="E464" s="31">
        <v>222</v>
      </c>
      <c r="F464" s="216">
        <v>3</v>
      </c>
      <c r="G464" s="31"/>
      <c r="H464" s="217"/>
    </row>
    <row r="465" spans="1:8" x14ac:dyDescent="0.2">
      <c r="A465" s="26"/>
      <c r="B465" s="26"/>
      <c r="C465" s="26" t="s">
        <v>4749</v>
      </c>
      <c r="D465" s="215" t="s">
        <v>4526</v>
      </c>
      <c r="E465" s="31">
        <v>124</v>
      </c>
      <c r="F465" s="216">
        <v>1.67</v>
      </c>
      <c r="G465" s="31"/>
      <c r="H465" s="217"/>
    </row>
    <row r="466" spans="1:8" x14ac:dyDescent="0.2">
      <c r="A466" s="26"/>
      <c r="B466" s="26"/>
      <c r="C466" s="26" t="s">
        <v>2318</v>
      </c>
      <c r="D466" s="215"/>
      <c r="E466" s="218">
        <f>SUM(E462:E465)</f>
        <v>7407</v>
      </c>
      <c r="F466" s="219">
        <f>SUM(F462:F465)</f>
        <v>100</v>
      </c>
      <c r="G466" s="218">
        <v>10998</v>
      </c>
      <c r="H466" s="220">
        <v>67.349999999999994</v>
      </c>
    </row>
    <row r="467" spans="1:8" x14ac:dyDescent="0.2">
      <c r="A467" s="26"/>
      <c r="B467" s="26"/>
      <c r="C467" s="26" t="s">
        <v>2318</v>
      </c>
      <c r="D467" s="215"/>
      <c r="E467" s="31"/>
      <c r="F467" s="216"/>
      <c r="G467" s="31"/>
      <c r="H467" s="217"/>
    </row>
    <row r="468" spans="1:8" x14ac:dyDescent="0.2">
      <c r="A468" s="26" t="s">
        <v>1557</v>
      </c>
      <c r="B468" s="26"/>
      <c r="C468" s="26" t="s">
        <v>4750</v>
      </c>
      <c r="D468" s="215" t="s">
        <v>4426</v>
      </c>
      <c r="E468" s="31">
        <v>2490</v>
      </c>
      <c r="F468" s="216">
        <v>31.91</v>
      </c>
      <c r="G468" s="31"/>
      <c r="H468" s="217"/>
    </row>
    <row r="469" spans="1:8" x14ac:dyDescent="0.2">
      <c r="A469" s="26"/>
      <c r="B469" s="26"/>
      <c r="C469" s="214" t="s">
        <v>1529</v>
      </c>
      <c r="D469" s="215" t="s">
        <v>1736</v>
      </c>
      <c r="E469" s="31">
        <v>3835</v>
      </c>
      <c r="F469" s="216">
        <v>49.14</v>
      </c>
      <c r="G469" s="31"/>
      <c r="H469" s="217"/>
    </row>
    <row r="470" spans="1:8" x14ac:dyDescent="0.2">
      <c r="A470" s="26"/>
      <c r="B470" s="26"/>
      <c r="C470" s="26" t="s">
        <v>4751</v>
      </c>
      <c r="D470" s="215" t="s">
        <v>4528</v>
      </c>
      <c r="E470" s="31">
        <v>1210</v>
      </c>
      <c r="F470" s="216">
        <v>15.5</v>
      </c>
      <c r="G470" s="31"/>
      <c r="H470" s="217"/>
    </row>
    <row r="471" spans="1:8" x14ac:dyDescent="0.2">
      <c r="A471" s="26"/>
      <c r="B471" s="26"/>
      <c r="C471" s="26" t="s">
        <v>4752</v>
      </c>
      <c r="D471" s="215" t="s">
        <v>4526</v>
      </c>
      <c r="E471" s="31">
        <v>269</v>
      </c>
      <c r="F471" s="216">
        <v>3.45</v>
      </c>
      <c r="G471" s="31"/>
      <c r="H471" s="217"/>
    </row>
    <row r="472" spans="1:8" x14ac:dyDescent="0.2">
      <c r="A472" s="26"/>
      <c r="B472" s="26"/>
      <c r="C472" s="26" t="s">
        <v>2318</v>
      </c>
      <c r="D472" s="215"/>
      <c r="E472" s="218">
        <f>SUM(E468:E471)</f>
        <v>7804</v>
      </c>
      <c r="F472" s="219">
        <f>SUM(F468:F471)</f>
        <v>100</v>
      </c>
      <c r="G472" s="218">
        <v>9855</v>
      </c>
      <c r="H472" s="220">
        <v>79.19</v>
      </c>
    </row>
    <row r="473" spans="1:8" x14ac:dyDescent="0.2">
      <c r="A473" s="26"/>
      <c r="B473" s="26"/>
      <c r="C473" s="26" t="s">
        <v>2318</v>
      </c>
      <c r="D473" s="215"/>
      <c r="E473" s="31"/>
      <c r="F473" s="216"/>
      <c r="G473" s="31"/>
      <c r="H473" s="217"/>
    </row>
    <row r="474" spans="1:8" x14ac:dyDescent="0.2">
      <c r="A474" s="26" t="s">
        <v>1559</v>
      </c>
      <c r="B474" s="26"/>
      <c r="C474" s="26" t="s">
        <v>3084</v>
      </c>
      <c r="D474" s="215" t="s">
        <v>4426</v>
      </c>
      <c r="E474" s="31">
        <v>877</v>
      </c>
      <c r="F474" s="216">
        <v>13.76</v>
      </c>
      <c r="G474" s="31"/>
      <c r="H474" s="217"/>
    </row>
    <row r="475" spans="1:8" x14ac:dyDescent="0.2">
      <c r="A475" s="26"/>
      <c r="B475" s="26"/>
      <c r="C475" s="26" t="s">
        <v>4753</v>
      </c>
      <c r="D475" s="215" t="s">
        <v>4528</v>
      </c>
      <c r="E475" s="31">
        <v>2087</v>
      </c>
      <c r="F475" s="216">
        <v>32.74</v>
      </c>
      <c r="G475" s="31"/>
      <c r="H475" s="217"/>
    </row>
    <row r="476" spans="1:8" x14ac:dyDescent="0.2">
      <c r="A476" s="26"/>
      <c r="B476" s="26"/>
      <c r="C476" s="214" t="s">
        <v>1530</v>
      </c>
      <c r="D476" s="215" t="s">
        <v>1736</v>
      </c>
      <c r="E476" s="31">
        <v>3292</v>
      </c>
      <c r="F476" s="216">
        <v>51.65</v>
      </c>
      <c r="G476" s="31"/>
      <c r="H476" s="217"/>
    </row>
    <row r="477" spans="1:8" x14ac:dyDescent="0.2">
      <c r="A477" s="26"/>
      <c r="B477" s="26"/>
      <c r="C477" s="26" t="s">
        <v>4754</v>
      </c>
      <c r="D477" s="215" t="s">
        <v>4526</v>
      </c>
      <c r="E477" s="31">
        <v>118</v>
      </c>
      <c r="F477" s="216">
        <v>1.85</v>
      </c>
      <c r="G477" s="31"/>
      <c r="H477" s="217"/>
    </row>
    <row r="478" spans="1:8" x14ac:dyDescent="0.2">
      <c r="A478" s="26"/>
      <c r="B478" s="26"/>
      <c r="C478" s="26" t="s">
        <v>2318</v>
      </c>
      <c r="D478" s="215"/>
      <c r="E478" s="218">
        <f>SUM(E474:E477)</f>
        <v>6374</v>
      </c>
      <c r="F478" s="219">
        <f>SUM(F474:F477)</f>
        <v>100</v>
      </c>
      <c r="G478" s="218">
        <v>8972</v>
      </c>
      <c r="H478" s="220">
        <v>71.040000000000006</v>
      </c>
    </row>
    <row r="479" spans="1:8" x14ac:dyDescent="0.2">
      <c r="A479" s="26"/>
      <c r="B479" s="26"/>
      <c r="C479" s="26" t="s">
        <v>2318</v>
      </c>
      <c r="D479" s="215"/>
      <c r="E479" s="31"/>
      <c r="F479" s="216"/>
      <c r="G479" s="31"/>
      <c r="H479" s="217"/>
    </row>
    <row r="480" spans="1:8" x14ac:dyDescent="0.2">
      <c r="A480" s="26" t="s">
        <v>2564</v>
      </c>
      <c r="B480" s="26"/>
      <c r="C480" s="26" t="s">
        <v>4755</v>
      </c>
      <c r="D480" s="215" t="s">
        <v>4528</v>
      </c>
      <c r="E480" s="31">
        <v>2103</v>
      </c>
      <c r="F480" s="216">
        <v>34.04</v>
      </c>
      <c r="G480" s="31"/>
      <c r="H480" s="217"/>
    </row>
    <row r="481" spans="1:8" x14ac:dyDescent="0.2">
      <c r="A481" s="26"/>
      <c r="B481" s="26"/>
      <c r="C481" s="26" t="s">
        <v>4756</v>
      </c>
      <c r="D481" s="215" t="s">
        <v>4426</v>
      </c>
      <c r="E481" s="31">
        <v>509</v>
      </c>
      <c r="F481" s="216">
        <v>8.24</v>
      </c>
      <c r="G481" s="31"/>
      <c r="H481" s="217"/>
    </row>
    <row r="482" spans="1:8" x14ac:dyDescent="0.2">
      <c r="A482" s="26"/>
      <c r="B482" s="26"/>
      <c r="C482" s="214" t="s">
        <v>4757</v>
      </c>
      <c r="D482" s="215" t="s">
        <v>1736</v>
      </c>
      <c r="E482" s="31">
        <v>3489</v>
      </c>
      <c r="F482" s="216">
        <v>56.47</v>
      </c>
      <c r="G482" s="31"/>
      <c r="H482" s="217"/>
    </row>
    <row r="483" spans="1:8" x14ac:dyDescent="0.2">
      <c r="A483" s="26"/>
      <c r="B483" s="26"/>
      <c r="C483" s="26" t="s">
        <v>4758</v>
      </c>
      <c r="D483" s="215" t="s">
        <v>4526</v>
      </c>
      <c r="E483" s="31">
        <v>77</v>
      </c>
      <c r="F483" s="216">
        <v>1.25</v>
      </c>
      <c r="G483" s="31"/>
      <c r="H483" s="217"/>
    </row>
    <row r="484" spans="1:8" x14ac:dyDescent="0.2">
      <c r="A484" s="26"/>
      <c r="B484" s="26"/>
      <c r="C484" s="26" t="s">
        <v>2318</v>
      </c>
      <c r="D484" s="215"/>
      <c r="E484" s="218">
        <f>SUM(E480:E483)</f>
        <v>6178</v>
      </c>
      <c r="F484" s="219">
        <f>SUM(F480:F483)</f>
        <v>100</v>
      </c>
      <c r="G484" s="218">
        <v>8660</v>
      </c>
      <c r="H484" s="220">
        <v>71.34</v>
      </c>
    </row>
    <row r="485" spans="1:8" x14ac:dyDescent="0.2">
      <c r="A485" s="26"/>
      <c r="B485" s="26"/>
      <c r="C485" s="26" t="s">
        <v>2318</v>
      </c>
      <c r="D485" s="215"/>
      <c r="E485" s="31"/>
      <c r="F485" s="216"/>
      <c r="G485" s="31"/>
      <c r="H485" s="217"/>
    </row>
    <row r="486" spans="1:8" x14ac:dyDescent="0.2">
      <c r="A486" s="26" t="s">
        <v>1130</v>
      </c>
      <c r="B486" s="26"/>
      <c r="C486" s="26" t="s">
        <v>4759</v>
      </c>
      <c r="D486" s="215" t="s">
        <v>4526</v>
      </c>
      <c r="E486" s="31">
        <v>677</v>
      </c>
      <c r="F486" s="216">
        <v>4.8499999999999996</v>
      </c>
      <c r="G486" s="31"/>
      <c r="H486" s="217"/>
    </row>
    <row r="487" spans="1:8" x14ac:dyDescent="0.2">
      <c r="A487" s="26"/>
      <c r="B487" s="26"/>
      <c r="C487" s="26" t="s">
        <v>4760</v>
      </c>
      <c r="D487" s="215" t="s">
        <v>4528</v>
      </c>
      <c r="E487" s="31">
        <v>2702</v>
      </c>
      <c r="F487" s="216">
        <v>19.350000000000001</v>
      </c>
      <c r="G487" s="31"/>
      <c r="H487" s="217"/>
    </row>
    <row r="488" spans="1:8" x14ac:dyDescent="0.2">
      <c r="A488" s="26"/>
      <c r="B488" s="26"/>
      <c r="C488" s="26" t="s">
        <v>4761</v>
      </c>
      <c r="D488" s="215" t="s">
        <v>4426</v>
      </c>
      <c r="E488" s="31">
        <v>2372</v>
      </c>
      <c r="F488" s="216">
        <v>16.98</v>
      </c>
      <c r="G488" s="31"/>
      <c r="H488" s="217"/>
    </row>
    <row r="489" spans="1:8" x14ac:dyDescent="0.2">
      <c r="A489" s="26"/>
      <c r="B489" s="26"/>
      <c r="C489" s="214" t="s">
        <v>4762</v>
      </c>
      <c r="D489" s="215" t="s">
        <v>1736</v>
      </c>
      <c r="E489" s="31">
        <v>8216</v>
      </c>
      <c r="F489" s="216">
        <v>58.82</v>
      </c>
      <c r="G489" s="31"/>
      <c r="H489" s="217"/>
    </row>
    <row r="490" spans="1:8" x14ac:dyDescent="0.2">
      <c r="A490" s="26"/>
      <c r="B490" s="26"/>
      <c r="C490" s="26" t="s">
        <v>2318</v>
      </c>
      <c r="D490" s="215"/>
      <c r="E490" s="218">
        <f>SUM(E486:E489)</f>
        <v>13967</v>
      </c>
      <c r="F490" s="219">
        <f>SUM(F486:F489)</f>
        <v>100</v>
      </c>
      <c r="G490" s="218">
        <v>23929</v>
      </c>
      <c r="H490" s="220">
        <v>58.37</v>
      </c>
    </row>
    <row r="491" spans="1:8" x14ac:dyDescent="0.2">
      <c r="A491" s="26"/>
      <c r="B491" s="26"/>
      <c r="C491" s="26" t="s">
        <v>2318</v>
      </c>
      <c r="D491" s="215"/>
      <c r="E491" s="31"/>
      <c r="F491" s="216"/>
      <c r="G491" s="31"/>
      <c r="H491" s="217"/>
    </row>
    <row r="492" spans="1:8" x14ac:dyDescent="0.2">
      <c r="A492" s="26" t="s">
        <v>1567</v>
      </c>
      <c r="B492" s="26"/>
      <c r="C492" s="26" t="s">
        <v>4763</v>
      </c>
      <c r="D492" s="215" t="s">
        <v>4426</v>
      </c>
      <c r="E492" s="31">
        <v>1442</v>
      </c>
      <c r="F492" s="216">
        <v>22.22</v>
      </c>
      <c r="G492" s="31"/>
      <c r="H492" s="217"/>
    </row>
    <row r="493" spans="1:8" x14ac:dyDescent="0.2">
      <c r="A493" s="26"/>
      <c r="B493" s="26"/>
      <c r="C493" s="26" t="s">
        <v>3085</v>
      </c>
      <c r="D493" s="225" t="s">
        <v>4528</v>
      </c>
      <c r="E493" s="224">
        <v>1214</v>
      </c>
      <c r="F493" s="226">
        <v>18.71</v>
      </c>
      <c r="G493" s="224"/>
      <c r="H493" s="217"/>
    </row>
    <row r="494" spans="1:8" x14ac:dyDescent="0.2">
      <c r="A494" s="26"/>
      <c r="B494" s="26"/>
      <c r="C494" s="214" t="s">
        <v>3266</v>
      </c>
      <c r="D494" s="215" t="s">
        <v>1736</v>
      </c>
      <c r="E494" s="31">
        <v>3834</v>
      </c>
      <c r="F494" s="217">
        <v>59.07</v>
      </c>
      <c r="G494" s="31"/>
      <c r="H494" s="217"/>
    </row>
    <row r="495" spans="1:8" x14ac:dyDescent="0.2">
      <c r="A495" s="26"/>
      <c r="B495" s="26"/>
      <c r="C495" s="26" t="s">
        <v>2318</v>
      </c>
      <c r="D495" s="215"/>
      <c r="E495" s="218">
        <f>SUM(E492:E494)</f>
        <v>6490</v>
      </c>
      <c r="F495" s="219">
        <f>SUM(F492:F494)</f>
        <v>100</v>
      </c>
      <c r="G495" s="218">
        <v>10488</v>
      </c>
      <c r="H495" s="220">
        <v>61.88</v>
      </c>
    </row>
    <row r="496" spans="1:8" x14ac:dyDescent="0.2">
      <c r="A496" s="26"/>
      <c r="B496" s="26"/>
      <c r="C496" s="26"/>
      <c r="D496" s="215"/>
      <c r="E496" s="31"/>
      <c r="F496" s="216"/>
      <c r="G496" s="31"/>
      <c r="H496" s="217"/>
    </row>
    <row r="497" spans="1:8" x14ac:dyDescent="0.2">
      <c r="A497" s="26"/>
      <c r="B497" s="26"/>
      <c r="C497" s="215"/>
      <c r="D497" s="215"/>
      <c r="E497" s="223"/>
      <c r="F497" s="217"/>
      <c r="G497" s="223"/>
      <c r="H497" s="217"/>
    </row>
    <row r="498" spans="1:8" x14ac:dyDescent="0.2">
      <c r="A498" s="145" t="s">
        <v>1131</v>
      </c>
      <c r="B498" s="145"/>
      <c r="C498" s="145"/>
      <c r="D498" s="146"/>
      <c r="E498" s="147" t="s">
        <v>759</v>
      </c>
      <c r="F498" s="148"/>
      <c r="G498" s="147">
        <f>SUM(G5:G497)</f>
        <v>1215400</v>
      </c>
      <c r="H498" s="148">
        <f>(944936+2708)/G498*100</f>
        <v>77.969721902254392</v>
      </c>
    </row>
    <row r="499" spans="1:8" x14ac:dyDescent="0.2">
      <c r="A499" s="77"/>
      <c r="B499" s="77"/>
      <c r="C499" s="77"/>
      <c r="D499" s="78"/>
      <c r="E499" s="88"/>
      <c r="F499" s="84"/>
      <c r="G499" s="88"/>
      <c r="H499" s="84"/>
    </row>
    <row r="500" spans="1:8" x14ac:dyDescent="0.2">
      <c r="A500" s="227" t="s">
        <v>1289</v>
      </c>
      <c r="B500" s="227"/>
      <c r="C500" s="228"/>
      <c r="D500" s="228"/>
      <c r="E500" s="229"/>
      <c r="F500" s="230"/>
      <c r="G500" s="231"/>
      <c r="H500" s="232"/>
    </row>
    <row r="501" spans="1:8" x14ac:dyDescent="0.2">
      <c r="A501" s="276" t="s">
        <v>2934</v>
      </c>
      <c r="B501" s="276"/>
      <c r="C501" s="276"/>
      <c r="D501" s="276"/>
      <c r="E501" s="276"/>
      <c r="F501" s="276"/>
      <c r="G501" s="276"/>
      <c r="H501" s="276"/>
    </row>
    <row r="502" spans="1:8" x14ac:dyDescent="0.2">
      <c r="A502" s="276" t="s">
        <v>4764</v>
      </c>
      <c r="B502" s="276"/>
      <c r="C502" s="276"/>
      <c r="D502" s="276"/>
      <c r="E502" s="276"/>
      <c r="F502" s="276"/>
      <c r="G502" s="276"/>
      <c r="H502" s="276"/>
    </row>
    <row r="503" spans="1:8" x14ac:dyDescent="0.2">
      <c r="A503" s="26" t="s">
        <v>4774</v>
      </c>
      <c r="B503" s="26"/>
      <c r="C503" s="26"/>
      <c r="D503" s="215"/>
      <c r="E503" s="31"/>
      <c r="F503" s="216"/>
      <c r="G503" s="31"/>
      <c r="H503" s="217"/>
    </row>
  </sheetData>
  <mergeCells count="4">
    <mergeCell ref="A1:H1"/>
    <mergeCell ref="F2:H2"/>
    <mergeCell ref="A501:H501"/>
    <mergeCell ref="A502:H50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zoomScaleNormal="100" workbookViewId="0">
      <pane ySplit="3" topLeftCell="A97" activePane="bottomLeft" state="frozen"/>
      <selection activeCell="G3" sqref="G3"/>
      <selection pane="bottomLeft" activeCell="G123" sqref="G123"/>
    </sheetView>
  </sheetViews>
  <sheetFormatPr defaultRowHeight="11.25" x14ac:dyDescent="0.2"/>
  <cols>
    <col min="1" max="1" width="20.7109375" style="1" customWidth="1"/>
    <col min="2" max="2" width="2.7109375" style="1" customWidth="1"/>
    <col min="3" max="3" width="20.7109375" style="1" customWidth="1"/>
    <col min="4" max="4" width="18.7109375" style="1" customWidth="1"/>
    <col min="5" max="5" width="9.7109375" style="16" customWidth="1"/>
    <col min="6" max="6" width="9.7109375" style="34" customWidth="1"/>
    <col min="7" max="7" width="8.7109375" style="21" customWidth="1"/>
    <col min="8" max="8" width="7.7109375" style="81" customWidth="1"/>
    <col min="9" max="16384" width="9.140625" style="1"/>
  </cols>
  <sheetData>
    <row r="1" spans="1:8" s="71" customFormat="1" ht="24" customHeight="1" x14ac:dyDescent="0.2">
      <c r="A1" s="270" t="s">
        <v>2332</v>
      </c>
      <c r="B1" s="270"/>
      <c r="C1" s="270"/>
      <c r="D1" s="270"/>
      <c r="E1" s="270"/>
      <c r="F1" s="270"/>
      <c r="G1" s="270"/>
      <c r="H1" s="270"/>
    </row>
    <row r="2" spans="1:8" s="37" customFormat="1" ht="42" customHeight="1" thickBot="1" x14ac:dyDescent="0.25">
      <c r="A2" s="36" t="s">
        <v>4782</v>
      </c>
      <c r="B2" s="36" t="s">
        <v>6373</v>
      </c>
      <c r="C2" s="36" t="s">
        <v>6870</v>
      </c>
      <c r="D2" s="75" t="s">
        <v>6871</v>
      </c>
      <c r="F2" s="271" t="s">
        <v>6374</v>
      </c>
      <c r="G2" s="271"/>
      <c r="H2" s="271"/>
    </row>
    <row r="3" spans="1:8" s="57" customFormat="1" ht="52.5" customHeight="1" thickBot="1" x14ac:dyDescent="0.25">
      <c r="A3" s="58" t="s">
        <v>1284</v>
      </c>
      <c r="B3" s="59"/>
      <c r="C3" s="59" t="s">
        <v>1285</v>
      </c>
      <c r="D3" s="59" t="s">
        <v>2652</v>
      </c>
      <c r="E3" s="73" t="s">
        <v>2653</v>
      </c>
      <c r="F3" s="74" t="s">
        <v>1286</v>
      </c>
      <c r="G3" s="73" t="s">
        <v>1287</v>
      </c>
      <c r="H3" s="74" t="s">
        <v>2656</v>
      </c>
    </row>
    <row r="4" spans="1:8" s="38" customFormat="1" ht="11.25" customHeight="1" x14ac:dyDescent="0.2">
      <c r="A4" s="62"/>
      <c r="B4" s="63"/>
      <c r="C4" s="63"/>
      <c r="D4" s="63"/>
      <c r="E4" s="64"/>
      <c r="F4" s="129"/>
      <c r="G4" s="64"/>
      <c r="H4" s="130"/>
    </row>
    <row r="5" spans="1:8" ht="11.25" customHeight="1" x14ac:dyDescent="0.2">
      <c r="A5" s="1" t="s">
        <v>3267</v>
      </c>
      <c r="C5" s="2" t="s">
        <v>6872</v>
      </c>
      <c r="D5" s="1" t="s">
        <v>1239</v>
      </c>
      <c r="E5" s="263">
        <v>771</v>
      </c>
    </row>
    <row r="6" spans="1:8" ht="11.25" customHeight="1" x14ac:dyDescent="0.2">
      <c r="C6" s="1" t="s">
        <v>6767</v>
      </c>
      <c r="D6" s="1" t="s">
        <v>1072</v>
      </c>
      <c r="E6" s="155">
        <v>422</v>
      </c>
      <c r="F6" s="156"/>
      <c r="G6" s="155" t="s">
        <v>6875</v>
      </c>
      <c r="H6" s="158"/>
    </row>
    <row r="7" spans="1:8" ht="11.25" customHeight="1" x14ac:dyDescent="0.2">
      <c r="G7" s="24"/>
    </row>
    <row r="8" spans="1:8" ht="11.25" customHeight="1" x14ac:dyDescent="0.2">
      <c r="A8" s="1" t="s">
        <v>2266</v>
      </c>
      <c r="C8" s="2" t="s">
        <v>6672</v>
      </c>
      <c r="D8" s="1" t="s">
        <v>1072</v>
      </c>
      <c r="E8" s="16">
        <v>230</v>
      </c>
      <c r="G8" s="24"/>
    </row>
    <row r="9" spans="1:8" ht="11.25" customHeight="1" x14ac:dyDescent="0.2">
      <c r="A9" s="264" t="s">
        <v>6873</v>
      </c>
      <c r="C9" s="1" t="s">
        <v>6820</v>
      </c>
      <c r="D9" s="1" t="s">
        <v>1072</v>
      </c>
      <c r="E9" s="16">
        <v>149</v>
      </c>
      <c r="G9" s="162"/>
    </row>
    <row r="10" spans="1:8" ht="11.25" customHeight="1" x14ac:dyDescent="0.2">
      <c r="A10" s="264"/>
      <c r="C10" s="1" t="s">
        <v>6874</v>
      </c>
      <c r="D10" s="1" t="s">
        <v>1239</v>
      </c>
      <c r="E10" s="16">
        <v>7</v>
      </c>
      <c r="G10" s="13">
        <v>620</v>
      </c>
    </row>
    <row r="11" spans="1:8" ht="11.25" customHeight="1" x14ac:dyDescent="0.2">
      <c r="E11" s="155"/>
      <c r="F11" s="156"/>
      <c r="H11" s="158"/>
    </row>
    <row r="12" spans="1:8" s="81" customFormat="1" ht="11.25" customHeight="1" x14ac:dyDescent="0.2">
      <c r="A12" s="1" t="s">
        <v>1086</v>
      </c>
      <c r="B12" s="1"/>
      <c r="C12" s="2" t="s">
        <v>6876</v>
      </c>
      <c r="D12" s="1" t="s">
        <v>1072</v>
      </c>
      <c r="E12" s="16">
        <v>2579</v>
      </c>
      <c r="F12" s="25"/>
      <c r="G12" s="21"/>
    </row>
    <row r="13" spans="1:8" s="81" customFormat="1" ht="11.25" customHeight="1" x14ac:dyDescent="0.2">
      <c r="A13" s="1"/>
      <c r="B13" s="1"/>
      <c r="C13" s="2" t="s">
        <v>6877</v>
      </c>
      <c r="D13" s="1" t="s">
        <v>1239</v>
      </c>
      <c r="E13" s="16">
        <v>2423</v>
      </c>
      <c r="F13" s="25"/>
      <c r="G13" s="21"/>
    </row>
    <row r="14" spans="1:8" s="81" customFormat="1" ht="11.25" customHeight="1" x14ac:dyDescent="0.2">
      <c r="A14" s="1"/>
      <c r="B14" s="1"/>
      <c r="C14" s="1" t="s">
        <v>6878</v>
      </c>
      <c r="D14" s="1" t="s">
        <v>1072</v>
      </c>
      <c r="E14" s="16">
        <v>1933</v>
      </c>
      <c r="F14" s="25"/>
      <c r="G14" s="21"/>
    </row>
    <row r="15" spans="1:8" s="81" customFormat="1" ht="11.25" customHeight="1" x14ac:dyDescent="0.2">
      <c r="A15" s="1"/>
      <c r="B15" s="1"/>
      <c r="C15" s="1" t="s">
        <v>6879</v>
      </c>
      <c r="D15" s="1" t="s">
        <v>1239</v>
      </c>
      <c r="E15" s="16">
        <v>1907</v>
      </c>
      <c r="F15" s="25"/>
      <c r="G15" s="21"/>
    </row>
    <row r="16" spans="1:8" s="81" customFormat="1" ht="11.25" customHeight="1" x14ac:dyDescent="0.2">
      <c r="A16" s="1"/>
      <c r="B16" s="1"/>
      <c r="C16" s="1" t="s">
        <v>6880</v>
      </c>
      <c r="D16" s="1" t="s">
        <v>6663</v>
      </c>
      <c r="E16" s="16">
        <v>747</v>
      </c>
      <c r="F16" s="25"/>
      <c r="G16" s="157" t="s">
        <v>6785</v>
      </c>
    </row>
    <row r="17" spans="1:7" s="81" customFormat="1" ht="11.25" customHeight="1" x14ac:dyDescent="0.2">
      <c r="A17" s="1"/>
      <c r="B17" s="1"/>
      <c r="C17" s="1"/>
      <c r="D17" s="1"/>
      <c r="E17" s="16"/>
      <c r="F17" s="25"/>
      <c r="G17" s="21"/>
    </row>
    <row r="18" spans="1:7" s="81" customFormat="1" ht="11.25" customHeight="1" x14ac:dyDescent="0.2">
      <c r="A18" s="1" t="s">
        <v>1125</v>
      </c>
      <c r="B18" s="1"/>
      <c r="C18" s="2" t="s">
        <v>6881</v>
      </c>
      <c r="D18" s="1" t="s">
        <v>1072</v>
      </c>
      <c r="E18" s="16">
        <v>1010</v>
      </c>
      <c r="F18" s="34"/>
      <c r="G18" s="21"/>
    </row>
    <row r="19" spans="1:7" s="81" customFormat="1" ht="11.25" customHeight="1" x14ac:dyDescent="0.2">
      <c r="A19" s="1"/>
      <c r="B19" s="1"/>
      <c r="C19" s="1" t="s">
        <v>6882</v>
      </c>
      <c r="D19" s="1" t="s">
        <v>1239</v>
      </c>
      <c r="E19" s="16">
        <v>821</v>
      </c>
      <c r="F19" s="34"/>
      <c r="G19" s="162">
        <v>2363</v>
      </c>
    </row>
    <row r="20" spans="1:7" s="81" customFormat="1" ht="11.25" customHeight="1" x14ac:dyDescent="0.2">
      <c r="A20" s="1"/>
      <c r="B20" s="1"/>
      <c r="C20" s="1"/>
      <c r="D20" s="1"/>
      <c r="E20" s="16"/>
      <c r="F20" s="34"/>
      <c r="G20" s="21"/>
    </row>
    <row r="21" spans="1:7" s="81" customFormat="1" ht="11.25" customHeight="1" x14ac:dyDescent="0.2">
      <c r="A21" s="1" t="s">
        <v>1427</v>
      </c>
      <c r="B21" s="1"/>
      <c r="C21" s="2" t="s">
        <v>6883</v>
      </c>
      <c r="D21" s="1" t="s">
        <v>1072</v>
      </c>
      <c r="E21" s="16">
        <v>521</v>
      </c>
      <c r="F21" s="34"/>
      <c r="G21" s="21"/>
    </row>
    <row r="22" spans="1:7" s="81" customFormat="1" ht="11.25" customHeight="1" x14ac:dyDescent="0.2">
      <c r="A22" s="1"/>
      <c r="B22" s="1"/>
      <c r="C22" s="1" t="s">
        <v>6884</v>
      </c>
      <c r="D22" s="1" t="s">
        <v>1239</v>
      </c>
      <c r="E22" s="16">
        <v>386</v>
      </c>
      <c r="F22" s="34"/>
      <c r="G22" s="155" t="s">
        <v>6885</v>
      </c>
    </row>
    <row r="23" spans="1:7" s="81" customFormat="1" ht="11.25" customHeight="1" x14ac:dyDescent="0.2">
      <c r="A23" s="1"/>
      <c r="B23" s="1"/>
      <c r="C23" s="1"/>
      <c r="D23" s="1"/>
      <c r="E23" s="16"/>
      <c r="F23" s="34"/>
      <c r="G23" s="21"/>
    </row>
    <row r="24" spans="1:7" s="81" customFormat="1" ht="11.25" customHeight="1" x14ac:dyDescent="0.2">
      <c r="A24" s="1" t="s">
        <v>6400</v>
      </c>
      <c r="B24" s="1"/>
      <c r="C24" s="2" t="s">
        <v>6886</v>
      </c>
      <c r="D24" s="1" t="s">
        <v>1072</v>
      </c>
      <c r="E24" s="16">
        <v>696</v>
      </c>
      <c r="F24" s="34"/>
      <c r="G24" s="21"/>
    </row>
    <row r="25" spans="1:7" s="81" customFormat="1" ht="11.25" customHeight="1" x14ac:dyDescent="0.2">
      <c r="A25" s="1"/>
      <c r="B25" s="1"/>
      <c r="C25" s="1" t="s">
        <v>6887</v>
      </c>
      <c r="D25" s="1" t="s">
        <v>1239</v>
      </c>
      <c r="E25" s="16">
        <v>429</v>
      </c>
      <c r="F25" s="34"/>
      <c r="G25" s="157" t="s">
        <v>6785</v>
      </c>
    </row>
    <row r="26" spans="1:7" s="81" customFormat="1" ht="11.25" customHeight="1" x14ac:dyDescent="0.2">
      <c r="A26" s="1"/>
      <c r="B26" s="1"/>
      <c r="C26" s="1"/>
      <c r="D26" s="1"/>
      <c r="E26" s="16"/>
      <c r="F26" s="34"/>
      <c r="G26" s="21"/>
    </row>
    <row r="27" spans="1:7" s="81" customFormat="1" ht="11.25" customHeight="1" x14ac:dyDescent="0.2">
      <c r="A27" s="1" t="s">
        <v>2012</v>
      </c>
      <c r="B27" s="1"/>
      <c r="C27" s="2" t="s">
        <v>6653</v>
      </c>
      <c r="D27" s="1" t="s">
        <v>1072</v>
      </c>
      <c r="E27" s="16">
        <v>627</v>
      </c>
      <c r="F27" s="34"/>
      <c r="G27" s="24"/>
    </row>
    <row r="28" spans="1:7" s="81" customFormat="1" ht="11.25" customHeight="1" x14ac:dyDescent="0.2">
      <c r="A28" s="1"/>
      <c r="B28" s="1"/>
      <c r="C28" s="1" t="s">
        <v>6888</v>
      </c>
      <c r="D28" s="1" t="s">
        <v>1239</v>
      </c>
      <c r="E28" s="16">
        <v>301</v>
      </c>
      <c r="F28" s="34"/>
      <c r="G28" s="162" t="s">
        <v>6889</v>
      </c>
    </row>
    <row r="29" spans="1:7" ht="11.25" customHeight="1" x14ac:dyDescent="0.2"/>
    <row r="30" spans="1:7" ht="11.25" customHeight="1" x14ac:dyDescent="0.2">
      <c r="A30" s="1" t="s">
        <v>369</v>
      </c>
      <c r="C30" s="2" t="s">
        <v>6890</v>
      </c>
      <c r="D30" s="1" t="s">
        <v>1072</v>
      </c>
      <c r="E30" s="16">
        <v>993</v>
      </c>
    </row>
    <row r="31" spans="1:7" ht="11.25" customHeight="1" x14ac:dyDescent="0.2">
      <c r="C31" s="1" t="s">
        <v>6891</v>
      </c>
      <c r="D31" s="1" t="s">
        <v>1239</v>
      </c>
      <c r="E31" s="16">
        <v>208</v>
      </c>
    </row>
    <row r="32" spans="1:7" ht="11.25" customHeight="1" x14ac:dyDescent="0.2">
      <c r="C32" s="1" t="s">
        <v>6892</v>
      </c>
      <c r="D32" s="1" t="s">
        <v>653</v>
      </c>
      <c r="E32" s="16">
        <v>156</v>
      </c>
      <c r="G32" s="162" t="s">
        <v>6893</v>
      </c>
    </row>
    <row r="33" spans="1:8" ht="11.25" customHeight="1" x14ac:dyDescent="0.2"/>
    <row r="34" spans="1:8" ht="11.25" customHeight="1" x14ac:dyDescent="0.2">
      <c r="A34" s="1" t="s">
        <v>1919</v>
      </c>
      <c r="C34" s="2" t="s">
        <v>6567</v>
      </c>
      <c r="D34" s="1" t="s">
        <v>1072</v>
      </c>
      <c r="E34" s="16">
        <v>3282</v>
      </c>
    </row>
    <row r="35" spans="1:8" ht="11.25" customHeight="1" x14ac:dyDescent="0.2">
      <c r="C35" s="2" t="s">
        <v>6894</v>
      </c>
      <c r="D35" s="1" t="s">
        <v>1072</v>
      </c>
      <c r="E35" s="16">
        <v>2977</v>
      </c>
    </row>
    <row r="36" spans="1:8" ht="11.25" customHeight="1" x14ac:dyDescent="0.2">
      <c r="C36" s="1" t="s">
        <v>6549</v>
      </c>
      <c r="D36" s="1" t="s">
        <v>1239</v>
      </c>
      <c r="E36" s="16">
        <v>1595</v>
      </c>
    </row>
    <row r="37" spans="1:8" ht="11.25" customHeight="1" x14ac:dyDescent="0.2">
      <c r="C37" s="1" t="s">
        <v>6895</v>
      </c>
      <c r="D37" s="1" t="s">
        <v>653</v>
      </c>
      <c r="E37" s="16">
        <v>348</v>
      </c>
      <c r="G37" s="157" t="s">
        <v>6785</v>
      </c>
    </row>
    <row r="38" spans="1:8" s="21" customFormat="1" ht="11.25" customHeight="1" x14ac:dyDescent="0.2">
      <c r="A38" s="1"/>
      <c r="B38" s="1"/>
      <c r="C38" s="1"/>
      <c r="D38" s="1"/>
      <c r="E38" s="16"/>
      <c r="F38" s="34"/>
      <c r="H38" s="81"/>
    </row>
    <row r="39" spans="1:8" ht="11.25" customHeight="1" x14ac:dyDescent="0.2">
      <c r="A39" s="1" t="s">
        <v>3265</v>
      </c>
      <c r="C39" s="2" t="s">
        <v>6896</v>
      </c>
      <c r="D39" s="1" t="s">
        <v>1072</v>
      </c>
      <c r="E39" s="16">
        <v>720</v>
      </c>
    </row>
    <row r="40" spans="1:8" ht="11.25" customHeight="1" x14ac:dyDescent="0.2">
      <c r="C40" s="1" t="s">
        <v>6897</v>
      </c>
      <c r="D40" s="1" t="s">
        <v>1239</v>
      </c>
      <c r="E40" s="16">
        <v>525</v>
      </c>
      <c r="G40" s="162" t="s">
        <v>6898</v>
      </c>
    </row>
    <row r="41" spans="1:8" ht="11.25" customHeight="1" x14ac:dyDescent="0.2">
      <c r="E41" s="27"/>
      <c r="F41" s="35"/>
      <c r="G41" s="151"/>
      <c r="H41" s="85"/>
    </row>
    <row r="42" spans="1:8" ht="11.25" customHeight="1" x14ac:dyDescent="0.2">
      <c r="A42" s="1" t="s">
        <v>6573</v>
      </c>
      <c r="C42" s="2" t="s">
        <v>6899</v>
      </c>
      <c r="D42" s="1" t="s">
        <v>1072</v>
      </c>
      <c r="E42" s="27">
        <v>604</v>
      </c>
      <c r="F42" s="35"/>
      <c r="G42" s="151"/>
      <c r="H42" s="85"/>
    </row>
    <row r="43" spans="1:8" ht="11.25" customHeight="1" x14ac:dyDescent="0.2">
      <c r="C43" s="1" t="s">
        <v>6900</v>
      </c>
      <c r="D43" s="1" t="s">
        <v>1239</v>
      </c>
      <c r="E43" s="27">
        <v>596</v>
      </c>
      <c r="F43" s="35"/>
      <c r="G43" s="157" t="s">
        <v>6785</v>
      </c>
      <c r="H43" s="85"/>
    </row>
    <row r="44" spans="1:8" ht="11.25" customHeight="1" x14ac:dyDescent="0.2">
      <c r="E44" s="27"/>
      <c r="F44" s="35"/>
      <c r="G44" s="151"/>
      <c r="H44" s="85"/>
    </row>
    <row r="45" spans="1:8" ht="11.25" customHeight="1" x14ac:dyDescent="0.2">
      <c r="A45" s="1" t="s">
        <v>1742</v>
      </c>
      <c r="C45" s="2" t="s">
        <v>6802</v>
      </c>
      <c r="D45" s="1" t="s">
        <v>1072</v>
      </c>
      <c r="E45" s="16">
        <v>519</v>
      </c>
    </row>
    <row r="46" spans="1:8" ht="11.25" customHeight="1" x14ac:dyDescent="0.2">
      <c r="C46" s="1" t="s">
        <v>6901</v>
      </c>
      <c r="D46" s="1" t="s">
        <v>1239</v>
      </c>
      <c r="E46" s="16">
        <v>452</v>
      </c>
      <c r="G46" s="19">
        <v>1340</v>
      </c>
    </row>
    <row r="47" spans="1:8" ht="11.25" customHeight="1" x14ac:dyDescent="0.2"/>
    <row r="48" spans="1:8" ht="11.25" customHeight="1" x14ac:dyDescent="0.2">
      <c r="A48" s="1" t="s">
        <v>1744</v>
      </c>
      <c r="C48" s="2" t="s">
        <v>6429</v>
      </c>
      <c r="D48" s="1" t="s">
        <v>1072</v>
      </c>
      <c r="E48" s="263" t="s">
        <v>1200</v>
      </c>
    </row>
    <row r="49" spans="1:8" ht="11.25" customHeight="1" x14ac:dyDescent="0.2">
      <c r="G49" s="24"/>
    </row>
    <row r="50" spans="1:8" ht="11.25" customHeight="1" x14ac:dyDescent="0.2">
      <c r="A50" s="1" t="s">
        <v>1</v>
      </c>
      <c r="C50" s="2" t="s">
        <v>6804</v>
      </c>
      <c r="D50" s="1" t="s">
        <v>1072</v>
      </c>
      <c r="E50" s="263" t="s">
        <v>1200</v>
      </c>
      <c r="F50" s="160"/>
      <c r="G50" s="159"/>
      <c r="H50" s="158"/>
    </row>
    <row r="51" spans="1:8" ht="11.25" customHeight="1" x14ac:dyDescent="0.2"/>
    <row r="52" spans="1:8" ht="11.25" customHeight="1" x14ac:dyDescent="0.2">
      <c r="A52" s="1" t="s">
        <v>1931</v>
      </c>
      <c r="C52" s="2" t="s">
        <v>6902</v>
      </c>
      <c r="D52" s="1" t="s">
        <v>1072</v>
      </c>
      <c r="E52" s="263" t="s">
        <v>1200</v>
      </c>
    </row>
    <row r="53" spans="1:8" ht="11.25" customHeight="1" x14ac:dyDescent="0.2">
      <c r="G53" s="24"/>
    </row>
    <row r="54" spans="1:8" ht="11.25" customHeight="1" x14ac:dyDescent="0.2">
      <c r="A54" s="1" t="s">
        <v>6681</v>
      </c>
      <c r="C54" s="2" t="s">
        <v>6904</v>
      </c>
      <c r="D54" s="1" t="s">
        <v>1072</v>
      </c>
      <c r="E54" s="263">
        <v>529</v>
      </c>
      <c r="G54" s="24"/>
    </row>
    <row r="55" spans="1:8" ht="11.25" customHeight="1" x14ac:dyDescent="0.2">
      <c r="C55" s="1" t="s">
        <v>6905</v>
      </c>
      <c r="D55" s="1" t="s">
        <v>1239</v>
      </c>
      <c r="E55" s="263">
        <v>456</v>
      </c>
      <c r="G55" s="24"/>
    </row>
    <row r="56" spans="1:8" ht="11.25" customHeight="1" x14ac:dyDescent="0.2">
      <c r="C56" s="1" t="s">
        <v>6906</v>
      </c>
      <c r="D56" s="1" t="s">
        <v>1918</v>
      </c>
      <c r="E56" s="263">
        <v>214</v>
      </c>
      <c r="G56" s="24">
        <v>1698</v>
      </c>
    </row>
    <row r="57" spans="1:8" ht="11.25" customHeight="1" x14ac:dyDescent="0.2"/>
    <row r="58" spans="1:8" ht="11.25" customHeight="1" x14ac:dyDescent="0.2">
      <c r="A58" s="1" t="s">
        <v>6903</v>
      </c>
      <c r="C58" s="2" t="s">
        <v>6907</v>
      </c>
      <c r="D58" s="1" t="s">
        <v>1548</v>
      </c>
      <c r="E58" s="155">
        <v>791</v>
      </c>
      <c r="F58" s="160"/>
      <c r="G58" s="157"/>
      <c r="H58" s="158"/>
    </row>
    <row r="59" spans="1:8" ht="11.25" customHeight="1" x14ac:dyDescent="0.2">
      <c r="C59" s="1" t="s">
        <v>6908</v>
      </c>
      <c r="D59" s="1" t="s">
        <v>1072</v>
      </c>
      <c r="E59" s="27">
        <v>620</v>
      </c>
      <c r="F59" s="261"/>
      <c r="G59" s="151">
        <v>2050</v>
      </c>
      <c r="H59" s="85"/>
    </row>
    <row r="60" spans="1:8" ht="11.25" customHeight="1" x14ac:dyDescent="0.2"/>
    <row r="61" spans="1:8" ht="11.25" customHeight="1" x14ac:dyDescent="0.2">
      <c r="A61" s="1" t="s">
        <v>1752</v>
      </c>
      <c r="C61" s="2" t="s">
        <v>6909</v>
      </c>
      <c r="D61" s="1" t="s">
        <v>1072</v>
      </c>
      <c r="E61" s="16">
        <v>342</v>
      </c>
    </row>
    <row r="62" spans="1:8" ht="11.25" customHeight="1" x14ac:dyDescent="0.2">
      <c r="C62" s="1" t="s">
        <v>6910</v>
      </c>
      <c r="D62" s="1" t="s">
        <v>1239</v>
      </c>
      <c r="E62" s="16">
        <v>327</v>
      </c>
      <c r="G62" s="162" t="s">
        <v>6911</v>
      </c>
    </row>
    <row r="63" spans="1:8" ht="11.25" customHeight="1" x14ac:dyDescent="0.2"/>
    <row r="64" spans="1:8" ht="11.25" customHeight="1" x14ac:dyDescent="0.2">
      <c r="A64" s="1" t="s">
        <v>2300</v>
      </c>
      <c r="C64" s="2" t="s">
        <v>6912</v>
      </c>
      <c r="D64" s="1" t="s">
        <v>1072</v>
      </c>
      <c r="E64" s="263">
        <v>1249</v>
      </c>
    </row>
    <row r="65" spans="1:7" ht="11.25" customHeight="1" x14ac:dyDescent="0.2">
      <c r="C65" s="1" t="s">
        <v>6913</v>
      </c>
      <c r="D65" s="1" t="s">
        <v>1239</v>
      </c>
      <c r="E65" s="263">
        <v>494</v>
      </c>
      <c r="G65" s="162" t="s">
        <v>6914</v>
      </c>
    </row>
    <row r="66" spans="1:7" ht="11.25" customHeight="1" x14ac:dyDescent="0.2"/>
    <row r="67" spans="1:7" ht="11.25" customHeight="1" x14ac:dyDescent="0.2">
      <c r="A67" s="1" t="s">
        <v>6443</v>
      </c>
      <c r="C67" s="2" t="s">
        <v>6814</v>
      </c>
      <c r="D67" s="1" t="s">
        <v>1072</v>
      </c>
      <c r="E67" s="16">
        <v>439</v>
      </c>
    </row>
    <row r="68" spans="1:7" ht="11.25" customHeight="1" x14ac:dyDescent="0.2">
      <c r="C68" s="1" t="s">
        <v>6915</v>
      </c>
      <c r="D68" s="1" t="s">
        <v>1239</v>
      </c>
      <c r="E68" s="16">
        <v>361</v>
      </c>
      <c r="G68" s="19" t="s">
        <v>6916</v>
      </c>
    </row>
    <row r="69" spans="1:7" ht="11.25" customHeight="1" x14ac:dyDescent="0.2"/>
    <row r="70" spans="1:7" ht="11.25" customHeight="1" x14ac:dyDescent="0.2">
      <c r="A70" s="1" t="s">
        <v>6447</v>
      </c>
      <c r="C70" s="2" t="s">
        <v>6688</v>
      </c>
      <c r="D70" s="1" t="s">
        <v>1239</v>
      </c>
      <c r="E70" s="16">
        <v>524</v>
      </c>
    </row>
    <row r="71" spans="1:7" ht="11.25" customHeight="1" x14ac:dyDescent="0.2">
      <c r="C71" s="1" t="s">
        <v>6917</v>
      </c>
      <c r="D71" s="1" t="s">
        <v>1072</v>
      </c>
      <c r="E71" s="16">
        <v>407</v>
      </c>
      <c r="G71" s="265" t="s">
        <v>6918</v>
      </c>
    </row>
    <row r="72" spans="1:7" ht="11.25" customHeight="1" x14ac:dyDescent="0.2">
      <c r="G72" s="24"/>
    </row>
    <row r="73" spans="1:7" ht="11.25" customHeight="1" x14ac:dyDescent="0.2">
      <c r="A73" s="1" t="s">
        <v>1241</v>
      </c>
      <c r="C73" s="2" t="s">
        <v>6919</v>
      </c>
      <c r="D73" s="1" t="s">
        <v>1072</v>
      </c>
      <c r="E73" s="16">
        <v>760</v>
      </c>
      <c r="G73" s="24"/>
    </row>
    <row r="74" spans="1:7" ht="11.25" customHeight="1" x14ac:dyDescent="0.2">
      <c r="C74" s="1" t="s">
        <v>6920</v>
      </c>
      <c r="D74" s="1" t="s">
        <v>1239</v>
      </c>
      <c r="E74" s="16">
        <v>416</v>
      </c>
      <c r="G74" s="24">
        <v>1668</v>
      </c>
    </row>
    <row r="75" spans="1:7" ht="11.25" customHeight="1" x14ac:dyDescent="0.2"/>
    <row r="76" spans="1:7" ht="11.25" customHeight="1" x14ac:dyDescent="0.2">
      <c r="A76" s="1" t="s">
        <v>6921</v>
      </c>
      <c r="C76" s="2" t="s">
        <v>6622</v>
      </c>
      <c r="D76" s="1" t="s">
        <v>1072</v>
      </c>
      <c r="E76" s="263" t="s">
        <v>1200</v>
      </c>
    </row>
    <row r="77" spans="1:7" ht="11.25" customHeight="1" x14ac:dyDescent="0.2"/>
    <row r="78" spans="1:7" ht="11.25" customHeight="1" x14ac:dyDescent="0.2">
      <c r="A78" s="1" t="s">
        <v>415</v>
      </c>
      <c r="C78" s="2" t="s">
        <v>6556</v>
      </c>
      <c r="D78" s="1" t="s">
        <v>1072</v>
      </c>
      <c r="E78" s="263" t="s">
        <v>1200</v>
      </c>
    </row>
    <row r="79" spans="1:7" ht="11.25" customHeight="1" x14ac:dyDescent="0.2">
      <c r="G79" s="24"/>
    </row>
    <row r="80" spans="1:7" ht="11.25" customHeight="1" x14ac:dyDescent="0.2">
      <c r="A80" s="1" t="s">
        <v>718</v>
      </c>
      <c r="C80" s="2" t="s">
        <v>6922</v>
      </c>
      <c r="D80" s="1" t="s">
        <v>1072</v>
      </c>
      <c r="E80" s="263" t="s">
        <v>1200</v>
      </c>
      <c r="G80" s="24"/>
    </row>
    <row r="81" spans="1:8" ht="11.25" customHeight="1" x14ac:dyDescent="0.2">
      <c r="E81" s="1"/>
    </row>
    <row r="82" spans="1:8" ht="11.25" customHeight="1" x14ac:dyDescent="0.2">
      <c r="A82" s="1" t="s">
        <v>794</v>
      </c>
      <c r="C82" s="2" t="s">
        <v>6923</v>
      </c>
      <c r="D82" s="1" t="s">
        <v>1072</v>
      </c>
      <c r="E82" s="16">
        <v>560</v>
      </c>
    </row>
    <row r="83" spans="1:8" ht="11.25" customHeight="1" x14ac:dyDescent="0.2">
      <c r="C83" s="1" t="s">
        <v>6924</v>
      </c>
      <c r="D83" s="1" t="s">
        <v>1239</v>
      </c>
      <c r="E83" s="16">
        <v>418</v>
      </c>
      <c r="G83" s="21">
        <v>1301</v>
      </c>
    </row>
    <row r="84" spans="1:8" ht="11.25" customHeight="1" x14ac:dyDescent="0.2"/>
    <row r="85" spans="1:8" ht="11.25" customHeight="1" x14ac:dyDescent="0.2">
      <c r="A85" s="1" t="s">
        <v>2340</v>
      </c>
      <c r="C85" s="2" t="s">
        <v>6926</v>
      </c>
      <c r="D85" s="1" t="s">
        <v>1072</v>
      </c>
      <c r="E85" s="16">
        <v>466</v>
      </c>
      <c r="H85" s="158"/>
    </row>
    <row r="86" spans="1:8" ht="11.25" customHeight="1" x14ac:dyDescent="0.2">
      <c r="C86" s="1" t="s">
        <v>6927</v>
      </c>
      <c r="D86" s="1" t="s">
        <v>1239</v>
      </c>
      <c r="E86" s="16">
        <v>229</v>
      </c>
      <c r="G86" s="21">
        <v>1026</v>
      </c>
      <c r="H86" s="85"/>
    </row>
    <row r="87" spans="1:8" ht="11.25" customHeight="1" x14ac:dyDescent="0.2"/>
    <row r="88" spans="1:8" ht="11.25" customHeight="1" x14ac:dyDescent="0.2">
      <c r="A88" s="1" t="s">
        <v>2341</v>
      </c>
      <c r="C88" s="2" t="s">
        <v>6701</v>
      </c>
      <c r="D88" s="1" t="s">
        <v>1239</v>
      </c>
      <c r="E88" s="16">
        <v>657</v>
      </c>
    </row>
    <row r="89" spans="1:8" ht="11.25" customHeight="1" x14ac:dyDescent="0.2">
      <c r="C89" s="1" t="s">
        <v>6928</v>
      </c>
      <c r="D89" s="1" t="s">
        <v>1072</v>
      </c>
      <c r="E89" s="16">
        <v>494</v>
      </c>
    </row>
    <row r="90" spans="1:8" ht="11.25" customHeight="1" x14ac:dyDescent="0.2">
      <c r="C90" s="1" t="s">
        <v>6929</v>
      </c>
      <c r="D90" s="1" t="s">
        <v>653</v>
      </c>
      <c r="E90" s="16">
        <v>130</v>
      </c>
      <c r="G90" s="21">
        <v>1728</v>
      </c>
    </row>
    <row r="91" spans="1:8" ht="11.25" customHeight="1" x14ac:dyDescent="0.2"/>
    <row r="92" spans="1:8" ht="11.25" customHeight="1" x14ac:dyDescent="0.2">
      <c r="A92" s="1" t="s">
        <v>810</v>
      </c>
      <c r="C92" s="1" t="s">
        <v>6930</v>
      </c>
      <c r="D92" s="1" t="s">
        <v>6663</v>
      </c>
      <c r="E92" s="263">
        <v>555</v>
      </c>
    </row>
    <row r="93" spans="1:8" ht="11.25" customHeight="1" x14ac:dyDescent="0.2">
      <c r="C93" s="1" t="s">
        <v>6931</v>
      </c>
      <c r="D93" s="1" t="s">
        <v>1548</v>
      </c>
      <c r="E93" s="263">
        <v>520</v>
      </c>
    </row>
    <row r="94" spans="1:8" ht="11.25" customHeight="1" x14ac:dyDescent="0.2">
      <c r="C94" s="1" t="s">
        <v>6932</v>
      </c>
      <c r="D94" s="1" t="s">
        <v>1239</v>
      </c>
      <c r="E94" s="263">
        <v>392</v>
      </c>
      <c r="G94" s="266" t="s">
        <v>6785</v>
      </c>
    </row>
    <row r="95" spans="1:8" ht="11.25" customHeight="1" x14ac:dyDescent="0.2">
      <c r="E95" s="27"/>
      <c r="F95" s="35"/>
      <c r="G95" s="151"/>
      <c r="H95" s="85"/>
    </row>
    <row r="96" spans="1:8" ht="11.25" customHeight="1" x14ac:dyDescent="0.2">
      <c r="A96" s="1" t="s">
        <v>1385</v>
      </c>
      <c r="C96" s="2" t="s">
        <v>6933</v>
      </c>
      <c r="D96" s="1" t="s">
        <v>1072</v>
      </c>
      <c r="E96" s="263" t="s">
        <v>1200</v>
      </c>
      <c r="F96" s="262"/>
    </row>
    <row r="97" spans="1:8" ht="11.25" customHeight="1" x14ac:dyDescent="0.2"/>
    <row r="98" spans="1:8" ht="11.25" customHeight="1" x14ac:dyDescent="0.2">
      <c r="A98" s="1" t="s">
        <v>446</v>
      </c>
      <c r="C98" s="2" t="s">
        <v>6934</v>
      </c>
      <c r="D98" s="1" t="s">
        <v>1072</v>
      </c>
      <c r="E98" s="16">
        <v>528</v>
      </c>
      <c r="G98" s="24"/>
    </row>
    <row r="99" spans="1:8" ht="11.25" customHeight="1" x14ac:dyDescent="0.2">
      <c r="C99" s="1" t="s">
        <v>6935</v>
      </c>
      <c r="D99" s="1" t="s">
        <v>1072</v>
      </c>
      <c r="E99" s="16">
        <v>393</v>
      </c>
      <c r="G99" s="24"/>
    </row>
    <row r="100" spans="1:8" ht="11.25" customHeight="1" x14ac:dyDescent="0.2">
      <c r="C100" s="1" t="s">
        <v>6936</v>
      </c>
      <c r="D100" s="1" t="s">
        <v>1239</v>
      </c>
      <c r="E100" s="16">
        <v>115</v>
      </c>
      <c r="G100" s="263" t="s">
        <v>6785</v>
      </c>
    </row>
    <row r="101" spans="1:8" ht="11.25" customHeight="1" x14ac:dyDescent="0.2"/>
    <row r="102" spans="1:8" ht="11.25" customHeight="1" x14ac:dyDescent="0.2">
      <c r="A102" s="1" t="s">
        <v>1552</v>
      </c>
      <c r="C102" s="2" t="s">
        <v>6937</v>
      </c>
      <c r="D102" s="1" t="s">
        <v>1072</v>
      </c>
      <c r="E102" s="16">
        <v>873</v>
      </c>
    </row>
    <row r="103" spans="1:8" ht="11.25" customHeight="1" x14ac:dyDescent="0.2">
      <c r="C103" s="1" t="s">
        <v>6938</v>
      </c>
      <c r="D103" s="1" t="s">
        <v>1239</v>
      </c>
      <c r="E103" s="16">
        <v>352</v>
      </c>
      <c r="G103" s="19" t="s">
        <v>6939</v>
      </c>
    </row>
    <row r="104" spans="1:8" ht="11.25" customHeight="1" x14ac:dyDescent="0.2"/>
    <row r="105" spans="1:8" ht="11.25" customHeight="1" x14ac:dyDescent="0.2">
      <c r="A105" s="1" t="s">
        <v>2545</v>
      </c>
      <c r="C105" s="2" t="s">
        <v>6940</v>
      </c>
      <c r="D105" s="1" t="s">
        <v>1072</v>
      </c>
      <c r="E105" s="16">
        <v>398</v>
      </c>
    </row>
    <row r="106" spans="1:8" ht="11.25" customHeight="1" x14ac:dyDescent="0.2">
      <c r="C106" s="1" t="s">
        <v>6941</v>
      </c>
      <c r="D106" s="1" t="s">
        <v>653</v>
      </c>
      <c r="E106" s="16">
        <v>250</v>
      </c>
    </row>
    <row r="107" spans="1:8" ht="11.25" customHeight="1" x14ac:dyDescent="0.2">
      <c r="C107" s="1" t="s">
        <v>6942</v>
      </c>
      <c r="D107" s="1" t="s">
        <v>653</v>
      </c>
      <c r="E107" s="16">
        <v>154</v>
      </c>
    </row>
    <row r="108" spans="1:8" ht="11.25" customHeight="1" x14ac:dyDescent="0.2">
      <c r="C108" s="1" t="s">
        <v>6943</v>
      </c>
      <c r="D108" s="1" t="s">
        <v>1239</v>
      </c>
      <c r="E108" s="16">
        <v>108</v>
      </c>
      <c r="G108" s="19" t="s">
        <v>6944</v>
      </c>
    </row>
    <row r="109" spans="1:8" ht="11.25" customHeight="1" x14ac:dyDescent="0.2">
      <c r="E109" s="27"/>
      <c r="F109" s="35"/>
      <c r="G109" s="13"/>
      <c r="H109" s="85"/>
    </row>
    <row r="110" spans="1:8" ht="11.25" customHeight="1" x14ac:dyDescent="0.2">
      <c r="A110" s="1" t="s">
        <v>1470</v>
      </c>
      <c r="C110" s="2" t="s">
        <v>6945</v>
      </c>
      <c r="D110" s="1" t="s">
        <v>1072</v>
      </c>
      <c r="E110" s="263" t="s">
        <v>1200</v>
      </c>
    </row>
    <row r="111" spans="1:8" s="81" customFormat="1" ht="11.25" customHeight="1" x14ac:dyDescent="0.2">
      <c r="A111" s="1"/>
      <c r="B111" s="1"/>
      <c r="C111" s="1"/>
      <c r="D111" s="1"/>
      <c r="E111" s="16"/>
      <c r="F111" s="34"/>
      <c r="G111" s="21"/>
    </row>
    <row r="112" spans="1:8" s="81" customFormat="1" ht="11.25" customHeight="1" x14ac:dyDescent="0.2">
      <c r="A112" s="1" t="s">
        <v>2283</v>
      </c>
      <c r="B112" s="1"/>
      <c r="C112" s="2" t="s">
        <v>6946</v>
      </c>
      <c r="D112" s="1" t="s">
        <v>1072</v>
      </c>
      <c r="E112" s="16">
        <v>1249</v>
      </c>
      <c r="F112" s="34"/>
      <c r="G112" s="21"/>
    </row>
    <row r="113" spans="1:8" s="81" customFormat="1" ht="11.25" customHeight="1" x14ac:dyDescent="0.2">
      <c r="A113" s="1"/>
      <c r="B113" s="1"/>
      <c r="C113" s="1" t="s">
        <v>6947</v>
      </c>
      <c r="D113" s="1" t="s">
        <v>1239</v>
      </c>
      <c r="E113" s="16">
        <v>470</v>
      </c>
      <c r="F113" s="34"/>
      <c r="G113" s="19" t="s">
        <v>6948</v>
      </c>
    </row>
    <row r="114" spans="1:8" s="81" customFormat="1" ht="11.25" customHeight="1" x14ac:dyDescent="0.2">
      <c r="A114" s="1"/>
      <c r="B114" s="1"/>
      <c r="C114" s="1"/>
      <c r="D114" s="1"/>
      <c r="E114" s="16"/>
      <c r="F114" s="34"/>
      <c r="G114" s="24"/>
    </row>
    <row r="115" spans="1:8" s="81" customFormat="1" ht="11.25" customHeight="1" x14ac:dyDescent="0.2">
      <c r="A115" s="1" t="s">
        <v>1309</v>
      </c>
      <c r="B115" s="1"/>
      <c r="C115" s="2" t="s">
        <v>6949</v>
      </c>
      <c r="D115" s="1" t="s">
        <v>1072</v>
      </c>
      <c r="E115" s="16">
        <v>919</v>
      </c>
      <c r="F115" s="34"/>
      <c r="G115" s="24"/>
    </row>
    <row r="116" spans="1:8" s="81" customFormat="1" ht="11.25" customHeight="1" x14ac:dyDescent="0.2">
      <c r="A116" s="1"/>
      <c r="B116" s="1"/>
      <c r="C116" s="1" t="s">
        <v>6950</v>
      </c>
      <c r="D116" s="1" t="s">
        <v>1239</v>
      </c>
      <c r="E116" s="16">
        <v>462</v>
      </c>
      <c r="F116" s="34"/>
      <c r="G116" s="16" t="s">
        <v>6951</v>
      </c>
    </row>
    <row r="117" spans="1:8" s="81" customFormat="1" ht="11.25" customHeight="1" x14ac:dyDescent="0.2">
      <c r="A117" s="1"/>
      <c r="B117" s="1"/>
      <c r="C117" s="1"/>
      <c r="D117" s="1"/>
      <c r="E117" s="16"/>
      <c r="F117" s="34"/>
      <c r="G117" s="21"/>
    </row>
    <row r="118" spans="1:8" s="81" customFormat="1" ht="11.25" customHeight="1" x14ac:dyDescent="0.2">
      <c r="A118" s="1" t="s">
        <v>1492</v>
      </c>
      <c r="B118" s="1"/>
      <c r="C118" s="2" t="s">
        <v>6488</v>
      </c>
      <c r="D118" s="1" t="s">
        <v>1072</v>
      </c>
      <c r="E118" s="263" t="s">
        <v>1200</v>
      </c>
      <c r="F118" s="34"/>
      <c r="G118" s="21"/>
    </row>
    <row r="119" spans="1:8" s="81" customFormat="1" ht="11.25" customHeight="1" x14ac:dyDescent="0.2">
      <c r="A119" s="1"/>
      <c r="B119" s="1"/>
      <c r="C119" s="1"/>
      <c r="D119" s="1"/>
      <c r="E119" s="16"/>
      <c r="F119" s="34"/>
      <c r="G119" s="21"/>
    </row>
    <row r="120" spans="1:8" s="81" customFormat="1" ht="11.25" customHeight="1" x14ac:dyDescent="0.2">
      <c r="A120" s="1" t="s">
        <v>1311</v>
      </c>
      <c r="B120" s="1"/>
      <c r="C120" s="2" t="s">
        <v>6865</v>
      </c>
      <c r="D120" s="1" t="s">
        <v>1072</v>
      </c>
      <c r="E120" s="16">
        <v>713</v>
      </c>
      <c r="F120" s="34"/>
      <c r="G120" s="21"/>
    </row>
    <row r="121" spans="1:8" s="81" customFormat="1" ht="11.25" customHeight="1" x14ac:dyDescent="0.2">
      <c r="A121" s="1"/>
      <c r="B121" s="1"/>
      <c r="C121" s="1" t="s">
        <v>6952</v>
      </c>
      <c r="D121" s="1" t="s">
        <v>1239</v>
      </c>
      <c r="E121" s="16">
        <v>479</v>
      </c>
      <c r="F121" s="34"/>
      <c r="G121" s="19" t="s">
        <v>6953</v>
      </c>
    </row>
    <row r="122" spans="1:8" ht="11.25" customHeight="1" x14ac:dyDescent="0.2">
      <c r="F122" s="35"/>
      <c r="G122" s="24"/>
    </row>
    <row r="123" spans="1:8" ht="11.25" customHeight="1" x14ac:dyDescent="0.2">
      <c r="A123" s="22" t="s">
        <v>1131</v>
      </c>
      <c r="B123" s="22"/>
      <c r="C123" s="22"/>
      <c r="D123" s="22"/>
      <c r="E123" s="33" t="s">
        <v>766</v>
      </c>
      <c r="F123" s="39"/>
      <c r="G123" s="23">
        <f>SUM(G5:G121)</f>
        <v>13794</v>
      </c>
      <c r="H123" s="120">
        <f>(188219+7707)/G123*100</f>
        <v>1420.3711758735683</v>
      </c>
    </row>
    <row r="124" spans="1:8" ht="11.25" customHeight="1" x14ac:dyDescent="0.2"/>
    <row r="125" spans="1:8" s="5" customFormat="1" ht="11.25" customHeight="1" x14ac:dyDescent="0.2">
      <c r="A125" s="6" t="s">
        <v>1289</v>
      </c>
      <c r="B125" s="6"/>
      <c r="C125" s="8"/>
      <c r="D125" s="8"/>
      <c r="E125" s="137"/>
      <c r="F125" s="138"/>
      <c r="G125" s="139"/>
      <c r="H125" s="82"/>
    </row>
    <row r="126" spans="1:8" s="143" customFormat="1" ht="33.75" customHeight="1" x14ac:dyDescent="0.2">
      <c r="A126" s="272" t="s">
        <v>2651</v>
      </c>
      <c r="B126" s="272"/>
      <c r="C126" s="272"/>
      <c r="D126" s="272"/>
      <c r="E126" s="272"/>
      <c r="F126" s="272"/>
      <c r="G126" s="272"/>
      <c r="H126" s="272"/>
    </row>
    <row r="127" spans="1:8" s="26" customFormat="1" ht="11.25" customHeight="1" x14ac:dyDescent="0.2">
      <c r="A127" s="273" t="s">
        <v>1288</v>
      </c>
      <c r="B127" s="273"/>
      <c r="C127" s="273"/>
      <c r="D127" s="273"/>
      <c r="E127" s="273"/>
      <c r="F127" s="273"/>
      <c r="G127" s="273"/>
      <c r="H127" s="273"/>
    </row>
    <row r="128" spans="1:8" s="26" customFormat="1" ht="11.25" customHeight="1" x14ac:dyDescent="0.2">
      <c r="A128" s="274" t="s">
        <v>2654</v>
      </c>
      <c r="B128" s="274"/>
      <c r="C128" s="274"/>
      <c r="D128" s="274"/>
      <c r="E128" s="274"/>
      <c r="F128" s="274"/>
      <c r="G128" s="274"/>
      <c r="H128" s="274"/>
    </row>
    <row r="129" spans="1:8" s="26" customFormat="1" ht="11.25" customHeight="1" x14ac:dyDescent="0.2">
      <c r="A129" s="273" t="s">
        <v>2655</v>
      </c>
      <c r="B129" s="273"/>
      <c r="C129" s="273"/>
      <c r="D129" s="273"/>
      <c r="E129" s="273"/>
      <c r="F129" s="273"/>
      <c r="G129" s="273"/>
      <c r="H129" s="273"/>
    </row>
    <row r="130" spans="1:8" ht="11.25" customHeight="1" x14ac:dyDescent="0.2"/>
  </sheetData>
  <mergeCells count="6">
    <mergeCell ref="A129:H129"/>
    <mergeCell ref="A1:H1"/>
    <mergeCell ref="F2:H2"/>
    <mergeCell ref="A126:H126"/>
    <mergeCell ref="A127:H127"/>
    <mergeCell ref="A128:H128"/>
  </mergeCells>
  <pageMargins left="0.5" right="0.16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3"/>
  <sheetViews>
    <sheetView zoomScaleNormal="100" workbookViewId="0">
      <pane ySplit="3" topLeftCell="A4" activePane="bottomLeft" state="frozen"/>
      <selection activeCell="G3" sqref="G3"/>
      <selection pane="bottomLeft" activeCell="H3" sqref="H3"/>
    </sheetView>
  </sheetViews>
  <sheetFormatPr defaultRowHeight="11.25" x14ac:dyDescent="0.2"/>
  <cols>
    <col min="1" max="1" width="20.7109375" style="1" customWidth="1"/>
    <col min="2" max="2" width="2.7109375" style="1" customWidth="1"/>
    <col min="3" max="3" width="20.7109375" style="1" customWidth="1"/>
    <col min="4" max="4" width="19" style="4" customWidth="1"/>
    <col min="5" max="5" width="9.7109375" style="16" customWidth="1"/>
    <col min="6" max="6" width="9.7109375" style="81" customWidth="1"/>
    <col min="7" max="7" width="8.7109375" style="16" customWidth="1"/>
    <col min="8" max="8" width="7.7109375" style="82" customWidth="1"/>
    <col min="9" max="16384" width="9.140625" style="1"/>
  </cols>
  <sheetData>
    <row r="1" spans="1:9" s="71" customFormat="1" ht="24" customHeight="1" x14ac:dyDescent="0.2">
      <c r="A1" s="270" t="s">
        <v>2332</v>
      </c>
      <c r="B1" s="270"/>
      <c r="C1" s="270"/>
      <c r="D1" s="270"/>
      <c r="E1" s="270"/>
      <c r="F1" s="270"/>
      <c r="G1" s="270"/>
      <c r="H1" s="270"/>
      <c r="I1" s="72"/>
    </row>
    <row r="2" spans="1:9" ht="42" customHeight="1" thickBot="1" x14ac:dyDescent="0.25">
      <c r="A2" s="36" t="s">
        <v>3258</v>
      </c>
      <c r="B2" s="36"/>
      <c r="C2" s="36"/>
      <c r="D2" s="75" t="s">
        <v>407</v>
      </c>
      <c r="E2" s="89"/>
      <c r="F2" s="271" t="s">
        <v>2933</v>
      </c>
      <c r="G2" s="271"/>
      <c r="H2" s="271"/>
    </row>
    <row r="3" spans="1:9" s="57" customFormat="1" ht="52.5" customHeight="1" thickBot="1" x14ac:dyDescent="0.25">
      <c r="A3" s="58" t="s">
        <v>1284</v>
      </c>
      <c r="B3" s="59"/>
      <c r="C3" s="59" t="s">
        <v>1300</v>
      </c>
      <c r="D3" s="59" t="s">
        <v>2652</v>
      </c>
      <c r="E3" s="73" t="s">
        <v>1301</v>
      </c>
      <c r="F3" s="74" t="s">
        <v>1286</v>
      </c>
      <c r="G3" s="73" t="s">
        <v>1287</v>
      </c>
      <c r="H3" s="74" t="s">
        <v>1302</v>
      </c>
    </row>
    <row r="4" spans="1:9" s="20" customFormat="1" ht="11.25" customHeight="1" x14ac:dyDescent="0.2">
      <c r="A4" s="60"/>
      <c r="B4" s="60"/>
      <c r="C4" s="61"/>
      <c r="D4" s="66"/>
      <c r="E4" s="87"/>
      <c r="F4" s="80"/>
      <c r="G4" s="87"/>
      <c r="H4" s="80"/>
    </row>
    <row r="5" spans="1:9" ht="11.25" customHeight="1" x14ac:dyDescent="0.2">
      <c r="A5" s="1" t="s">
        <v>2266</v>
      </c>
      <c r="C5" s="2" t="s">
        <v>1756</v>
      </c>
      <c r="D5" s="4" t="s">
        <v>1736</v>
      </c>
      <c r="E5" s="16">
        <v>5342</v>
      </c>
      <c r="F5" s="81">
        <v>57.07</v>
      </c>
    </row>
    <row r="6" spans="1:9" ht="11.25" customHeight="1" x14ac:dyDescent="0.2">
      <c r="C6" s="1" t="s">
        <v>196</v>
      </c>
      <c r="D6" s="4" t="s">
        <v>655</v>
      </c>
      <c r="E6" s="16">
        <v>1952</v>
      </c>
      <c r="F6" s="81">
        <v>20.85</v>
      </c>
    </row>
    <row r="7" spans="1:9" ht="11.25" customHeight="1" x14ac:dyDescent="0.2">
      <c r="C7" s="1" t="s">
        <v>2916</v>
      </c>
      <c r="D7" s="4" t="s">
        <v>1071</v>
      </c>
      <c r="E7" s="16">
        <v>529</v>
      </c>
      <c r="F7" s="81">
        <v>5.65</v>
      </c>
    </row>
    <row r="8" spans="1:9" ht="11.25" customHeight="1" x14ac:dyDescent="0.2">
      <c r="C8" s="1" t="s">
        <v>197</v>
      </c>
      <c r="D8" s="4" t="s">
        <v>1737</v>
      </c>
      <c r="E8" s="16">
        <v>1538</v>
      </c>
      <c r="F8" s="81">
        <v>16.43</v>
      </c>
    </row>
    <row r="9" spans="1:9" ht="11.25" customHeight="1" x14ac:dyDescent="0.2">
      <c r="C9" s="1" t="s">
        <v>2318</v>
      </c>
      <c r="E9" s="155" t="s">
        <v>635</v>
      </c>
      <c r="F9" s="158">
        <v>100</v>
      </c>
      <c r="G9" s="155">
        <v>12087</v>
      </c>
      <c r="H9" s="164">
        <v>77.595764044014203</v>
      </c>
    </row>
    <row r="10" spans="1:9" ht="11.25" customHeight="1" x14ac:dyDescent="0.2">
      <c r="C10" s="1" t="s">
        <v>2318</v>
      </c>
    </row>
    <row r="11" spans="1:9" ht="11.25" customHeight="1" x14ac:dyDescent="0.2">
      <c r="A11" s="1" t="s">
        <v>1008</v>
      </c>
      <c r="C11" s="1" t="s">
        <v>198</v>
      </c>
      <c r="D11" s="4" t="s">
        <v>655</v>
      </c>
      <c r="E11" s="16">
        <v>1288</v>
      </c>
      <c r="F11" s="81">
        <v>11.13</v>
      </c>
    </row>
    <row r="12" spans="1:9" ht="11.25" customHeight="1" x14ac:dyDescent="0.2">
      <c r="C12" s="1" t="s">
        <v>199</v>
      </c>
      <c r="D12" s="4" t="s">
        <v>1737</v>
      </c>
      <c r="E12" s="16">
        <v>1919</v>
      </c>
      <c r="F12" s="81">
        <v>16.579999999999998</v>
      </c>
    </row>
    <row r="13" spans="1:9" ht="11.25" customHeight="1" x14ac:dyDescent="0.2">
      <c r="C13" s="2" t="s">
        <v>1878</v>
      </c>
      <c r="D13" s="4" t="s">
        <v>1736</v>
      </c>
      <c r="E13" s="16">
        <v>8369</v>
      </c>
      <c r="F13" s="81">
        <v>72.290000000000006</v>
      </c>
    </row>
    <row r="14" spans="1:9" ht="11.25" customHeight="1" x14ac:dyDescent="0.2">
      <c r="C14" s="1" t="s">
        <v>2318</v>
      </c>
      <c r="E14" s="155" t="s">
        <v>636</v>
      </c>
      <c r="F14" s="158">
        <v>100</v>
      </c>
      <c r="G14" s="155">
        <v>18634</v>
      </c>
      <c r="H14" s="164">
        <v>62.326929269078029</v>
      </c>
    </row>
    <row r="15" spans="1:9" ht="11.25" customHeight="1" x14ac:dyDescent="0.2">
      <c r="C15" s="1" t="s">
        <v>2318</v>
      </c>
    </row>
    <row r="16" spans="1:9" ht="11.25" customHeight="1" x14ac:dyDescent="0.2">
      <c r="A16" s="1" t="s">
        <v>1127</v>
      </c>
      <c r="C16" s="1" t="s">
        <v>200</v>
      </c>
      <c r="D16" s="4" t="s">
        <v>1071</v>
      </c>
      <c r="E16" s="16">
        <v>240</v>
      </c>
      <c r="F16" s="81">
        <v>2.4700000000000002</v>
      </c>
    </row>
    <row r="17" spans="1:8" ht="11.25" customHeight="1" x14ac:dyDescent="0.2">
      <c r="C17" s="1" t="s">
        <v>201</v>
      </c>
      <c r="D17" s="4" t="s">
        <v>1738</v>
      </c>
      <c r="E17" s="16">
        <v>39</v>
      </c>
      <c r="F17" s="81">
        <v>0.4</v>
      </c>
    </row>
    <row r="18" spans="1:8" ht="11.25" customHeight="1" x14ac:dyDescent="0.2">
      <c r="C18" s="2" t="s">
        <v>1016</v>
      </c>
      <c r="D18" s="4" t="s">
        <v>1736</v>
      </c>
      <c r="E18" s="16">
        <v>5001</v>
      </c>
      <c r="F18" s="81">
        <v>51.44</v>
      </c>
    </row>
    <row r="19" spans="1:8" ht="11.25" customHeight="1" x14ac:dyDescent="0.2">
      <c r="C19" s="1" t="s">
        <v>202</v>
      </c>
      <c r="D19" s="4" t="s">
        <v>1737</v>
      </c>
      <c r="E19" s="16">
        <v>633</v>
      </c>
      <c r="F19" s="81">
        <v>6.51</v>
      </c>
    </row>
    <row r="20" spans="1:8" ht="11.25" customHeight="1" x14ac:dyDescent="0.2">
      <c r="C20" s="1" t="s">
        <v>3121</v>
      </c>
      <c r="D20" s="4" t="s">
        <v>1072</v>
      </c>
      <c r="E20" s="16">
        <v>3331</v>
      </c>
      <c r="F20" s="81">
        <v>34.26</v>
      </c>
    </row>
    <row r="21" spans="1:8" ht="11.25" customHeight="1" x14ac:dyDescent="0.2">
      <c r="C21" s="1" t="s">
        <v>1296</v>
      </c>
      <c r="D21" s="4" t="s">
        <v>655</v>
      </c>
      <c r="E21" s="16">
        <v>478</v>
      </c>
      <c r="F21" s="81">
        <v>4.92</v>
      </c>
    </row>
    <row r="22" spans="1:8" ht="11.25" customHeight="1" x14ac:dyDescent="0.2">
      <c r="C22" s="1" t="s">
        <v>2318</v>
      </c>
      <c r="E22" s="155" t="s">
        <v>637</v>
      </c>
      <c r="F22" s="158">
        <v>100</v>
      </c>
      <c r="G22" s="155">
        <v>12226</v>
      </c>
      <c r="H22" s="164">
        <v>79.625388516276786</v>
      </c>
    </row>
    <row r="23" spans="1:8" ht="11.25" customHeight="1" x14ac:dyDescent="0.2">
      <c r="C23" s="1" t="s">
        <v>2318</v>
      </c>
    </row>
    <row r="24" spans="1:8" ht="11.25" customHeight="1" x14ac:dyDescent="0.2">
      <c r="A24" s="1" t="s">
        <v>1974</v>
      </c>
      <c r="C24" s="1" t="s">
        <v>203</v>
      </c>
      <c r="D24" s="4" t="s">
        <v>1737</v>
      </c>
      <c r="E24" s="16">
        <v>732</v>
      </c>
      <c r="F24" s="81">
        <v>9.02</v>
      </c>
    </row>
    <row r="25" spans="1:8" ht="11.25" customHeight="1" x14ac:dyDescent="0.2">
      <c r="C25" s="2" t="s">
        <v>1879</v>
      </c>
      <c r="D25" s="4" t="s">
        <v>1736</v>
      </c>
      <c r="E25" s="16">
        <v>4842</v>
      </c>
      <c r="F25" s="81">
        <v>59.62</v>
      </c>
    </row>
    <row r="26" spans="1:8" ht="11.25" customHeight="1" x14ac:dyDescent="0.2">
      <c r="C26" s="1" t="s">
        <v>204</v>
      </c>
      <c r="D26" s="4" t="s">
        <v>655</v>
      </c>
      <c r="E26" s="16">
        <v>2547</v>
      </c>
      <c r="F26" s="81">
        <v>31.36</v>
      </c>
    </row>
    <row r="27" spans="1:8" ht="11.25" customHeight="1" x14ac:dyDescent="0.2">
      <c r="C27" s="1" t="s">
        <v>2318</v>
      </c>
      <c r="E27" s="155" t="s">
        <v>638</v>
      </c>
      <c r="F27" s="158">
        <v>100</v>
      </c>
      <c r="G27" s="155">
        <v>12343</v>
      </c>
      <c r="H27" s="164">
        <v>66.005023090010539</v>
      </c>
    </row>
    <row r="28" spans="1:8" ht="11.25" customHeight="1" x14ac:dyDescent="0.2">
      <c r="C28" s="1" t="s">
        <v>2318</v>
      </c>
    </row>
    <row r="29" spans="1:8" ht="11.25" customHeight="1" x14ac:dyDescent="0.2">
      <c r="A29" s="1" t="s">
        <v>1975</v>
      </c>
      <c r="C29" s="1" t="s">
        <v>205</v>
      </c>
      <c r="D29" s="4" t="s">
        <v>653</v>
      </c>
      <c r="E29" s="16">
        <v>2719</v>
      </c>
      <c r="F29" s="81">
        <v>36.130000000000003</v>
      </c>
    </row>
    <row r="30" spans="1:8" ht="11.25" customHeight="1" x14ac:dyDescent="0.2">
      <c r="C30" s="2" t="s">
        <v>2237</v>
      </c>
      <c r="D30" s="4" t="s">
        <v>1736</v>
      </c>
      <c r="E30" s="16">
        <v>4541</v>
      </c>
      <c r="F30" s="81">
        <v>60.34</v>
      </c>
    </row>
    <row r="31" spans="1:8" ht="11.25" customHeight="1" x14ac:dyDescent="0.2">
      <c r="C31" s="1" t="s">
        <v>206</v>
      </c>
      <c r="D31" s="4" t="s">
        <v>655</v>
      </c>
      <c r="E31" s="16">
        <v>266</v>
      </c>
      <c r="F31" s="81">
        <v>3.53</v>
      </c>
    </row>
    <row r="32" spans="1:8" ht="11.25" customHeight="1" x14ac:dyDescent="0.2">
      <c r="C32" s="1" t="s">
        <v>2318</v>
      </c>
      <c r="E32" s="155" t="s">
        <v>639</v>
      </c>
      <c r="F32" s="158">
        <v>100</v>
      </c>
      <c r="G32" s="155">
        <v>10985</v>
      </c>
      <c r="H32" s="164">
        <v>68.830223031406462</v>
      </c>
    </row>
    <row r="33" spans="1:8" ht="11.25" customHeight="1" x14ac:dyDescent="0.2">
      <c r="C33" s="1" t="s">
        <v>2318</v>
      </c>
    </row>
    <row r="34" spans="1:8" ht="11.25" customHeight="1" x14ac:dyDescent="0.2">
      <c r="A34" s="1" t="s">
        <v>2354</v>
      </c>
      <c r="C34" s="1" t="s">
        <v>207</v>
      </c>
      <c r="D34" s="4" t="s">
        <v>1072</v>
      </c>
      <c r="E34" s="16">
        <v>380</v>
      </c>
      <c r="F34" s="81">
        <v>2.84</v>
      </c>
    </row>
    <row r="35" spans="1:8" ht="11.25" customHeight="1" x14ac:dyDescent="0.2">
      <c r="C35" s="1" t="s">
        <v>208</v>
      </c>
      <c r="D35" s="4" t="s">
        <v>655</v>
      </c>
      <c r="E35" s="16">
        <v>2293</v>
      </c>
      <c r="F35" s="81">
        <v>17.12</v>
      </c>
    </row>
    <row r="36" spans="1:8" ht="11.25" customHeight="1" x14ac:dyDescent="0.2">
      <c r="C36" s="1" t="s">
        <v>209</v>
      </c>
      <c r="D36" s="4" t="s">
        <v>1737</v>
      </c>
      <c r="E36" s="16">
        <v>1059</v>
      </c>
      <c r="F36" s="81">
        <v>7.9</v>
      </c>
    </row>
    <row r="37" spans="1:8" ht="11.25" customHeight="1" x14ac:dyDescent="0.2">
      <c r="C37" s="2" t="s">
        <v>1880</v>
      </c>
      <c r="D37" s="4" t="s">
        <v>1736</v>
      </c>
      <c r="E37" s="16">
        <v>9412</v>
      </c>
      <c r="F37" s="81">
        <v>70.25</v>
      </c>
    </row>
    <row r="38" spans="1:8" ht="11.25" customHeight="1" x14ac:dyDescent="0.2">
      <c r="C38" s="1" t="s">
        <v>210</v>
      </c>
      <c r="D38" s="4" t="s">
        <v>1071</v>
      </c>
      <c r="E38" s="16">
        <v>253</v>
      </c>
      <c r="F38" s="81">
        <v>1.89</v>
      </c>
    </row>
    <row r="39" spans="1:8" ht="11.25" customHeight="1" x14ac:dyDescent="0.2">
      <c r="C39" s="1" t="s">
        <v>2318</v>
      </c>
      <c r="E39" s="155" t="s">
        <v>640</v>
      </c>
      <c r="F39" s="158">
        <v>100</v>
      </c>
      <c r="G39" s="155">
        <v>21555</v>
      </c>
      <c r="H39" s="164">
        <v>62.356761772210625</v>
      </c>
    </row>
    <row r="40" spans="1:8" ht="11.25" customHeight="1" x14ac:dyDescent="0.2">
      <c r="C40" s="1" t="s">
        <v>2318</v>
      </c>
    </row>
    <row r="41" spans="1:8" ht="11.25" customHeight="1" x14ac:dyDescent="0.2">
      <c r="A41" s="1" t="s">
        <v>2360</v>
      </c>
      <c r="C41" s="1" t="s">
        <v>211</v>
      </c>
      <c r="D41" s="4" t="s">
        <v>1737</v>
      </c>
      <c r="E41" s="16">
        <v>739</v>
      </c>
      <c r="F41" s="81">
        <v>6.06</v>
      </c>
    </row>
    <row r="42" spans="1:8" ht="11.25" customHeight="1" x14ac:dyDescent="0.2">
      <c r="C42" s="2" t="s">
        <v>932</v>
      </c>
      <c r="D42" s="4" t="s">
        <v>1736</v>
      </c>
      <c r="E42" s="16">
        <v>7591</v>
      </c>
      <c r="F42" s="81">
        <v>62.27</v>
      </c>
    </row>
    <row r="43" spans="1:8" ht="11.25" customHeight="1" x14ac:dyDescent="0.2">
      <c r="C43" s="1" t="s">
        <v>2414</v>
      </c>
      <c r="D43" s="4" t="s">
        <v>655</v>
      </c>
      <c r="E43" s="16">
        <v>1211</v>
      </c>
      <c r="F43" s="81">
        <v>9.94</v>
      </c>
    </row>
    <row r="44" spans="1:8" ht="11.25" customHeight="1" x14ac:dyDescent="0.2">
      <c r="C44" s="1" t="s">
        <v>1881</v>
      </c>
      <c r="D44" s="4" t="s">
        <v>1738</v>
      </c>
      <c r="E44" s="16">
        <v>2649</v>
      </c>
      <c r="F44" s="81">
        <v>21.73</v>
      </c>
    </row>
    <row r="45" spans="1:8" ht="11.25" customHeight="1" x14ac:dyDescent="0.2">
      <c r="C45" s="1" t="s">
        <v>2318</v>
      </c>
      <c r="E45" s="155" t="s">
        <v>641</v>
      </c>
      <c r="F45" s="158">
        <v>100</v>
      </c>
      <c r="G45" s="155">
        <v>24764</v>
      </c>
      <c r="H45" s="164">
        <v>49.434663220804396</v>
      </c>
    </row>
    <row r="46" spans="1:8" ht="11.25" customHeight="1" x14ac:dyDescent="0.2">
      <c r="C46" s="1" t="s">
        <v>2318</v>
      </c>
    </row>
    <row r="47" spans="1:8" ht="11.25" customHeight="1" x14ac:dyDescent="0.2">
      <c r="A47" s="1" t="s">
        <v>1963</v>
      </c>
      <c r="C47" s="2" t="s">
        <v>212</v>
      </c>
      <c r="D47" s="4" t="s">
        <v>1736</v>
      </c>
      <c r="E47" s="16">
        <v>9701</v>
      </c>
      <c r="F47" s="81">
        <v>75.66</v>
      </c>
    </row>
    <row r="48" spans="1:8" ht="11.25" customHeight="1" x14ac:dyDescent="0.2">
      <c r="C48" s="1" t="s">
        <v>935</v>
      </c>
      <c r="D48" s="4" t="s">
        <v>1072</v>
      </c>
      <c r="E48" s="16">
        <v>686</v>
      </c>
      <c r="F48" s="81">
        <v>5.35</v>
      </c>
    </row>
    <row r="49" spans="1:8" ht="11.25" customHeight="1" x14ac:dyDescent="0.2">
      <c r="C49" s="1" t="s">
        <v>1760</v>
      </c>
      <c r="D49" s="4" t="s">
        <v>655</v>
      </c>
      <c r="E49" s="16">
        <v>1417</v>
      </c>
      <c r="F49" s="81">
        <v>11.05</v>
      </c>
    </row>
    <row r="50" spans="1:8" ht="11.25" customHeight="1" x14ac:dyDescent="0.2">
      <c r="C50" s="1" t="s">
        <v>213</v>
      </c>
      <c r="D50" s="4" t="s">
        <v>1737</v>
      </c>
      <c r="E50" s="16">
        <v>1018</v>
      </c>
      <c r="F50" s="81">
        <v>7.94</v>
      </c>
    </row>
    <row r="51" spans="1:8" ht="11.25" customHeight="1" x14ac:dyDescent="0.2">
      <c r="C51" s="1" t="s">
        <v>2318</v>
      </c>
      <c r="E51" s="155" t="s">
        <v>642</v>
      </c>
      <c r="F51" s="158">
        <v>100</v>
      </c>
      <c r="G51" s="155">
        <v>19805</v>
      </c>
      <c r="H51" s="164">
        <v>64.867457712698808</v>
      </c>
    </row>
    <row r="52" spans="1:8" ht="11.25" customHeight="1" x14ac:dyDescent="0.2">
      <c r="C52" s="1" t="s">
        <v>2318</v>
      </c>
    </row>
    <row r="53" spans="1:8" ht="11.25" customHeight="1" x14ac:dyDescent="0.2">
      <c r="A53" s="1" t="s">
        <v>1855</v>
      </c>
      <c r="C53" s="2" t="s">
        <v>1887</v>
      </c>
      <c r="D53" s="4" t="s">
        <v>1736</v>
      </c>
      <c r="E53" s="16">
        <v>10331</v>
      </c>
      <c r="F53" s="81">
        <v>78.34</v>
      </c>
    </row>
    <row r="54" spans="1:8" ht="11.25" customHeight="1" x14ac:dyDescent="0.2">
      <c r="C54" s="1" t="s">
        <v>214</v>
      </c>
      <c r="D54" s="4" t="s">
        <v>1737</v>
      </c>
      <c r="E54" s="16">
        <v>1174</v>
      </c>
      <c r="F54" s="81">
        <v>8.9</v>
      </c>
    </row>
    <row r="55" spans="1:8" ht="11.25" customHeight="1" x14ac:dyDescent="0.2">
      <c r="C55" s="1" t="s">
        <v>215</v>
      </c>
      <c r="D55" s="4" t="s">
        <v>1738</v>
      </c>
      <c r="E55" s="16">
        <v>158</v>
      </c>
      <c r="F55" s="81">
        <v>1.2</v>
      </c>
    </row>
    <row r="56" spans="1:8" ht="11.25" customHeight="1" x14ac:dyDescent="0.2">
      <c r="C56" s="1" t="s">
        <v>216</v>
      </c>
      <c r="D56" s="4" t="s">
        <v>1072</v>
      </c>
      <c r="E56" s="16">
        <v>396</v>
      </c>
      <c r="F56" s="81">
        <v>3</v>
      </c>
    </row>
    <row r="57" spans="1:8" ht="11.25" customHeight="1" x14ac:dyDescent="0.2">
      <c r="C57" s="1" t="s">
        <v>217</v>
      </c>
      <c r="D57" s="4" t="s">
        <v>655</v>
      </c>
      <c r="E57" s="16">
        <v>1128</v>
      </c>
      <c r="F57" s="81">
        <v>8.56</v>
      </c>
    </row>
    <row r="58" spans="1:8" ht="11.25" customHeight="1" x14ac:dyDescent="0.2">
      <c r="C58" s="1" t="s">
        <v>2318</v>
      </c>
      <c r="E58" s="155" t="s">
        <v>643</v>
      </c>
      <c r="F58" s="158">
        <v>100</v>
      </c>
      <c r="G58" s="155">
        <v>20565</v>
      </c>
      <c r="H58" s="164">
        <v>64.259664478482861</v>
      </c>
    </row>
    <row r="59" spans="1:8" ht="11.25" customHeight="1" x14ac:dyDescent="0.2">
      <c r="C59" s="1" t="s">
        <v>2318</v>
      </c>
    </row>
    <row r="60" spans="1:8" ht="11.25" customHeight="1" x14ac:dyDescent="0.2">
      <c r="A60" s="1" t="s">
        <v>1860</v>
      </c>
      <c r="C60" s="1" t="s">
        <v>218</v>
      </c>
      <c r="D60" s="4" t="s">
        <v>653</v>
      </c>
      <c r="E60" s="16">
        <v>520</v>
      </c>
      <c r="F60" s="81">
        <v>4.83</v>
      </c>
    </row>
    <row r="61" spans="1:8" ht="11.25" customHeight="1" x14ac:dyDescent="0.2">
      <c r="C61" s="1" t="s">
        <v>219</v>
      </c>
      <c r="D61" s="4" t="s">
        <v>1737</v>
      </c>
      <c r="E61" s="16">
        <v>829</v>
      </c>
      <c r="F61" s="81">
        <v>7.7</v>
      </c>
    </row>
    <row r="62" spans="1:8" ht="11.25" customHeight="1" x14ac:dyDescent="0.2">
      <c r="C62" s="1" t="s">
        <v>945</v>
      </c>
      <c r="D62" s="4" t="s">
        <v>655</v>
      </c>
      <c r="E62" s="16">
        <v>1054</v>
      </c>
      <c r="F62" s="81">
        <v>9.7799999999999994</v>
      </c>
    </row>
    <row r="63" spans="1:8" ht="11.25" customHeight="1" x14ac:dyDescent="0.2">
      <c r="C63" s="1" t="s">
        <v>220</v>
      </c>
      <c r="D63" s="4" t="s">
        <v>1071</v>
      </c>
      <c r="E63" s="16">
        <v>172</v>
      </c>
      <c r="F63" s="81">
        <v>1.6</v>
      </c>
    </row>
    <row r="64" spans="1:8" ht="11.25" customHeight="1" x14ac:dyDescent="0.2">
      <c r="C64" s="2" t="s">
        <v>1310</v>
      </c>
      <c r="D64" s="4" t="s">
        <v>1736</v>
      </c>
      <c r="E64" s="16">
        <v>7521</v>
      </c>
      <c r="F64" s="81">
        <v>69.83</v>
      </c>
    </row>
    <row r="65" spans="1:8" ht="11.25" customHeight="1" x14ac:dyDescent="0.2">
      <c r="C65" s="1" t="s">
        <v>2036</v>
      </c>
      <c r="D65" s="4" t="s">
        <v>1072</v>
      </c>
      <c r="E65" s="16">
        <v>674</v>
      </c>
      <c r="F65" s="81">
        <v>6.26</v>
      </c>
    </row>
    <row r="66" spans="1:8" ht="11.25" customHeight="1" x14ac:dyDescent="0.2">
      <c r="C66" s="1" t="s">
        <v>2318</v>
      </c>
      <c r="E66" s="155" t="s">
        <v>644</v>
      </c>
      <c r="F66" s="158">
        <v>100</v>
      </c>
      <c r="G66" s="155">
        <v>17761</v>
      </c>
      <c r="H66" s="164">
        <v>60.807386971454306</v>
      </c>
    </row>
    <row r="67" spans="1:8" ht="11.25" customHeight="1" x14ac:dyDescent="0.2">
      <c r="C67" s="1" t="s">
        <v>2318</v>
      </c>
    </row>
    <row r="68" spans="1:8" ht="11.25" customHeight="1" x14ac:dyDescent="0.2">
      <c r="A68" s="1" t="s">
        <v>1865</v>
      </c>
      <c r="C68" s="1" t="s">
        <v>2951</v>
      </c>
      <c r="D68" s="4" t="s">
        <v>1737</v>
      </c>
      <c r="E68" s="16">
        <v>2252</v>
      </c>
      <c r="F68" s="81">
        <v>10.34</v>
      </c>
    </row>
    <row r="69" spans="1:8" ht="11.25" customHeight="1" x14ac:dyDescent="0.2">
      <c r="C69" s="2" t="s">
        <v>1883</v>
      </c>
      <c r="D69" s="4" t="s">
        <v>1736</v>
      </c>
      <c r="E69" s="16">
        <v>17376</v>
      </c>
      <c r="F69" s="81">
        <v>79.75</v>
      </c>
    </row>
    <row r="70" spans="1:8" ht="11.25" customHeight="1" x14ac:dyDescent="0.2">
      <c r="C70" s="1" t="s">
        <v>49</v>
      </c>
      <c r="D70" s="4" t="s">
        <v>655</v>
      </c>
      <c r="E70" s="16">
        <v>1501</v>
      </c>
      <c r="F70" s="81">
        <v>6.89</v>
      </c>
    </row>
    <row r="71" spans="1:8" ht="11.25" customHeight="1" x14ac:dyDescent="0.2">
      <c r="C71" s="1" t="s">
        <v>221</v>
      </c>
      <c r="D71" s="4" t="s">
        <v>1072</v>
      </c>
      <c r="E71" s="16">
        <v>659</v>
      </c>
      <c r="F71" s="81">
        <v>3.02</v>
      </c>
    </row>
    <row r="72" spans="1:8" ht="11.25" customHeight="1" x14ac:dyDescent="0.2">
      <c r="C72" s="1" t="s">
        <v>2318</v>
      </c>
      <c r="E72" s="155" t="s">
        <v>645</v>
      </c>
      <c r="F72" s="158">
        <v>100</v>
      </c>
      <c r="G72" s="155">
        <v>33321</v>
      </c>
      <c r="H72" s="164">
        <v>65.490231385612674</v>
      </c>
    </row>
    <row r="73" spans="1:8" ht="11.25" customHeight="1" x14ac:dyDescent="0.2">
      <c r="C73" s="1" t="s">
        <v>2318</v>
      </c>
    </row>
    <row r="74" spans="1:8" ht="11.25" customHeight="1" x14ac:dyDescent="0.2">
      <c r="A74" s="1" t="s">
        <v>1869</v>
      </c>
      <c r="C74" s="1" t="s">
        <v>222</v>
      </c>
      <c r="D74" s="4" t="s">
        <v>1072</v>
      </c>
      <c r="E74" s="16">
        <v>540</v>
      </c>
      <c r="F74" s="81">
        <v>3.72</v>
      </c>
    </row>
    <row r="75" spans="1:8" ht="11.25" customHeight="1" x14ac:dyDescent="0.2">
      <c r="C75" s="1" t="s">
        <v>223</v>
      </c>
      <c r="D75" s="4" t="s">
        <v>655</v>
      </c>
      <c r="E75" s="16">
        <v>2249</v>
      </c>
      <c r="F75" s="81">
        <v>15.51</v>
      </c>
    </row>
    <row r="76" spans="1:8" ht="11.25" customHeight="1" x14ac:dyDescent="0.2">
      <c r="C76" s="2" t="s">
        <v>944</v>
      </c>
      <c r="D76" s="4" t="s">
        <v>1736</v>
      </c>
      <c r="E76" s="16">
        <v>9708</v>
      </c>
      <c r="F76" s="81">
        <v>66.930000000000007</v>
      </c>
    </row>
    <row r="77" spans="1:8" ht="11.25" customHeight="1" x14ac:dyDescent="0.2">
      <c r="C77" s="1" t="s">
        <v>224</v>
      </c>
      <c r="D77" s="4" t="s">
        <v>1737</v>
      </c>
      <c r="E77" s="16">
        <v>1438</v>
      </c>
      <c r="F77" s="81">
        <v>9.91</v>
      </c>
    </row>
    <row r="78" spans="1:8" ht="11.25" customHeight="1" x14ac:dyDescent="0.2">
      <c r="C78" s="1" t="s">
        <v>225</v>
      </c>
      <c r="D78" s="4" t="s">
        <v>653</v>
      </c>
      <c r="E78" s="16">
        <v>570</v>
      </c>
      <c r="F78" s="81">
        <v>3.93</v>
      </c>
    </row>
    <row r="79" spans="1:8" ht="11.25" customHeight="1" x14ac:dyDescent="0.2">
      <c r="C79" s="1" t="s">
        <v>2318</v>
      </c>
      <c r="E79" s="155" t="s">
        <v>646</v>
      </c>
      <c r="F79" s="158">
        <v>100</v>
      </c>
      <c r="G79" s="155">
        <v>21217</v>
      </c>
      <c r="H79" s="164">
        <v>68.369703539614463</v>
      </c>
    </row>
    <row r="80" spans="1:8" ht="11.25" customHeight="1" x14ac:dyDescent="0.2">
      <c r="C80" s="1" t="s">
        <v>2318</v>
      </c>
    </row>
    <row r="81" spans="1:8" ht="11.25" customHeight="1" x14ac:dyDescent="0.2">
      <c r="A81" s="1" t="s">
        <v>967</v>
      </c>
      <c r="C81" s="1" t="s">
        <v>226</v>
      </c>
      <c r="D81" s="4" t="s">
        <v>1071</v>
      </c>
      <c r="E81" s="16">
        <v>294</v>
      </c>
      <c r="F81" s="81">
        <v>2.25</v>
      </c>
    </row>
    <row r="82" spans="1:8" ht="11.25" customHeight="1" x14ac:dyDescent="0.2">
      <c r="C82" s="1" t="s">
        <v>227</v>
      </c>
      <c r="D82" s="4" t="s">
        <v>1737</v>
      </c>
      <c r="E82" s="16">
        <v>1244</v>
      </c>
      <c r="F82" s="81">
        <v>9.5</v>
      </c>
    </row>
    <row r="83" spans="1:8" ht="11.25" customHeight="1" x14ac:dyDescent="0.2">
      <c r="C83" s="1" t="s">
        <v>228</v>
      </c>
      <c r="D83" s="4" t="s">
        <v>1072</v>
      </c>
      <c r="E83" s="16">
        <v>314</v>
      </c>
      <c r="F83" s="81">
        <v>2.4</v>
      </c>
    </row>
    <row r="84" spans="1:8" ht="11.25" customHeight="1" x14ac:dyDescent="0.2">
      <c r="C84" s="1" t="s">
        <v>1231</v>
      </c>
      <c r="D84" s="4" t="s">
        <v>486</v>
      </c>
      <c r="E84" s="16">
        <v>56</v>
      </c>
      <c r="F84" s="81">
        <v>0.43</v>
      </c>
    </row>
    <row r="85" spans="1:8" ht="11.25" customHeight="1" x14ac:dyDescent="0.2">
      <c r="C85" s="1" t="s">
        <v>3086</v>
      </c>
      <c r="D85" s="4" t="s">
        <v>655</v>
      </c>
      <c r="E85" s="16">
        <v>1478</v>
      </c>
      <c r="F85" s="81">
        <v>11.29</v>
      </c>
    </row>
    <row r="86" spans="1:8" ht="11.25" customHeight="1" x14ac:dyDescent="0.2">
      <c r="C86" s="2" t="s">
        <v>1884</v>
      </c>
      <c r="D86" s="4" t="s">
        <v>1736</v>
      </c>
      <c r="E86" s="16">
        <v>9704</v>
      </c>
      <c r="F86" s="81">
        <v>74.13</v>
      </c>
    </row>
    <row r="87" spans="1:8" ht="11.25" customHeight="1" x14ac:dyDescent="0.2">
      <c r="C87" s="1" t="s">
        <v>2318</v>
      </c>
      <c r="E87" s="155" t="s">
        <v>647</v>
      </c>
      <c r="F87" s="158">
        <v>100</v>
      </c>
      <c r="G87" s="155">
        <v>25857</v>
      </c>
      <c r="H87" s="164">
        <v>50.756081525312297</v>
      </c>
    </row>
    <row r="88" spans="1:8" ht="11.25" customHeight="1" x14ac:dyDescent="0.2">
      <c r="C88" s="1" t="s">
        <v>2318</v>
      </c>
    </row>
    <row r="89" spans="1:8" ht="11.25" customHeight="1" x14ac:dyDescent="0.2">
      <c r="A89" s="1" t="s">
        <v>3211</v>
      </c>
      <c r="C89" s="1" t="s">
        <v>1244</v>
      </c>
      <c r="D89" s="4" t="s">
        <v>1737</v>
      </c>
      <c r="E89" s="16">
        <v>1864</v>
      </c>
      <c r="F89" s="81">
        <v>10.5</v>
      </c>
    </row>
    <row r="90" spans="1:8" ht="11.25" customHeight="1" x14ac:dyDescent="0.2">
      <c r="C90" s="2" t="s">
        <v>1885</v>
      </c>
      <c r="D90" s="4" t="s">
        <v>1736</v>
      </c>
      <c r="E90" s="16">
        <v>13835</v>
      </c>
      <c r="F90" s="81">
        <v>77.91</v>
      </c>
    </row>
    <row r="91" spans="1:8" ht="11.25" customHeight="1" x14ac:dyDescent="0.2">
      <c r="C91" s="1" t="s">
        <v>229</v>
      </c>
      <c r="D91" s="4" t="s">
        <v>1738</v>
      </c>
      <c r="E91" s="16">
        <v>526</v>
      </c>
      <c r="F91" s="81">
        <v>2.96</v>
      </c>
    </row>
    <row r="92" spans="1:8" ht="11.25" customHeight="1" x14ac:dyDescent="0.2">
      <c r="C92" s="1" t="s">
        <v>230</v>
      </c>
      <c r="D92" s="4" t="s">
        <v>655</v>
      </c>
      <c r="E92" s="16">
        <v>1532</v>
      </c>
      <c r="F92" s="81">
        <v>8.6300000000000008</v>
      </c>
    </row>
    <row r="93" spans="1:8" ht="11.25" customHeight="1" x14ac:dyDescent="0.2">
      <c r="C93" s="1" t="s">
        <v>2318</v>
      </c>
      <c r="E93" s="155" t="s">
        <v>648</v>
      </c>
      <c r="F93" s="158">
        <v>100</v>
      </c>
      <c r="G93" s="155">
        <v>26773</v>
      </c>
      <c r="H93" s="164">
        <v>66.563328726702281</v>
      </c>
    </row>
    <row r="94" spans="1:8" ht="11.25" customHeight="1" x14ac:dyDescent="0.2">
      <c r="C94" s="1" t="s">
        <v>2318</v>
      </c>
    </row>
    <row r="95" spans="1:8" ht="11.25" customHeight="1" x14ac:dyDescent="0.2">
      <c r="A95" s="1" t="s">
        <v>3220</v>
      </c>
      <c r="C95" s="1" t="s">
        <v>231</v>
      </c>
      <c r="D95" s="4" t="s">
        <v>655</v>
      </c>
      <c r="E95" s="16">
        <v>2673</v>
      </c>
      <c r="F95" s="81">
        <v>11.69</v>
      </c>
    </row>
    <row r="96" spans="1:8" ht="11.25" customHeight="1" x14ac:dyDescent="0.2">
      <c r="C96" s="1" t="s">
        <v>232</v>
      </c>
      <c r="D96" s="4" t="s">
        <v>653</v>
      </c>
      <c r="E96" s="16">
        <v>852</v>
      </c>
      <c r="F96" s="81">
        <v>3.73</v>
      </c>
    </row>
    <row r="97" spans="1:8" ht="11.25" customHeight="1" x14ac:dyDescent="0.2">
      <c r="C97" s="1" t="s">
        <v>233</v>
      </c>
      <c r="D97" s="4" t="s">
        <v>1738</v>
      </c>
      <c r="E97" s="16">
        <v>120</v>
      </c>
      <c r="F97" s="81">
        <v>0.52</v>
      </c>
    </row>
    <row r="98" spans="1:8" ht="11.25" customHeight="1" x14ac:dyDescent="0.2">
      <c r="C98" s="2" t="s">
        <v>59</v>
      </c>
      <c r="D98" s="4" t="s">
        <v>1736</v>
      </c>
      <c r="E98" s="16">
        <v>17493</v>
      </c>
      <c r="F98" s="81">
        <v>76.5</v>
      </c>
    </row>
    <row r="99" spans="1:8" ht="11.25" customHeight="1" x14ac:dyDescent="0.2">
      <c r="C99" s="1" t="s">
        <v>234</v>
      </c>
      <c r="D99" s="4" t="s">
        <v>1737</v>
      </c>
      <c r="E99" s="16">
        <v>1728</v>
      </c>
      <c r="F99" s="81">
        <v>7.56</v>
      </c>
    </row>
    <row r="100" spans="1:8" ht="11.25" customHeight="1" x14ac:dyDescent="0.2">
      <c r="C100" s="1" t="s">
        <v>2318</v>
      </c>
      <c r="E100" s="155" t="s">
        <v>649</v>
      </c>
      <c r="F100" s="158">
        <v>100</v>
      </c>
      <c r="G100" s="155">
        <v>42524</v>
      </c>
      <c r="H100" s="164">
        <v>53.844887592888725</v>
      </c>
    </row>
    <row r="101" spans="1:8" ht="11.25" customHeight="1" x14ac:dyDescent="0.2">
      <c r="C101" s="1" t="s">
        <v>2318</v>
      </c>
    </row>
    <row r="102" spans="1:8" ht="11.25" customHeight="1" x14ac:dyDescent="0.2">
      <c r="A102" s="1" t="s">
        <v>1414</v>
      </c>
      <c r="C102" s="1" t="s">
        <v>952</v>
      </c>
      <c r="D102" s="4" t="s">
        <v>1072</v>
      </c>
      <c r="E102" s="16">
        <v>621</v>
      </c>
      <c r="F102" s="81">
        <v>3.67</v>
      </c>
    </row>
    <row r="103" spans="1:8" ht="11.25" customHeight="1" x14ac:dyDescent="0.2">
      <c r="C103" s="1" t="s">
        <v>235</v>
      </c>
      <c r="D103" s="4" t="s">
        <v>1071</v>
      </c>
      <c r="E103" s="16">
        <v>383</v>
      </c>
      <c r="F103" s="81">
        <v>2.27</v>
      </c>
    </row>
    <row r="104" spans="1:8" ht="11.25" customHeight="1" x14ac:dyDescent="0.2">
      <c r="C104" s="1" t="s">
        <v>73</v>
      </c>
      <c r="D104" s="4" t="s">
        <v>1737</v>
      </c>
      <c r="E104" s="16">
        <v>1332</v>
      </c>
      <c r="F104" s="81">
        <v>7.87</v>
      </c>
    </row>
    <row r="105" spans="1:8" ht="11.25" customHeight="1" x14ac:dyDescent="0.2">
      <c r="C105" s="2" t="s">
        <v>497</v>
      </c>
      <c r="D105" s="4" t="s">
        <v>1736</v>
      </c>
      <c r="E105" s="16">
        <v>12130</v>
      </c>
      <c r="F105" s="81">
        <v>71.7</v>
      </c>
    </row>
    <row r="106" spans="1:8" ht="11.25" customHeight="1" x14ac:dyDescent="0.2">
      <c r="C106" s="1" t="s">
        <v>1174</v>
      </c>
      <c r="D106" s="4" t="s">
        <v>655</v>
      </c>
      <c r="E106" s="16">
        <v>2451</v>
      </c>
      <c r="F106" s="81">
        <v>14.49</v>
      </c>
    </row>
    <row r="107" spans="1:8" ht="11.25" customHeight="1" x14ac:dyDescent="0.2">
      <c r="C107" s="1" t="s">
        <v>2318</v>
      </c>
      <c r="E107" s="155" t="s">
        <v>650</v>
      </c>
      <c r="F107" s="158">
        <v>100</v>
      </c>
      <c r="G107" s="155">
        <v>29771</v>
      </c>
      <c r="H107" s="164">
        <v>56.954754626985995</v>
      </c>
    </row>
    <row r="108" spans="1:8" ht="11.25" customHeight="1" x14ac:dyDescent="0.2">
      <c r="C108" s="1" t="s">
        <v>2318</v>
      </c>
    </row>
    <row r="109" spans="1:8" ht="11.25" customHeight="1" x14ac:dyDescent="0.2">
      <c r="A109" s="1" t="s">
        <v>1416</v>
      </c>
      <c r="C109" s="1" t="s">
        <v>236</v>
      </c>
      <c r="D109" s="15" t="s">
        <v>1737</v>
      </c>
      <c r="E109" s="16">
        <v>779</v>
      </c>
      <c r="F109" s="81">
        <v>8.4700000000000006</v>
      </c>
    </row>
    <row r="110" spans="1:8" ht="11.25" customHeight="1" x14ac:dyDescent="0.2">
      <c r="C110" s="1" t="s">
        <v>237</v>
      </c>
      <c r="D110" s="4" t="s">
        <v>653</v>
      </c>
      <c r="E110" s="16">
        <v>417</v>
      </c>
      <c r="F110" s="81">
        <v>4.54</v>
      </c>
    </row>
    <row r="111" spans="1:8" ht="11.25" customHeight="1" x14ac:dyDescent="0.2">
      <c r="C111" s="1" t="s">
        <v>238</v>
      </c>
      <c r="D111" s="4" t="s">
        <v>486</v>
      </c>
      <c r="E111" s="16">
        <v>50</v>
      </c>
      <c r="F111" s="81">
        <v>0.54</v>
      </c>
    </row>
    <row r="112" spans="1:8" ht="11.25" customHeight="1" x14ac:dyDescent="0.2">
      <c r="C112" s="2" t="s">
        <v>239</v>
      </c>
      <c r="D112" s="4" t="s">
        <v>1736</v>
      </c>
      <c r="E112" s="16">
        <v>6323</v>
      </c>
      <c r="F112" s="81">
        <v>68.77</v>
      </c>
    </row>
    <row r="113" spans="1:10" ht="11.25" customHeight="1" x14ac:dyDescent="0.2">
      <c r="C113" s="1" t="s">
        <v>240</v>
      </c>
      <c r="D113" s="4" t="s">
        <v>655</v>
      </c>
      <c r="E113" s="16">
        <v>1626</v>
      </c>
      <c r="F113" s="81">
        <v>17.68</v>
      </c>
    </row>
    <row r="114" spans="1:10" ht="11.25" customHeight="1" x14ac:dyDescent="0.2">
      <c r="C114" s="1" t="s">
        <v>2318</v>
      </c>
      <c r="D114" s="1"/>
      <c r="E114" s="155" t="s">
        <v>651</v>
      </c>
      <c r="F114" s="158">
        <v>100</v>
      </c>
      <c r="G114" s="155">
        <v>15723</v>
      </c>
      <c r="H114" s="164">
        <v>58.81193156522292</v>
      </c>
    </row>
    <row r="115" spans="1:10" ht="11.25" customHeight="1" x14ac:dyDescent="0.2">
      <c r="C115" s="1" t="s">
        <v>2318</v>
      </c>
      <c r="D115" s="1"/>
    </row>
    <row r="116" spans="1:10" ht="11.25" customHeight="1" x14ac:dyDescent="0.2">
      <c r="A116" s="1" t="s">
        <v>3231</v>
      </c>
      <c r="C116" s="1" t="s">
        <v>241</v>
      </c>
      <c r="D116" s="4" t="s">
        <v>653</v>
      </c>
      <c r="E116" s="16">
        <v>706</v>
      </c>
      <c r="F116" s="81">
        <v>5.67</v>
      </c>
    </row>
    <row r="117" spans="1:10" ht="11.25" customHeight="1" x14ac:dyDescent="0.2">
      <c r="C117" s="1" t="s">
        <v>242</v>
      </c>
      <c r="D117" s="4" t="s">
        <v>655</v>
      </c>
      <c r="E117" s="16">
        <v>3372</v>
      </c>
      <c r="F117" s="81">
        <v>27.07</v>
      </c>
    </row>
    <row r="118" spans="1:10" ht="11.25" customHeight="1" x14ac:dyDescent="0.2">
      <c r="C118" s="1" t="s">
        <v>243</v>
      </c>
      <c r="D118" s="4" t="s">
        <v>1072</v>
      </c>
      <c r="E118" s="16">
        <v>420</v>
      </c>
      <c r="F118" s="81">
        <v>3.37</v>
      </c>
    </row>
    <row r="119" spans="1:10" ht="11.25" customHeight="1" x14ac:dyDescent="0.2">
      <c r="C119" s="1" t="s">
        <v>244</v>
      </c>
      <c r="D119" s="4" t="s">
        <v>1737</v>
      </c>
      <c r="E119" s="16">
        <v>772</v>
      </c>
      <c r="F119" s="81">
        <v>6.2</v>
      </c>
    </row>
    <row r="120" spans="1:10" ht="11.25" customHeight="1" x14ac:dyDescent="0.2">
      <c r="C120" s="2" t="s">
        <v>245</v>
      </c>
      <c r="D120" s="4" t="s">
        <v>1736</v>
      </c>
      <c r="E120" s="16">
        <v>7187</v>
      </c>
      <c r="F120" s="81">
        <v>57.69</v>
      </c>
    </row>
    <row r="121" spans="1:10" ht="11.25" customHeight="1" x14ac:dyDescent="0.2">
      <c r="C121" s="1" t="s">
        <v>2318</v>
      </c>
      <c r="E121" s="155" t="s">
        <v>652</v>
      </c>
      <c r="F121" s="158">
        <v>100</v>
      </c>
      <c r="G121" s="155">
        <v>20678</v>
      </c>
      <c r="H121" s="164">
        <v>60.518425379630528</v>
      </c>
    </row>
    <row r="122" spans="1:10" ht="11.25" customHeight="1" x14ac:dyDescent="0.2">
      <c r="C122" s="1" t="s">
        <v>2318</v>
      </c>
    </row>
    <row r="123" spans="1:10" ht="11.25" customHeight="1" x14ac:dyDescent="0.2">
      <c r="A123" s="1" t="s">
        <v>3235</v>
      </c>
      <c r="C123" s="1" t="s">
        <v>1689</v>
      </c>
      <c r="D123" s="4" t="s">
        <v>1072</v>
      </c>
      <c r="E123" s="16">
        <v>701</v>
      </c>
      <c r="F123" s="81">
        <v>5.57</v>
      </c>
      <c r="J123" s="21"/>
    </row>
    <row r="124" spans="1:10" ht="11.25" customHeight="1" x14ac:dyDescent="0.2">
      <c r="C124" s="1" t="s">
        <v>246</v>
      </c>
      <c r="D124" s="4" t="s">
        <v>1737</v>
      </c>
      <c r="E124" s="16">
        <v>968</v>
      </c>
      <c r="F124" s="81">
        <v>7.69</v>
      </c>
    </row>
    <row r="125" spans="1:10" ht="11.25" customHeight="1" x14ac:dyDescent="0.2">
      <c r="C125" s="1" t="s">
        <v>1690</v>
      </c>
      <c r="D125" s="4" t="s">
        <v>655</v>
      </c>
      <c r="E125" s="16">
        <v>1753</v>
      </c>
      <c r="F125" s="81">
        <v>13.92</v>
      </c>
    </row>
    <row r="126" spans="1:10" ht="11.25" customHeight="1" x14ac:dyDescent="0.2">
      <c r="C126" s="2" t="s">
        <v>1888</v>
      </c>
      <c r="D126" s="4" t="s">
        <v>1736</v>
      </c>
      <c r="E126" s="16">
        <v>9168</v>
      </c>
      <c r="F126" s="81">
        <v>72.819999999999993</v>
      </c>
    </row>
    <row r="127" spans="1:10" ht="11.25" customHeight="1" x14ac:dyDescent="0.2">
      <c r="C127" s="1" t="s">
        <v>2318</v>
      </c>
      <c r="E127" s="155" t="s">
        <v>499</v>
      </c>
      <c r="F127" s="158">
        <v>100</v>
      </c>
      <c r="G127" s="155">
        <v>19965</v>
      </c>
      <c r="H127" s="164">
        <v>63.335837716003006</v>
      </c>
    </row>
    <row r="128" spans="1:10" ht="11.25" customHeight="1" x14ac:dyDescent="0.2">
      <c r="C128" s="1" t="s">
        <v>2318</v>
      </c>
    </row>
    <row r="129" spans="1:8" ht="11.25" customHeight="1" x14ac:dyDescent="0.2">
      <c r="A129" s="1" t="s">
        <v>3240</v>
      </c>
      <c r="C129" s="2" t="s">
        <v>247</v>
      </c>
      <c r="D129" s="4" t="s">
        <v>1736</v>
      </c>
      <c r="E129" s="16">
        <v>11711</v>
      </c>
      <c r="F129" s="81">
        <v>74.94</v>
      </c>
    </row>
    <row r="130" spans="1:8" ht="11.25" customHeight="1" x14ac:dyDescent="0.2">
      <c r="C130" s="1" t="s">
        <v>1758</v>
      </c>
      <c r="D130" s="4" t="s">
        <v>655</v>
      </c>
      <c r="E130" s="16">
        <v>1745</v>
      </c>
      <c r="F130" s="81">
        <v>11.17</v>
      </c>
    </row>
    <row r="131" spans="1:8" ht="11.25" customHeight="1" x14ac:dyDescent="0.2">
      <c r="C131" s="1" t="s">
        <v>248</v>
      </c>
      <c r="D131" s="4" t="s">
        <v>1737</v>
      </c>
      <c r="E131" s="16">
        <v>1768</v>
      </c>
      <c r="F131" s="81">
        <v>11.31</v>
      </c>
    </row>
    <row r="132" spans="1:8" ht="11.25" customHeight="1" x14ac:dyDescent="0.2">
      <c r="C132" s="1" t="s">
        <v>1245</v>
      </c>
      <c r="D132" s="4" t="s">
        <v>1071</v>
      </c>
      <c r="E132" s="16">
        <v>404</v>
      </c>
      <c r="F132" s="81">
        <v>2.58</v>
      </c>
    </row>
    <row r="133" spans="1:8" ht="11.25" customHeight="1" x14ac:dyDescent="0.2">
      <c r="C133" s="1" t="s">
        <v>2318</v>
      </c>
      <c r="E133" s="155" t="s">
        <v>1895</v>
      </c>
      <c r="F133" s="158">
        <v>100</v>
      </c>
      <c r="G133" s="155">
        <v>23236</v>
      </c>
      <c r="H133" s="164">
        <v>67.330865897744886</v>
      </c>
    </row>
    <row r="134" spans="1:8" ht="11.25" customHeight="1" x14ac:dyDescent="0.2">
      <c r="C134" s="1" t="s">
        <v>2318</v>
      </c>
    </row>
    <row r="135" spans="1:8" ht="11.25" customHeight="1" x14ac:dyDescent="0.2">
      <c r="A135" s="1" t="s">
        <v>1188</v>
      </c>
      <c r="C135" s="2" t="s">
        <v>1889</v>
      </c>
      <c r="D135" s="4" t="s">
        <v>1736</v>
      </c>
      <c r="E135" s="16">
        <v>11668</v>
      </c>
      <c r="F135" s="81">
        <v>78.849999999999994</v>
      </c>
    </row>
    <row r="136" spans="1:8" ht="11.25" customHeight="1" x14ac:dyDescent="0.2">
      <c r="C136" s="1" t="s">
        <v>249</v>
      </c>
      <c r="D136" s="4" t="s">
        <v>1071</v>
      </c>
      <c r="E136" s="16">
        <v>251</v>
      </c>
      <c r="F136" s="81">
        <v>1.7</v>
      </c>
    </row>
    <row r="137" spans="1:8" ht="11.25" customHeight="1" x14ac:dyDescent="0.2">
      <c r="C137" s="1" t="s">
        <v>250</v>
      </c>
      <c r="D137" s="4" t="s">
        <v>1737</v>
      </c>
      <c r="E137" s="16">
        <v>1106</v>
      </c>
      <c r="F137" s="81">
        <v>7.47</v>
      </c>
    </row>
    <row r="138" spans="1:8" ht="11.25" customHeight="1" x14ac:dyDescent="0.2">
      <c r="C138" s="1" t="s">
        <v>654</v>
      </c>
      <c r="D138" s="4" t="s">
        <v>1072</v>
      </c>
      <c r="E138" s="16">
        <v>598</v>
      </c>
      <c r="F138" s="81">
        <v>4.04</v>
      </c>
    </row>
    <row r="139" spans="1:8" ht="11.25" customHeight="1" x14ac:dyDescent="0.2">
      <c r="C139" s="1" t="s">
        <v>251</v>
      </c>
      <c r="D139" s="4" t="s">
        <v>655</v>
      </c>
      <c r="E139" s="16">
        <v>1175</v>
      </c>
      <c r="F139" s="81">
        <v>7.94</v>
      </c>
    </row>
    <row r="140" spans="1:8" ht="11.25" customHeight="1" x14ac:dyDescent="0.2">
      <c r="C140" s="1" t="s">
        <v>2318</v>
      </c>
      <c r="E140" s="155" t="s">
        <v>683</v>
      </c>
      <c r="F140" s="158">
        <v>100</v>
      </c>
      <c r="G140" s="155">
        <v>22774</v>
      </c>
      <c r="H140" s="164">
        <v>65.337665759199083</v>
      </c>
    </row>
    <row r="141" spans="1:8" ht="11.25" customHeight="1" x14ac:dyDescent="0.2">
      <c r="C141" s="1" t="s">
        <v>2318</v>
      </c>
    </row>
    <row r="142" spans="1:8" ht="11.25" customHeight="1" x14ac:dyDescent="0.2">
      <c r="A142" s="1" t="s">
        <v>1125</v>
      </c>
      <c r="C142" s="1" t="s">
        <v>252</v>
      </c>
      <c r="D142" s="4" t="s">
        <v>655</v>
      </c>
      <c r="E142" s="16">
        <v>3070</v>
      </c>
      <c r="F142" s="81">
        <v>18.59</v>
      </c>
    </row>
    <row r="143" spans="1:8" ht="11.25" customHeight="1" x14ac:dyDescent="0.2">
      <c r="C143" s="1" t="s">
        <v>253</v>
      </c>
      <c r="D143" s="4" t="s">
        <v>1737</v>
      </c>
      <c r="E143" s="16">
        <v>2900</v>
      </c>
      <c r="F143" s="81">
        <v>17.559999999999999</v>
      </c>
    </row>
    <row r="144" spans="1:8" ht="11.25" customHeight="1" x14ac:dyDescent="0.2">
      <c r="C144" s="2" t="s">
        <v>2335</v>
      </c>
      <c r="D144" s="4" t="s">
        <v>1736</v>
      </c>
      <c r="E144" s="16">
        <v>10547</v>
      </c>
      <c r="F144" s="81">
        <v>63.85</v>
      </c>
    </row>
    <row r="145" spans="1:8" ht="11.25" customHeight="1" x14ac:dyDescent="0.2">
      <c r="C145" s="1" t="s">
        <v>2318</v>
      </c>
      <c r="E145" s="155" t="s">
        <v>684</v>
      </c>
      <c r="F145" s="158">
        <v>100</v>
      </c>
      <c r="G145" s="155">
        <v>22166</v>
      </c>
      <c r="H145" s="164">
        <v>74.89398177388793</v>
      </c>
    </row>
    <row r="146" spans="1:8" ht="11.25" customHeight="1" x14ac:dyDescent="0.2">
      <c r="C146" s="1" t="s">
        <v>2318</v>
      </c>
    </row>
    <row r="147" spans="1:8" ht="11.25" customHeight="1" x14ac:dyDescent="0.2">
      <c r="A147" s="1" t="s">
        <v>1427</v>
      </c>
      <c r="C147" s="1" t="s">
        <v>254</v>
      </c>
      <c r="D147" s="4" t="s">
        <v>655</v>
      </c>
      <c r="E147" s="16">
        <v>250</v>
      </c>
      <c r="F147" s="81">
        <v>3.97</v>
      </c>
    </row>
    <row r="148" spans="1:8" ht="11.25" customHeight="1" x14ac:dyDescent="0.2">
      <c r="C148" s="1" t="s">
        <v>2959</v>
      </c>
      <c r="D148" s="4" t="s">
        <v>1737</v>
      </c>
      <c r="E148" s="16">
        <v>2309</v>
      </c>
      <c r="F148" s="81">
        <v>36.67</v>
      </c>
    </row>
    <row r="149" spans="1:8" ht="11.25" customHeight="1" x14ac:dyDescent="0.2">
      <c r="C149" s="2" t="s">
        <v>1890</v>
      </c>
      <c r="D149" s="4" t="s">
        <v>1736</v>
      </c>
      <c r="E149" s="16">
        <v>3738</v>
      </c>
      <c r="F149" s="81">
        <v>59.36</v>
      </c>
    </row>
    <row r="150" spans="1:8" ht="11.25" customHeight="1" x14ac:dyDescent="0.2">
      <c r="C150" s="1" t="s">
        <v>2318</v>
      </c>
      <c r="E150" s="155" t="s">
        <v>685</v>
      </c>
      <c r="F150" s="158">
        <v>100</v>
      </c>
      <c r="G150" s="155">
        <v>9761</v>
      </c>
      <c r="H150" s="164">
        <v>64.757709251101318</v>
      </c>
    </row>
    <row r="151" spans="1:8" ht="11.25" customHeight="1" x14ac:dyDescent="0.2">
      <c r="C151" s="1" t="s">
        <v>2318</v>
      </c>
    </row>
    <row r="152" spans="1:8" ht="11.25" customHeight="1" x14ac:dyDescent="0.2">
      <c r="A152" s="1" t="s">
        <v>1968</v>
      </c>
      <c r="C152" s="1" t="s">
        <v>255</v>
      </c>
      <c r="D152" s="4" t="s">
        <v>655</v>
      </c>
      <c r="E152" s="16">
        <v>465</v>
      </c>
      <c r="F152" s="81">
        <v>7.08</v>
      </c>
    </row>
    <row r="153" spans="1:8" ht="11.25" customHeight="1" x14ac:dyDescent="0.2">
      <c r="C153" s="2" t="s">
        <v>1891</v>
      </c>
      <c r="D153" s="4" t="s">
        <v>1736</v>
      </c>
      <c r="E153" s="16">
        <v>4837</v>
      </c>
      <c r="F153" s="81">
        <v>73.64</v>
      </c>
    </row>
    <row r="154" spans="1:8" ht="11.25" customHeight="1" x14ac:dyDescent="0.2">
      <c r="C154" s="1" t="s">
        <v>2955</v>
      </c>
      <c r="D154" s="4" t="s">
        <v>1737</v>
      </c>
      <c r="E154" s="16">
        <v>1266</v>
      </c>
      <c r="F154" s="81">
        <v>19.28</v>
      </c>
    </row>
    <row r="155" spans="1:8" ht="11.25" customHeight="1" x14ac:dyDescent="0.2">
      <c r="C155" s="1" t="s">
        <v>2318</v>
      </c>
      <c r="E155" s="155" t="s">
        <v>686</v>
      </c>
      <c r="F155" s="158">
        <v>100</v>
      </c>
      <c r="G155" s="155">
        <v>8783</v>
      </c>
      <c r="H155" s="164">
        <v>74.883297278834107</v>
      </c>
    </row>
    <row r="156" spans="1:8" ht="11.25" customHeight="1" x14ac:dyDescent="0.2">
      <c r="C156" s="1" t="s">
        <v>2318</v>
      </c>
    </row>
    <row r="157" spans="1:8" ht="11.25" customHeight="1" x14ac:dyDescent="0.2">
      <c r="A157" s="1" t="s">
        <v>1430</v>
      </c>
      <c r="C157" s="1" t="s">
        <v>256</v>
      </c>
      <c r="D157" s="4" t="s">
        <v>1736</v>
      </c>
      <c r="E157" s="16">
        <v>5434</v>
      </c>
      <c r="F157" s="81">
        <v>35.72</v>
      </c>
    </row>
    <row r="158" spans="1:8" ht="11.25" customHeight="1" x14ac:dyDescent="0.2">
      <c r="C158" s="2" t="s">
        <v>257</v>
      </c>
      <c r="D158" s="4" t="s">
        <v>653</v>
      </c>
      <c r="E158" s="16">
        <v>6312</v>
      </c>
      <c r="F158" s="81">
        <v>41.49</v>
      </c>
    </row>
    <row r="159" spans="1:8" ht="11.25" customHeight="1" x14ac:dyDescent="0.2">
      <c r="C159" s="1" t="s">
        <v>258</v>
      </c>
      <c r="D159" s="4" t="s">
        <v>1737</v>
      </c>
      <c r="E159" s="16">
        <v>1783</v>
      </c>
      <c r="F159" s="81">
        <v>11.72</v>
      </c>
    </row>
    <row r="160" spans="1:8" ht="11.25" customHeight="1" x14ac:dyDescent="0.2">
      <c r="C160" s="1" t="s">
        <v>259</v>
      </c>
      <c r="D160" s="4" t="s">
        <v>655</v>
      </c>
      <c r="E160" s="16">
        <v>1683</v>
      </c>
      <c r="F160" s="81">
        <v>11.07</v>
      </c>
    </row>
    <row r="161" spans="1:8" ht="11.25" customHeight="1" x14ac:dyDescent="0.2">
      <c r="C161" s="1" t="s">
        <v>2318</v>
      </c>
      <c r="E161" s="155" t="s">
        <v>687</v>
      </c>
      <c r="F161" s="158">
        <v>100</v>
      </c>
      <c r="G161" s="155">
        <v>20859</v>
      </c>
      <c r="H161" s="164">
        <v>73.023634881825586</v>
      </c>
    </row>
    <row r="162" spans="1:8" ht="11.25" customHeight="1" x14ac:dyDescent="0.2">
      <c r="C162" s="1" t="s">
        <v>2318</v>
      </c>
    </row>
    <row r="163" spans="1:8" ht="11.25" customHeight="1" x14ac:dyDescent="0.2">
      <c r="A163" s="1" t="s">
        <v>2268</v>
      </c>
      <c r="C163" s="2" t="s">
        <v>1892</v>
      </c>
      <c r="D163" s="4" t="s">
        <v>1736</v>
      </c>
      <c r="E163" s="16">
        <v>4170</v>
      </c>
      <c r="F163" s="81">
        <v>64.38</v>
      </c>
    </row>
    <row r="164" spans="1:8" ht="11.25" customHeight="1" x14ac:dyDescent="0.2">
      <c r="C164" s="1" t="s">
        <v>260</v>
      </c>
      <c r="D164" s="4" t="s">
        <v>653</v>
      </c>
      <c r="E164" s="16">
        <v>1080</v>
      </c>
      <c r="F164" s="81">
        <v>16.670000000000002</v>
      </c>
    </row>
    <row r="165" spans="1:8" ht="11.25" customHeight="1" x14ac:dyDescent="0.2">
      <c r="C165" s="1" t="s">
        <v>261</v>
      </c>
      <c r="D165" s="4" t="s">
        <v>655</v>
      </c>
      <c r="E165" s="16">
        <v>637</v>
      </c>
      <c r="F165" s="81">
        <v>9.84</v>
      </c>
    </row>
    <row r="166" spans="1:8" ht="11.25" customHeight="1" x14ac:dyDescent="0.2">
      <c r="C166" s="1" t="s">
        <v>262</v>
      </c>
      <c r="D166" s="4" t="s">
        <v>1737</v>
      </c>
      <c r="E166" s="16">
        <v>590</v>
      </c>
      <c r="F166" s="81">
        <v>9.11</v>
      </c>
    </row>
    <row r="167" spans="1:8" ht="11.25" customHeight="1" x14ac:dyDescent="0.2">
      <c r="C167" s="1" t="s">
        <v>2318</v>
      </c>
      <c r="E167" s="155" t="s">
        <v>688</v>
      </c>
      <c r="F167" s="158">
        <v>100</v>
      </c>
      <c r="G167" s="155">
        <v>9278</v>
      </c>
      <c r="H167" s="164">
        <v>69.928863979305888</v>
      </c>
    </row>
    <row r="168" spans="1:8" ht="11.25" customHeight="1" x14ac:dyDescent="0.2">
      <c r="C168" s="1" t="s">
        <v>2318</v>
      </c>
    </row>
    <row r="169" spans="1:8" ht="11.25" customHeight="1" x14ac:dyDescent="0.2">
      <c r="A169" s="1" t="s">
        <v>1434</v>
      </c>
      <c r="C169" s="2" t="s">
        <v>1893</v>
      </c>
      <c r="D169" s="4" t="s">
        <v>1736</v>
      </c>
      <c r="E169" s="16">
        <v>4906</v>
      </c>
      <c r="F169" s="81">
        <v>66.97</v>
      </c>
    </row>
    <row r="170" spans="1:8" ht="11.25" customHeight="1" x14ac:dyDescent="0.2">
      <c r="C170" s="1" t="s">
        <v>92</v>
      </c>
      <c r="D170" s="4" t="s">
        <v>655</v>
      </c>
      <c r="E170" s="16">
        <v>1155</v>
      </c>
      <c r="F170" s="81">
        <v>15.76</v>
      </c>
    </row>
    <row r="171" spans="1:8" ht="11.25" customHeight="1" x14ac:dyDescent="0.2">
      <c r="C171" s="1" t="s">
        <v>263</v>
      </c>
      <c r="D171" s="4" t="s">
        <v>1737</v>
      </c>
      <c r="E171" s="16">
        <v>1265</v>
      </c>
      <c r="F171" s="81">
        <v>17.27</v>
      </c>
    </row>
    <row r="172" spans="1:8" ht="11.25" customHeight="1" x14ac:dyDescent="0.2">
      <c r="C172" s="1" t="s">
        <v>2318</v>
      </c>
      <c r="E172" s="155" t="s">
        <v>689</v>
      </c>
      <c r="F172" s="158">
        <v>100</v>
      </c>
      <c r="G172" s="155">
        <v>10400</v>
      </c>
      <c r="H172" s="164">
        <v>70.67307692307692</v>
      </c>
    </row>
    <row r="173" spans="1:8" ht="11.25" customHeight="1" x14ac:dyDescent="0.2">
      <c r="C173" s="1" t="s">
        <v>2318</v>
      </c>
    </row>
    <row r="174" spans="1:8" ht="11.25" customHeight="1" x14ac:dyDescent="0.2">
      <c r="A174" s="1" t="s">
        <v>1977</v>
      </c>
      <c r="C174" s="2" t="s">
        <v>264</v>
      </c>
      <c r="D174" s="4" t="s">
        <v>1736</v>
      </c>
      <c r="E174" s="16">
        <v>8148</v>
      </c>
      <c r="F174" s="81">
        <v>68.459999999999994</v>
      </c>
    </row>
    <row r="175" spans="1:8" ht="11.25" customHeight="1" x14ac:dyDescent="0.2">
      <c r="C175" s="1" t="s">
        <v>1345</v>
      </c>
      <c r="D175" s="4" t="s">
        <v>655</v>
      </c>
      <c r="E175" s="16">
        <v>1124</v>
      </c>
      <c r="F175" s="81">
        <v>9.44</v>
      </c>
    </row>
    <row r="176" spans="1:8" ht="11.25" customHeight="1" x14ac:dyDescent="0.2">
      <c r="C176" s="1" t="s">
        <v>1922</v>
      </c>
      <c r="D176" s="4" t="s">
        <v>1737</v>
      </c>
      <c r="E176" s="16">
        <v>2630</v>
      </c>
      <c r="F176" s="81">
        <v>22.1</v>
      </c>
    </row>
    <row r="177" spans="1:8" ht="11.25" customHeight="1" x14ac:dyDescent="0.2">
      <c r="C177" s="1" t="s">
        <v>2318</v>
      </c>
      <c r="E177" s="155" t="s">
        <v>690</v>
      </c>
      <c r="F177" s="158">
        <v>100</v>
      </c>
      <c r="G177" s="155">
        <v>17017</v>
      </c>
      <c r="H177" s="164">
        <v>70.270905565023213</v>
      </c>
    </row>
    <row r="178" spans="1:8" ht="11.25" customHeight="1" x14ac:dyDescent="0.2">
      <c r="C178" s="1" t="s">
        <v>2318</v>
      </c>
    </row>
    <row r="179" spans="1:8" ht="11.25" customHeight="1" x14ac:dyDescent="0.2">
      <c r="A179" s="1" t="s">
        <v>1969</v>
      </c>
      <c r="C179" s="1" t="s">
        <v>265</v>
      </c>
      <c r="D179" s="4" t="s">
        <v>486</v>
      </c>
      <c r="E179" s="16">
        <v>40</v>
      </c>
      <c r="F179" s="81">
        <v>0.32</v>
      </c>
    </row>
    <row r="180" spans="1:8" ht="11.25" customHeight="1" x14ac:dyDescent="0.2">
      <c r="C180" s="1" t="s">
        <v>3250</v>
      </c>
      <c r="D180" s="4" t="s">
        <v>1737</v>
      </c>
      <c r="E180" s="16">
        <v>1275</v>
      </c>
      <c r="F180" s="81">
        <v>10.25</v>
      </c>
    </row>
    <row r="181" spans="1:8" ht="11.25" customHeight="1" x14ac:dyDescent="0.2">
      <c r="C181" s="1" t="s">
        <v>266</v>
      </c>
      <c r="D181" s="4" t="s">
        <v>1071</v>
      </c>
      <c r="E181" s="16">
        <v>466</v>
      </c>
      <c r="F181" s="81">
        <v>3.75</v>
      </c>
    </row>
    <row r="182" spans="1:8" ht="11.25" customHeight="1" x14ac:dyDescent="0.2">
      <c r="C182" s="2" t="s">
        <v>1894</v>
      </c>
      <c r="D182" s="4" t="s">
        <v>1736</v>
      </c>
      <c r="E182" s="16">
        <v>6606</v>
      </c>
      <c r="F182" s="81">
        <v>53.14</v>
      </c>
    </row>
    <row r="183" spans="1:8" ht="11.25" customHeight="1" x14ac:dyDescent="0.2">
      <c r="C183" s="1" t="s">
        <v>267</v>
      </c>
      <c r="D183" s="4" t="s">
        <v>655</v>
      </c>
      <c r="E183" s="16">
        <v>4045</v>
      </c>
      <c r="F183" s="81">
        <v>32.54</v>
      </c>
    </row>
    <row r="184" spans="1:8" ht="11.25" customHeight="1" x14ac:dyDescent="0.2">
      <c r="C184" s="1" t="s">
        <v>2318</v>
      </c>
      <c r="E184" s="155" t="s">
        <v>691</v>
      </c>
      <c r="F184" s="158">
        <v>100</v>
      </c>
      <c r="G184" s="155">
        <v>18396</v>
      </c>
      <c r="H184" s="164">
        <v>67.862578821482927</v>
      </c>
    </row>
    <row r="185" spans="1:8" ht="11.25" customHeight="1" x14ac:dyDescent="0.2">
      <c r="C185" s="1" t="s">
        <v>2318</v>
      </c>
    </row>
    <row r="186" spans="1:8" ht="11.25" customHeight="1" x14ac:dyDescent="0.2">
      <c r="A186" s="1" t="s">
        <v>1161</v>
      </c>
      <c r="C186" s="1" t="s">
        <v>268</v>
      </c>
      <c r="D186" s="4" t="s">
        <v>486</v>
      </c>
      <c r="E186" s="16">
        <v>37</v>
      </c>
      <c r="F186" s="81">
        <v>0.31</v>
      </c>
    </row>
    <row r="187" spans="1:8" ht="11.25" customHeight="1" x14ac:dyDescent="0.2">
      <c r="C187" s="1" t="s">
        <v>3041</v>
      </c>
      <c r="D187" s="4" t="s">
        <v>653</v>
      </c>
      <c r="E187" s="16">
        <v>512</v>
      </c>
      <c r="F187" s="81">
        <v>4.2699999999999996</v>
      </c>
    </row>
    <row r="188" spans="1:8" ht="11.25" customHeight="1" x14ac:dyDescent="0.2">
      <c r="C188" s="1" t="s">
        <v>269</v>
      </c>
      <c r="D188" s="4" t="s">
        <v>1737</v>
      </c>
      <c r="E188" s="16">
        <v>986</v>
      </c>
      <c r="F188" s="81">
        <v>8.2100000000000009</v>
      </c>
    </row>
    <row r="189" spans="1:8" ht="11.25" customHeight="1" x14ac:dyDescent="0.2">
      <c r="C189" s="2" t="s">
        <v>1075</v>
      </c>
      <c r="D189" s="4" t="s">
        <v>1736</v>
      </c>
      <c r="E189" s="16">
        <v>6579</v>
      </c>
      <c r="F189" s="81">
        <v>54.79</v>
      </c>
    </row>
    <row r="190" spans="1:8" ht="11.25" customHeight="1" x14ac:dyDescent="0.2">
      <c r="C190" s="1" t="s">
        <v>1761</v>
      </c>
      <c r="D190" s="4" t="s">
        <v>655</v>
      </c>
      <c r="E190" s="16">
        <v>3893</v>
      </c>
      <c r="F190" s="81">
        <v>32.42</v>
      </c>
    </row>
    <row r="191" spans="1:8" ht="11.25" customHeight="1" x14ac:dyDescent="0.2">
      <c r="C191" s="1" t="s">
        <v>2318</v>
      </c>
      <c r="E191" s="155" t="s">
        <v>692</v>
      </c>
      <c r="F191" s="158">
        <v>100</v>
      </c>
      <c r="G191" s="155">
        <v>20341</v>
      </c>
      <c r="H191" s="164">
        <v>59.338282287006535</v>
      </c>
    </row>
    <row r="192" spans="1:8" ht="11.25" customHeight="1" x14ac:dyDescent="0.2">
      <c r="C192" s="1" t="s">
        <v>2318</v>
      </c>
    </row>
    <row r="193" spans="1:8" ht="11.25" customHeight="1" x14ac:dyDescent="0.2">
      <c r="A193" s="1" t="s">
        <v>1163</v>
      </c>
      <c r="C193" s="2" t="s">
        <v>1911</v>
      </c>
      <c r="D193" s="4" t="s">
        <v>1736</v>
      </c>
      <c r="E193" s="16">
        <v>6894</v>
      </c>
      <c r="F193" s="81">
        <v>50.62</v>
      </c>
    </row>
    <row r="194" spans="1:8" ht="11.25" customHeight="1" x14ac:dyDescent="0.2">
      <c r="C194" s="1" t="s">
        <v>3007</v>
      </c>
      <c r="D194" s="4" t="s">
        <v>1737</v>
      </c>
      <c r="E194" s="16">
        <v>819</v>
      </c>
      <c r="F194" s="81">
        <v>6.01</v>
      </c>
    </row>
    <row r="195" spans="1:8" ht="11.25" customHeight="1" x14ac:dyDescent="0.2">
      <c r="C195" s="1" t="s">
        <v>270</v>
      </c>
      <c r="D195" s="4" t="s">
        <v>655</v>
      </c>
      <c r="E195" s="16">
        <v>5638</v>
      </c>
      <c r="F195" s="81">
        <v>41.4</v>
      </c>
    </row>
    <row r="196" spans="1:8" ht="11.25" customHeight="1" x14ac:dyDescent="0.2">
      <c r="C196" s="1" t="s">
        <v>271</v>
      </c>
      <c r="D196" s="4" t="s">
        <v>1071</v>
      </c>
      <c r="E196" s="16">
        <v>268</v>
      </c>
      <c r="F196" s="81">
        <v>1.97</v>
      </c>
    </row>
    <row r="197" spans="1:8" ht="11.25" customHeight="1" x14ac:dyDescent="0.2">
      <c r="C197" s="1" t="s">
        <v>2318</v>
      </c>
      <c r="E197" s="155" t="s">
        <v>693</v>
      </c>
      <c r="F197" s="158">
        <v>100</v>
      </c>
      <c r="G197" s="155">
        <v>21759</v>
      </c>
      <c r="H197" s="164">
        <v>62.72347074773657</v>
      </c>
    </row>
    <row r="198" spans="1:8" ht="11.25" customHeight="1" x14ac:dyDescent="0.2">
      <c r="C198" s="1" t="s">
        <v>2318</v>
      </c>
    </row>
    <row r="199" spans="1:8" ht="11.25" customHeight="1" x14ac:dyDescent="0.2">
      <c r="A199" s="1" t="s">
        <v>469</v>
      </c>
      <c r="C199" s="2" t="s">
        <v>1912</v>
      </c>
      <c r="D199" s="4" t="s">
        <v>1736</v>
      </c>
      <c r="E199" s="16">
        <v>8442</v>
      </c>
      <c r="F199" s="81">
        <v>55.38</v>
      </c>
    </row>
    <row r="200" spans="1:8" ht="11.25" customHeight="1" x14ac:dyDescent="0.2">
      <c r="C200" s="1" t="s">
        <v>2459</v>
      </c>
      <c r="D200" s="4" t="s">
        <v>655</v>
      </c>
      <c r="E200" s="16">
        <v>5527</v>
      </c>
      <c r="F200" s="81">
        <v>36.36</v>
      </c>
    </row>
    <row r="201" spans="1:8" ht="11.25" customHeight="1" x14ac:dyDescent="0.2">
      <c r="C201" s="1" t="s">
        <v>3012</v>
      </c>
      <c r="D201" s="4" t="s">
        <v>1737</v>
      </c>
      <c r="E201" s="16">
        <v>1274</v>
      </c>
      <c r="F201" s="81">
        <v>8.36</v>
      </c>
    </row>
    <row r="202" spans="1:8" ht="11.25" customHeight="1" x14ac:dyDescent="0.2">
      <c r="C202" s="1" t="s">
        <v>2318</v>
      </c>
      <c r="E202" s="155" t="s">
        <v>694</v>
      </c>
      <c r="F202" s="158">
        <v>100</v>
      </c>
      <c r="G202" s="155">
        <v>26010</v>
      </c>
      <c r="H202" s="164">
        <v>58.677431757016535</v>
      </c>
    </row>
    <row r="203" spans="1:8" ht="11.25" customHeight="1" x14ac:dyDescent="0.2">
      <c r="C203" s="1" t="s">
        <v>2318</v>
      </c>
    </row>
    <row r="204" spans="1:8" ht="11.25" customHeight="1" x14ac:dyDescent="0.2">
      <c r="A204" s="1" t="s">
        <v>477</v>
      </c>
      <c r="C204" s="2" t="s">
        <v>2983</v>
      </c>
      <c r="D204" s="4" t="s">
        <v>1736</v>
      </c>
      <c r="E204" s="16">
        <v>5414</v>
      </c>
      <c r="F204" s="81">
        <v>49.9</v>
      </c>
    </row>
    <row r="205" spans="1:8" ht="11.25" customHeight="1" x14ac:dyDescent="0.2">
      <c r="C205" s="1" t="s">
        <v>1246</v>
      </c>
      <c r="D205" s="4" t="s">
        <v>1737</v>
      </c>
      <c r="E205" s="16">
        <v>812</v>
      </c>
      <c r="F205" s="81">
        <v>7.48</v>
      </c>
    </row>
    <row r="206" spans="1:8" ht="11.25" customHeight="1" x14ac:dyDescent="0.2">
      <c r="C206" s="1" t="s">
        <v>1248</v>
      </c>
      <c r="D206" s="4" t="s">
        <v>1071</v>
      </c>
      <c r="E206" s="16">
        <v>197</v>
      </c>
      <c r="F206" s="81">
        <v>1.82</v>
      </c>
    </row>
    <row r="207" spans="1:8" ht="11.25" customHeight="1" x14ac:dyDescent="0.2">
      <c r="C207" s="1" t="s">
        <v>1247</v>
      </c>
      <c r="D207" s="4" t="s">
        <v>1072</v>
      </c>
      <c r="E207" s="16">
        <v>849</v>
      </c>
      <c r="F207" s="81">
        <v>7.82</v>
      </c>
    </row>
    <row r="208" spans="1:8" ht="11.25" customHeight="1" x14ac:dyDescent="0.2">
      <c r="C208" s="1" t="s">
        <v>272</v>
      </c>
      <c r="D208" s="4" t="s">
        <v>655</v>
      </c>
      <c r="E208" s="16">
        <v>3578</v>
      </c>
      <c r="F208" s="81">
        <v>32.979999999999997</v>
      </c>
    </row>
    <row r="209" spans="1:8" ht="11.25" customHeight="1" x14ac:dyDescent="0.2">
      <c r="C209" s="1" t="s">
        <v>2318</v>
      </c>
      <c r="E209" s="155" t="s">
        <v>695</v>
      </c>
      <c r="F209" s="158">
        <v>100</v>
      </c>
      <c r="G209" s="155">
        <v>17701</v>
      </c>
      <c r="H209" s="164">
        <v>61.516298514208238</v>
      </c>
    </row>
    <row r="210" spans="1:8" ht="11.25" customHeight="1" x14ac:dyDescent="0.2">
      <c r="C210" s="1" t="s">
        <v>2318</v>
      </c>
    </row>
    <row r="211" spans="1:8" ht="11.25" customHeight="1" x14ac:dyDescent="0.2">
      <c r="A211" s="1" t="s">
        <v>1092</v>
      </c>
      <c r="C211" s="2" t="s">
        <v>1913</v>
      </c>
      <c r="D211" s="4" t="s">
        <v>1736</v>
      </c>
      <c r="E211" s="16">
        <v>5997</v>
      </c>
      <c r="F211" s="81">
        <v>58.71</v>
      </c>
    </row>
    <row r="212" spans="1:8" ht="11.25" customHeight="1" x14ac:dyDescent="0.2">
      <c r="C212" s="1" t="s">
        <v>2967</v>
      </c>
      <c r="D212" s="4" t="s">
        <v>1737</v>
      </c>
      <c r="E212" s="16">
        <v>1037</v>
      </c>
      <c r="F212" s="81">
        <v>10.15</v>
      </c>
    </row>
    <row r="213" spans="1:8" ht="11.25" customHeight="1" x14ac:dyDescent="0.2">
      <c r="C213" s="1" t="s">
        <v>273</v>
      </c>
      <c r="D213" s="4" t="s">
        <v>655</v>
      </c>
      <c r="E213" s="16">
        <v>3181</v>
      </c>
      <c r="F213" s="81">
        <v>31.14</v>
      </c>
    </row>
    <row r="214" spans="1:8" ht="11.25" customHeight="1" x14ac:dyDescent="0.2">
      <c r="C214" s="1" t="s">
        <v>2318</v>
      </c>
      <c r="E214" s="155" t="s">
        <v>696</v>
      </c>
      <c r="F214" s="158">
        <v>100</v>
      </c>
      <c r="G214" s="155">
        <v>16441</v>
      </c>
      <c r="H214" s="164">
        <v>62.484033817894286</v>
      </c>
    </row>
    <row r="215" spans="1:8" ht="11.25" customHeight="1" x14ac:dyDescent="0.2">
      <c r="C215" s="1" t="s">
        <v>2318</v>
      </c>
    </row>
    <row r="216" spans="1:8" ht="11.25" customHeight="1" x14ac:dyDescent="0.2">
      <c r="A216" s="1" t="s">
        <v>1096</v>
      </c>
      <c r="C216" s="2" t="s">
        <v>1914</v>
      </c>
      <c r="D216" s="4" t="s">
        <v>1736</v>
      </c>
      <c r="E216" s="16">
        <v>7724</v>
      </c>
      <c r="F216" s="81">
        <v>61.98</v>
      </c>
    </row>
    <row r="217" spans="1:8" ht="11.25" customHeight="1" x14ac:dyDescent="0.2">
      <c r="C217" s="1" t="s">
        <v>2984</v>
      </c>
      <c r="D217" s="4" t="s">
        <v>1737</v>
      </c>
      <c r="E217" s="16">
        <v>1649</v>
      </c>
      <c r="F217" s="81">
        <v>13.23</v>
      </c>
    </row>
    <row r="218" spans="1:8" ht="11.25" customHeight="1" x14ac:dyDescent="0.2">
      <c r="C218" s="1" t="s">
        <v>988</v>
      </c>
      <c r="D218" s="4" t="s">
        <v>1072</v>
      </c>
      <c r="E218" s="16">
        <v>534</v>
      </c>
      <c r="F218" s="81">
        <v>4.29</v>
      </c>
    </row>
    <row r="219" spans="1:8" ht="11.25" customHeight="1" x14ac:dyDescent="0.2">
      <c r="C219" s="1" t="s">
        <v>274</v>
      </c>
      <c r="D219" s="4" t="s">
        <v>655</v>
      </c>
      <c r="E219" s="16">
        <v>2555</v>
      </c>
      <c r="F219" s="81">
        <v>20.5</v>
      </c>
    </row>
    <row r="220" spans="1:8" ht="11.25" customHeight="1" x14ac:dyDescent="0.2">
      <c r="C220" s="1" t="s">
        <v>2318</v>
      </c>
      <c r="E220" s="155" t="s">
        <v>697</v>
      </c>
      <c r="F220" s="158">
        <v>100</v>
      </c>
      <c r="G220" s="155">
        <v>17928</v>
      </c>
      <c r="H220" s="164">
        <v>69.622936189201255</v>
      </c>
    </row>
    <row r="221" spans="1:8" ht="11.25" customHeight="1" x14ac:dyDescent="0.2">
      <c r="C221" s="1" t="s">
        <v>2318</v>
      </c>
    </row>
    <row r="222" spans="1:8" ht="11.25" customHeight="1" x14ac:dyDescent="0.2">
      <c r="A222" s="1" t="s">
        <v>1100</v>
      </c>
      <c r="C222" s="1" t="s">
        <v>275</v>
      </c>
      <c r="D222" s="4" t="s">
        <v>653</v>
      </c>
      <c r="E222" s="16">
        <v>387</v>
      </c>
      <c r="F222" s="81">
        <v>3.04</v>
      </c>
    </row>
    <row r="223" spans="1:8" ht="11.25" customHeight="1" x14ac:dyDescent="0.2">
      <c r="C223" s="1" t="s">
        <v>2336</v>
      </c>
      <c r="D223" s="4" t="s">
        <v>655</v>
      </c>
      <c r="E223" s="16">
        <v>3563</v>
      </c>
      <c r="F223" s="81">
        <v>27.98</v>
      </c>
    </row>
    <row r="224" spans="1:8" ht="11.25" customHeight="1" x14ac:dyDescent="0.2">
      <c r="C224" s="2" t="s">
        <v>276</v>
      </c>
      <c r="D224" s="4" t="s">
        <v>1736</v>
      </c>
      <c r="E224" s="16">
        <v>7223</v>
      </c>
      <c r="F224" s="81">
        <v>56.71</v>
      </c>
    </row>
    <row r="225" spans="1:8" ht="11.25" customHeight="1" x14ac:dyDescent="0.2">
      <c r="C225" s="1" t="s">
        <v>1195</v>
      </c>
      <c r="D225" s="4" t="s">
        <v>1072</v>
      </c>
      <c r="E225" s="16">
        <v>567</v>
      </c>
      <c r="F225" s="81">
        <v>4.45</v>
      </c>
    </row>
    <row r="226" spans="1:8" ht="11.25" customHeight="1" x14ac:dyDescent="0.2">
      <c r="C226" s="1" t="s">
        <v>277</v>
      </c>
      <c r="D226" s="4" t="s">
        <v>1737</v>
      </c>
      <c r="E226" s="16">
        <v>996</v>
      </c>
      <c r="F226" s="81">
        <v>7.82</v>
      </c>
    </row>
    <row r="227" spans="1:8" ht="11.25" customHeight="1" x14ac:dyDescent="0.2">
      <c r="C227" s="1" t="s">
        <v>2318</v>
      </c>
      <c r="E227" s="155" t="s">
        <v>698</v>
      </c>
      <c r="F227" s="158">
        <v>100</v>
      </c>
      <c r="G227" s="155">
        <v>17838</v>
      </c>
      <c r="H227" s="164">
        <v>71.482228949433789</v>
      </c>
    </row>
    <row r="228" spans="1:8" ht="11.25" customHeight="1" x14ac:dyDescent="0.2">
      <c r="C228" s="1" t="s">
        <v>2318</v>
      </c>
    </row>
    <row r="229" spans="1:8" ht="11.25" customHeight="1" x14ac:dyDescent="0.2">
      <c r="A229" s="1" t="s">
        <v>1105</v>
      </c>
      <c r="C229" s="1" t="s">
        <v>278</v>
      </c>
      <c r="D229" s="4" t="s">
        <v>655</v>
      </c>
      <c r="E229" s="16">
        <v>3493</v>
      </c>
      <c r="F229" s="81">
        <v>37.01</v>
      </c>
    </row>
    <row r="230" spans="1:8" ht="11.25" customHeight="1" x14ac:dyDescent="0.2">
      <c r="C230" s="2" t="s">
        <v>1916</v>
      </c>
      <c r="D230" s="4" t="s">
        <v>1736</v>
      </c>
      <c r="E230" s="16">
        <v>5157</v>
      </c>
      <c r="F230" s="81">
        <v>54.65</v>
      </c>
    </row>
    <row r="231" spans="1:8" ht="11.25" customHeight="1" x14ac:dyDescent="0.2">
      <c r="C231" s="1" t="s">
        <v>279</v>
      </c>
      <c r="D231" s="4" t="s">
        <v>1737</v>
      </c>
      <c r="E231" s="16">
        <v>721</v>
      </c>
      <c r="F231" s="81">
        <v>7.64</v>
      </c>
    </row>
    <row r="232" spans="1:8" ht="11.25" customHeight="1" x14ac:dyDescent="0.2">
      <c r="C232" s="1" t="s">
        <v>280</v>
      </c>
      <c r="D232" s="4" t="s">
        <v>486</v>
      </c>
      <c r="E232" s="16">
        <v>66</v>
      </c>
      <c r="F232" s="81">
        <v>0.7</v>
      </c>
    </row>
    <row r="233" spans="1:8" ht="11.25" customHeight="1" x14ac:dyDescent="0.2">
      <c r="C233" s="1" t="s">
        <v>2318</v>
      </c>
      <c r="E233" s="155" t="s">
        <v>699</v>
      </c>
      <c r="F233" s="158">
        <v>100</v>
      </c>
      <c r="G233" s="155">
        <v>16030</v>
      </c>
      <c r="H233" s="164">
        <v>59.182782283218963</v>
      </c>
    </row>
    <row r="234" spans="1:8" ht="11.25" customHeight="1" x14ac:dyDescent="0.2">
      <c r="C234" s="1" t="s">
        <v>2318</v>
      </c>
    </row>
    <row r="235" spans="1:8" ht="11.25" customHeight="1" x14ac:dyDescent="0.2">
      <c r="A235" s="1" t="s">
        <v>772</v>
      </c>
      <c r="C235" s="1" t="s">
        <v>281</v>
      </c>
      <c r="D235" s="4" t="s">
        <v>655</v>
      </c>
      <c r="E235" s="16">
        <v>3498</v>
      </c>
      <c r="F235" s="81">
        <v>30.08</v>
      </c>
    </row>
    <row r="236" spans="1:8" ht="11.25" customHeight="1" x14ac:dyDescent="0.2">
      <c r="C236" s="1" t="s">
        <v>282</v>
      </c>
      <c r="D236" s="4" t="s">
        <v>1738</v>
      </c>
      <c r="E236" s="16">
        <v>179</v>
      </c>
      <c r="F236" s="81">
        <v>1.54</v>
      </c>
    </row>
    <row r="237" spans="1:8" ht="11.25" customHeight="1" x14ac:dyDescent="0.2">
      <c r="C237" s="1" t="s">
        <v>283</v>
      </c>
      <c r="D237" s="4" t="s">
        <v>1071</v>
      </c>
      <c r="E237" s="16">
        <v>241</v>
      </c>
      <c r="F237" s="81">
        <v>2.0699999999999998</v>
      </c>
    </row>
    <row r="238" spans="1:8" ht="11.25" customHeight="1" x14ac:dyDescent="0.2">
      <c r="C238" s="1" t="s">
        <v>284</v>
      </c>
      <c r="D238" s="4" t="s">
        <v>1737</v>
      </c>
      <c r="E238" s="16">
        <v>987</v>
      </c>
      <c r="F238" s="81">
        <v>8.49</v>
      </c>
    </row>
    <row r="239" spans="1:8" ht="11.25" customHeight="1" x14ac:dyDescent="0.2">
      <c r="C239" s="2" t="s">
        <v>1917</v>
      </c>
      <c r="D239" s="4" t="s">
        <v>1736</v>
      </c>
      <c r="E239" s="16">
        <v>6723</v>
      </c>
      <c r="F239" s="81">
        <v>57.82</v>
      </c>
    </row>
    <row r="240" spans="1:8" ht="11.25" customHeight="1" x14ac:dyDescent="0.2">
      <c r="C240" s="1" t="s">
        <v>2318</v>
      </c>
      <c r="E240" s="155" t="s">
        <v>700</v>
      </c>
      <c r="F240" s="158">
        <v>100</v>
      </c>
      <c r="G240" s="155">
        <v>18734</v>
      </c>
      <c r="H240" s="164">
        <v>62.378563040461195</v>
      </c>
    </row>
    <row r="241" spans="1:8" ht="11.25" customHeight="1" x14ac:dyDescent="0.2">
      <c r="C241" s="1" t="s">
        <v>2318</v>
      </c>
    </row>
    <row r="242" spans="1:8" ht="11.25" customHeight="1" x14ac:dyDescent="0.2">
      <c r="A242" s="1" t="s">
        <v>742</v>
      </c>
      <c r="C242" s="1" t="s">
        <v>285</v>
      </c>
      <c r="D242" s="4" t="s">
        <v>1072</v>
      </c>
      <c r="E242" s="16">
        <v>318</v>
      </c>
      <c r="F242" s="81">
        <v>3.09</v>
      </c>
    </row>
    <row r="243" spans="1:8" ht="11.25" customHeight="1" x14ac:dyDescent="0.2">
      <c r="C243" s="1" t="s">
        <v>286</v>
      </c>
      <c r="D243" s="4" t="s">
        <v>653</v>
      </c>
      <c r="E243" s="16">
        <v>950</v>
      </c>
      <c r="F243" s="81">
        <v>9.2200000000000006</v>
      </c>
    </row>
    <row r="244" spans="1:8" ht="11.25" customHeight="1" x14ac:dyDescent="0.2">
      <c r="C244" s="1" t="s">
        <v>3268</v>
      </c>
      <c r="D244" s="4" t="s">
        <v>1071</v>
      </c>
      <c r="E244" s="16">
        <v>192</v>
      </c>
      <c r="F244" s="81">
        <v>1.86</v>
      </c>
    </row>
    <row r="245" spans="1:8" ht="11.25" customHeight="1" x14ac:dyDescent="0.2">
      <c r="C245" s="1" t="s">
        <v>2996</v>
      </c>
      <c r="D245" s="4" t="s">
        <v>1737</v>
      </c>
      <c r="E245" s="16">
        <v>669</v>
      </c>
      <c r="F245" s="81">
        <v>6.5</v>
      </c>
    </row>
    <row r="246" spans="1:8" ht="11.25" customHeight="1" x14ac:dyDescent="0.2">
      <c r="C246" s="1" t="s">
        <v>3163</v>
      </c>
      <c r="D246" s="4" t="s">
        <v>655</v>
      </c>
      <c r="E246" s="16">
        <v>3879</v>
      </c>
      <c r="F246" s="81">
        <v>37.65</v>
      </c>
    </row>
    <row r="247" spans="1:8" ht="11.25" customHeight="1" x14ac:dyDescent="0.2">
      <c r="C247" s="2" t="s">
        <v>287</v>
      </c>
      <c r="D247" s="4" t="s">
        <v>1736</v>
      </c>
      <c r="E247" s="16">
        <v>4294</v>
      </c>
      <c r="F247" s="81">
        <v>41.68</v>
      </c>
    </row>
    <row r="248" spans="1:8" ht="11.25" customHeight="1" x14ac:dyDescent="0.2">
      <c r="C248" s="1" t="s">
        <v>2318</v>
      </c>
      <c r="E248" s="155" t="s">
        <v>701</v>
      </c>
      <c r="F248" s="158">
        <v>100</v>
      </c>
      <c r="G248" s="155">
        <v>16375</v>
      </c>
      <c r="H248" s="164">
        <v>63.010687022900761</v>
      </c>
    </row>
    <row r="249" spans="1:8" ht="11.25" customHeight="1" x14ac:dyDescent="0.2">
      <c r="C249" s="1" t="s">
        <v>2318</v>
      </c>
    </row>
    <row r="250" spans="1:8" ht="11.25" customHeight="1" x14ac:dyDescent="0.2">
      <c r="A250" s="1" t="s">
        <v>1118</v>
      </c>
      <c r="C250" s="2" t="s">
        <v>1762</v>
      </c>
      <c r="D250" s="4" t="s">
        <v>1736</v>
      </c>
      <c r="E250" s="16">
        <v>10817</v>
      </c>
      <c r="F250" s="81">
        <v>58.59</v>
      </c>
    </row>
    <row r="251" spans="1:8" ht="11.25" customHeight="1" x14ac:dyDescent="0.2">
      <c r="C251" s="1" t="s">
        <v>288</v>
      </c>
      <c r="D251" s="4" t="s">
        <v>1072</v>
      </c>
      <c r="E251" s="16">
        <v>776</v>
      </c>
      <c r="F251" s="81">
        <v>4.2</v>
      </c>
    </row>
    <row r="252" spans="1:8" ht="11.25" customHeight="1" x14ac:dyDescent="0.2">
      <c r="C252" s="1" t="s">
        <v>289</v>
      </c>
      <c r="D252" s="4" t="s">
        <v>653</v>
      </c>
      <c r="E252" s="16">
        <v>423</v>
      </c>
      <c r="F252" s="81">
        <v>2.29</v>
      </c>
    </row>
    <row r="253" spans="1:8" ht="11.25" customHeight="1" x14ac:dyDescent="0.2">
      <c r="C253" s="1" t="s">
        <v>290</v>
      </c>
      <c r="D253" s="4" t="s">
        <v>1071</v>
      </c>
      <c r="E253" s="16">
        <v>345</v>
      </c>
      <c r="F253" s="81">
        <v>1.87</v>
      </c>
    </row>
    <row r="254" spans="1:8" ht="11.25" customHeight="1" x14ac:dyDescent="0.2">
      <c r="C254" s="1" t="s">
        <v>291</v>
      </c>
      <c r="D254" s="4" t="s">
        <v>655</v>
      </c>
      <c r="E254" s="16">
        <v>4590</v>
      </c>
      <c r="F254" s="81">
        <v>24.86</v>
      </c>
    </row>
    <row r="255" spans="1:8" ht="11.25" customHeight="1" x14ac:dyDescent="0.2">
      <c r="C255" s="1" t="s">
        <v>292</v>
      </c>
      <c r="D255" s="4" t="s">
        <v>1737</v>
      </c>
      <c r="E255" s="16">
        <v>1511</v>
      </c>
      <c r="F255" s="81">
        <v>8.19</v>
      </c>
    </row>
    <row r="256" spans="1:8" ht="11.25" customHeight="1" x14ac:dyDescent="0.2">
      <c r="C256" s="1" t="s">
        <v>2318</v>
      </c>
      <c r="E256" s="155" t="s">
        <v>702</v>
      </c>
      <c r="F256" s="158">
        <v>100</v>
      </c>
      <c r="G256" s="155">
        <v>29252</v>
      </c>
      <c r="H256" s="164">
        <v>63.270887460686446</v>
      </c>
    </row>
    <row r="257" spans="1:8" ht="11.25" customHeight="1" x14ac:dyDescent="0.2">
      <c r="C257" s="1" t="s">
        <v>2318</v>
      </c>
    </row>
    <row r="258" spans="1:8" ht="11.25" customHeight="1" x14ac:dyDescent="0.2">
      <c r="A258" s="1" t="s">
        <v>977</v>
      </c>
      <c r="C258" s="1" t="s">
        <v>293</v>
      </c>
      <c r="D258" s="4" t="s">
        <v>1737</v>
      </c>
      <c r="E258" s="16">
        <v>1894</v>
      </c>
      <c r="F258" s="81">
        <v>10.48</v>
      </c>
    </row>
    <row r="259" spans="1:8" ht="11.25" customHeight="1" x14ac:dyDescent="0.2">
      <c r="C259" s="1" t="s">
        <v>2476</v>
      </c>
      <c r="D259" s="4" t="s">
        <v>655</v>
      </c>
      <c r="E259" s="16">
        <v>5159</v>
      </c>
      <c r="F259" s="81">
        <v>28.55</v>
      </c>
    </row>
    <row r="260" spans="1:8" ht="11.25" customHeight="1" x14ac:dyDescent="0.2">
      <c r="C260" s="1" t="s">
        <v>294</v>
      </c>
      <c r="D260" s="4" t="s">
        <v>1071</v>
      </c>
      <c r="E260" s="16">
        <v>329</v>
      </c>
      <c r="F260" s="81">
        <v>1.82</v>
      </c>
    </row>
    <row r="261" spans="1:8" ht="11.25" customHeight="1" x14ac:dyDescent="0.2">
      <c r="C261" s="1" t="s">
        <v>295</v>
      </c>
      <c r="D261" s="4" t="s">
        <v>1072</v>
      </c>
      <c r="E261" s="16">
        <v>590</v>
      </c>
      <c r="F261" s="81">
        <v>3.27</v>
      </c>
    </row>
    <row r="262" spans="1:8" ht="11.25" customHeight="1" x14ac:dyDescent="0.2">
      <c r="C262" s="2" t="s">
        <v>492</v>
      </c>
      <c r="D262" s="4" t="s">
        <v>1736</v>
      </c>
      <c r="E262" s="16">
        <v>10095</v>
      </c>
      <c r="F262" s="81">
        <v>55.88</v>
      </c>
    </row>
    <row r="263" spans="1:8" ht="11.25" customHeight="1" x14ac:dyDescent="0.2">
      <c r="C263" s="1" t="s">
        <v>2318</v>
      </c>
      <c r="E263" s="155" t="s">
        <v>703</v>
      </c>
      <c r="F263" s="158">
        <v>100</v>
      </c>
      <c r="G263" s="155">
        <v>29614</v>
      </c>
      <c r="H263" s="164">
        <v>61.140001350712502</v>
      </c>
    </row>
    <row r="264" spans="1:8" ht="11.25" customHeight="1" x14ac:dyDescent="0.2">
      <c r="C264" s="1" t="s">
        <v>2318</v>
      </c>
    </row>
    <row r="265" spans="1:8" ht="11.25" customHeight="1" x14ac:dyDescent="0.2">
      <c r="A265" s="1" t="s">
        <v>981</v>
      </c>
      <c r="C265" s="1" t="s">
        <v>2980</v>
      </c>
      <c r="D265" s="4" t="s">
        <v>1736</v>
      </c>
      <c r="E265" s="16">
        <v>4782</v>
      </c>
      <c r="F265" s="81">
        <v>45.51</v>
      </c>
    </row>
    <row r="266" spans="1:8" ht="11.25" customHeight="1" x14ac:dyDescent="0.2">
      <c r="C266" s="1" t="s">
        <v>296</v>
      </c>
      <c r="D266" s="4" t="s">
        <v>1737</v>
      </c>
      <c r="E266" s="16">
        <v>569</v>
      </c>
      <c r="F266" s="81">
        <v>5.42</v>
      </c>
    </row>
    <row r="267" spans="1:8" ht="11.25" customHeight="1" x14ac:dyDescent="0.2">
      <c r="C267" s="2" t="s">
        <v>1196</v>
      </c>
      <c r="D267" s="4" t="s">
        <v>655</v>
      </c>
      <c r="E267" s="16">
        <v>4857</v>
      </c>
      <c r="F267" s="81">
        <v>46.22</v>
      </c>
    </row>
    <row r="268" spans="1:8" ht="11.25" customHeight="1" x14ac:dyDescent="0.2">
      <c r="C268" s="1" t="s">
        <v>1759</v>
      </c>
      <c r="D268" s="4" t="s">
        <v>486</v>
      </c>
      <c r="E268" s="16">
        <v>37</v>
      </c>
      <c r="F268" s="81">
        <v>0.35</v>
      </c>
    </row>
    <row r="269" spans="1:8" ht="11.25" customHeight="1" x14ac:dyDescent="0.2">
      <c r="C269" s="1" t="s">
        <v>297</v>
      </c>
      <c r="D269" s="4" t="s">
        <v>653</v>
      </c>
      <c r="E269" s="16">
        <v>263</v>
      </c>
      <c r="F269" s="81">
        <v>2.5</v>
      </c>
    </row>
    <row r="270" spans="1:8" ht="11.25" customHeight="1" x14ac:dyDescent="0.2">
      <c r="C270" s="1" t="s">
        <v>2318</v>
      </c>
      <c r="E270" s="155" t="s">
        <v>704</v>
      </c>
      <c r="F270" s="158">
        <v>100</v>
      </c>
      <c r="G270" s="155">
        <v>17050</v>
      </c>
      <c r="H270" s="164">
        <v>61.976539589442815</v>
      </c>
    </row>
    <row r="271" spans="1:8" ht="11.25" customHeight="1" x14ac:dyDescent="0.2">
      <c r="C271" s="1" t="s">
        <v>2318</v>
      </c>
    </row>
    <row r="272" spans="1:8" ht="11.25" customHeight="1" x14ac:dyDescent="0.2">
      <c r="A272" s="1" t="s">
        <v>3119</v>
      </c>
      <c r="C272" s="2" t="s">
        <v>1511</v>
      </c>
      <c r="D272" s="4" t="s">
        <v>1736</v>
      </c>
      <c r="E272" s="16">
        <v>8229</v>
      </c>
      <c r="F272" s="81">
        <v>55.37</v>
      </c>
    </row>
    <row r="273" spans="1:8" ht="11.25" customHeight="1" x14ac:dyDescent="0.2">
      <c r="C273" s="1" t="s">
        <v>298</v>
      </c>
      <c r="D273" s="4" t="s">
        <v>486</v>
      </c>
      <c r="E273" s="16">
        <v>39</v>
      </c>
      <c r="F273" s="81">
        <v>0.26</v>
      </c>
    </row>
    <row r="274" spans="1:8" ht="11.25" customHeight="1" x14ac:dyDescent="0.2">
      <c r="C274" s="1" t="s">
        <v>299</v>
      </c>
      <c r="D274" s="4" t="s">
        <v>1737</v>
      </c>
      <c r="E274" s="16">
        <v>823</v>
      </c>
      <c r="F274" s="81">
        <v>5.54</v>
      </c>
    </row>
    <row r="275" spans="1:8" ht="11.25" customHeight="1" x14ac:dyDescent="0.2">
      <c r="C275" s="1" t="s">
        <v>1197</v>
      </c>
      <c r="D275" s="4" t="s">
        <v>655</v>
      </c>
      <c r="E275" s="16">
        <v>5771</v>
      </c>
      <c r="F275" s="81">
        <v>38.83</v>
      </c>
    </row>
    <row r="276" spans="1:8" ht="11.25" customHeight="1" x14ac:dyDescent="0.2">
      <c r="C276" s="1" t="s">
        <v>2318</v>
      </c>
      <c r="E276" s="155" t="s">
        <v>705</v>
      </c>
      <c r="F276" s="158">
        <v>100</v>
      </c>
      <c r="G276" s="155">
        <v>20154</v>
      </c>
      <c r="H276" s="164">
        <v>73.836459263669738</v>
      </c>
    </row>
    <row r="277" spans="1:8" ht="11.25" customHeight="1" x14ac:dyDescent="0.2">
      <c r="C277" s="1" t="s">
        <v>2318</v>
      </c>
    </row>
    <row r="278" spans="1:8" ht="11.25" customHeight="1" x14ac:dyDescent="0.2">
      <c r="A278" s="1" t="s">
        <v>406</v>
      </c>
      <c r="C278" s="1" t="s">
        <v>300</v>
      </c>
      <c r="D278" s="4" t="s">
        <v>1738</v>
      </c>
      <c r="E278" s="16">
        <v>450</v>
      </c>
      <c r="F278" s="81">
        <v>2.93</v>
      </c>
    </row>
    <row r="279" spans="1:8" ht="11.25" customHeight="1" x14ac:dyDescent="0.2">
      <c r="C279" s="1" t="s">
        <v>301</v>
      </c>
      <c r="D279" s="4" t="s">
        <v>1737</v>
      </c>
      <c r="E279" s="16">
        <v>3029</v>
      </c>
      <c r="F279" s="81">
        <v>19.739999999999998</v>
      </c>
    </row>
    <row r="280" spans="1:8" ht="11.25" customHeight="1" x14ac:dyDescent="0.2">
      <c r="C280" s="1" t="s">
        <v>2935</v>
      </c>
      <c r="D280" s="4" t="s">
        <v>655</v>
      </c>
      <c r="E280" s="16">
        <v>3462</v>
      </c>
      <c r="F280" s="81">
        <v>22.57</v>
      </c>
    </row>
    <row r="281" spans="1:8" ht="11.25" customHeight="1" x14ac:dyDescent="0.2">
      <c r="C281" s="2" t="s">
        <v>1512</v>
      </c>
      <c r="D281" s="4" t="s">
        <v>1736</v>
      </c>
      <c r="E281" s="16">
        <v>8401</v>
      </c>
      <c r="F281" s="81">
        <v>54.76</v>
      </c>
      <c r="G281" s="19"/>
    </row>
    <row r="282" spans="1:8" ht="11.25" customHeight="1" x14ac:dyDescent="0.2">
      <c r="C282" s="1" t="s">
        <v>2318</v>
      </c>
      <c r="E282" s="155" t="s">
        <v>706</v>
      </c>
      <c r="F282" s="158">
        <v>100</v>
      </c>
      <c r="G282" s="155">
        <v>20400</v>
      </c>
      <c r="H282" s="164">
        <v>75.284313725490193</v>
      </c>
    </row>
    <row r="283" spans="1:8" ht="11.25" customHeight="1" x14ac:dyDescent="0.2">
      <c r="C283" s="1" t="s">
        <v>2318</v>
      </c>
    </row>
    <row r="284" spans="1:8" ht="11.25" customHeight="1" x14ac:dyDescent="0.2">
      <c r="A284" s="1" t="s">
        <v>994</v>
      </c>
      <c r="C284" s="1" t="s">
        <v>302</v>
      </c>
      <c r="D284" s="4" t="s">
        <v>1737</v>
      </c>
      <c r="E284" s="16">
        <v>743</v>
      </c>
      <c r="F284" s="81">
        <v>5.01</v>
      </c>
    </row>
    <row r="285" spans="1:8" ht="11.25" customHeight="1" x14ac:dyDescent="0.2">
      <c r="C285" s="1" t="s">
        <v>2334</v>
      </c>
      <c r="D285" s="4" t="s">
        <v>486</v>
      </c>
      <c r="E285" s="16">
        <v>64</v>
      </c>
      <c r="F285" s="81">
        <v>0.43</v>
      </c>
    </row>
    <row r="286" spans="1:8" ht="11.25" customHeight="1" x14ac:dyDescent="0.2">
      <c r="C286" s="2" t="s">
        <v>1513</v>
      </c>
      <c r="D286" s="4" t="s">
        <v>1736</v>
      </c>
      <c r="E286" s="16">
        <v>7105</v>
      </c>
      <c r="F286" s="81">
        <v>47.9</v>
      </c>
    </row>
    <row r="287" spans="1:8" ht="11.25" customHeight="1" x14ac:dyDescent="0.2">
      <c r="C287" s="1" t="s">
        <v>303</v>
      </c>
      <c r="D287" s="4" t="s">
        <v>1738</v>
      </c>
      <c r="E287" s="16">
        <v>279</v>
      </c>
      <c r="F287" s="81">
        <v>1.88</v>
      </c>
    </row>
    <row r="288" spans="1:8" ht="11.25" customHeight="1" x14ac:dyDescent="0.2">
      <c r="C288" s="1" t="s">
        <v>3252</v>
      </c>
      <c r="D288" s="4" t="s">
        <v>655</v>
      </c>
      <c r="E288" s="16">
        <v>6643</v>
      </c>
      <c r="F288" s="81">
        <v>44.78</v>
      </c>
    </row>
    <row r="289" spans="1:8" ht="11.25" customHeight="1" x14ac:dyDescent="0.2">
      <c r="C289" s="1" t="s">
        <v>2318</v>
      </c>
      <c r="E289" s="155" t="s">
        <v>707</v>
      </c>
      <c r="F289" s="158">
        <v>100</v>
      </c>
      <c r="G289" s="155">
        <v>20216</v>
      </c>
      <c r="H289" s="164">
        <v>73.629798179659673</v>
      </c>
    </row>
    <row r="290" spans="1:8" ht="11.25" customHeight="1" x14ac:dyDescent="0.2">
      <c r="C290" s="1" t="s">
        <v>2318</v>
      </c>
    </row>
    <row r="291" spans="1:8" ht="11.25" customHeight="1" x14ac:dyDescent="0.2">
      <c r="A291" s="1" t="s">
        <v>999</v>
      </c>
      <c r="C291" s="2" t="s">
        <v>304</v>
      </c>
      <c r="D291" s="4" t="s">
        <v>1736</v>
      </c>
      <c r="E291" s="16">
        <v>10696</v>
      </c>
      <c r="F291" s="81">
        <v>59.05</v>
      </c>
    </row>
    <row r="292" spans="1:8" ht="11.25" customHeight="1" x14ac:dyDescent="0.2">
      <c r="C292" s="1" t="s">
        <v>305</v>
      </c>
      <c r="D292" s="4" t="s">
        <v>655</v>
      </c>
      <c r="E292" s="16">
        <v>4884</v>
      </c>
      <c r="F292" s="81">
        <v>26.97</v>
      </c>
    </row>
    <row r="293" spans="1:8" ht="11.25" customHeight="1" x14ac:dyDescent="0.2">
      <c r="C293" s="1" t="s">
        <v>306</v>
      </c>
      <c r="D293" s="4" t="s">
        <v>1737</v>
      </c>
      <c r="E293" s="16">
        <v>1209</v>
      </c>
      <c r="F293" s="81">
        <v>6.67</v>
      </c>
    </row>
    <row r="294" spans="1:8" ht="11.25" customHeight="1" x14ac:dyDescent="0.2">
      <c r="C294" s="1" t="s">
        <v>3002</v>
      </c>
      <c r="D294" s="4" t="s">
        <v>1072</v>
      </c>
      <c r="E294" s="16">
        <v>791</v>
      </c>
      <c r="F294" s="81">
        <v>4.37</v>
      </c>
    </row>
    <row r="295" spans="1:8" ht="11.25" customHeight="1" x14ac:dyDescent="0.2">
      <c r="C295" s="1" t="s">
        <v>307</v>
      </c>
      <c r="D295" s="4" t="s">
        <v>1071</v>
      </c>
      <c r="E295" s="16">
        <v>241</v>
      </c>
      <c r="F295" s="81">
        <v>1.33</v>
      </c>
    </row>
    <row r="296" spans="1:8" ht="11.25" customHeight="1" x14ac:dyDescent="0.2">
      <c r="C296" s="1" t="s">
        <v>308</v>
      </c>
      <c r="D296" s="4" t="s">
        <v>653</v>
      </c>
      <c r="E296" s="16">
        <v>291</v>
      </c>
      <c r="F296" s="81">
        <v>1.61</v>
      </c>
    </row>
    <row r="297" spans="1:8" ht="11.25" customHeight="1" x14ac:dyDescent="0.2">
      <c r="C297" s="1" t="s">
        <v>2318</v>
      </c>
      <c r="E297" s="155" t="s">
        <v>708</v>
      </c>
      <c r="F297" s="158">
        <v>100</v>
      </c>
      <c r="G297" s="155">
        <v>27925</v>
      </c>
      <c r="H297" s="164">
        <v>64.945389435989256</v>
      </c>
    </row>
    <row r="298" spans="1:8" ht="11.25" customHeight="1" x14ac:dyDescent="0.2">
      <c r="C298" s="1" t="s">
        <v>2318</v>
      </c>
    </row>
    <row r="299" spans="1:8" ht="11.25" customHeight="1" x14ac:dyDescent="0.2">
      <c r="A299" s="1" t="s">
        <v>2269</v>
      </c>
      <c r="C299" s="1" t="s">
        <v>309</v>
      </c>
      <c r="D299" s="4" t="s">
        <v>1737</v>
      </c>
      <c r="E299" s="16">
        <v>1284</v>
      </c>
      <c r="F299" s="81">
        <v>12.21</v>
      </c>
    </row>
    <row r="300" spans="1:8" ht="11.25" customHeight="1" x14ac:dyDescent="0.2">
      <c r="C300" s="2" t="s">
        <v>1514</v>
      </c>
      <c r="D300" s="4" t="s">
        <v>1736</v>
      </c>
      <c r="E300" s="16">
        <v>6003</v>
      </c>
      <c r="F300" s="81">
        <v>57.07</v>
      </c>
    </row>
    <row r="301" spans="1:8" ht="11.25" customHeight="1" x14ac:dyDescent="0.2">
      <c r="C301" s="1" t="s">
        <v>310</v>
      </c>
      <c r="D301" s="4" t="s">
        <v>655</v>
      </c>
      <c r="E301" s="16">
        <v>3232</v>
      </c>
      <c r="F301" s="81">
        <v>30.72</v>
      </c>
    </row>
    <row r="302" spans="1:8" ht="11.25" customHeight="1" x14ac:dyDescent="0.2">
      <c r="C302" s="1" t="s">
        <v>2318</v>
      </c>
      <c r="E302" s="155" t="s">
        <v>3264</v>
      </c>
      <c r="F302" s="158">
        <v>100</v>
      </c>
      <c r="G302" s="155">
        <v>16208</v>
      </c>
      <c r="H302" s="164">
        <v>64.900049358341562</v>
      </c>
    </row>
    <row r="303" spans="1:8" ht="11.25" customHeight="1" x14ac:dyDescent="0.2">
      <c r="C303" s="1" t="s">
        <v>2318</v>
      </c>
    </row>
    <row r="304" spans="1:8" ht="11.25" customHeight="1" x14ac:dyDescent="0.2">
      <c r="A304" s="1" t="s">
        <v>1920</v>
      </c>
      <c r="C304" s="1" t="s">
        <v>3016</v>
      </c>
      <c r="D304" s="4" t="s">
        <v>655</v>
      </c>
      <c r="E304" s="16">
        <v>3280</v>
      </c>
      <c r="F304" s="81">
        <v>19.98</v>
      </c>
    </row>
    <row r="305" spans="1:8" ht="11.25" customHeight="1" x14ac:dyDescent="0.2">
      <c r="C305" s="2" t="s">
        <v>2488</v>
      </c>
      <c r="D305" s="4" t="s">
        <v>1736</v>
      </c>
      <c r="E305" s="16">
        <v>9555</v>
      </c>
      <c r="F305" s="81">
        <v>58.22</v>
      </c>
    </row>
    <row r="306" spans="1:8" ht="11.25" customHeight="1" x14ac:dyDescent="0.2">
      <c r="C306" s="1" t="s">
        <v>2538</v>
      </c>
      <c r="D306" s="4" t="s">
        <v>1071</v>
      </c>
      <c r="E306" s="16">
        <v>494</v>
      </c>
      <c r="F306" s="81">
        <v>3.01</v>
      </c>
    </row>
    <row r="307" spans="1:8" ht="11.25" customHeight="1" x14ac:dyDescent="0.2">
      <c r="C307" s="1" t="s">
        <v>386</v>
      </c>
      <c r="D307" s="4" t="s">
        <v>1072</v>
      </c>
      <c r="E307" s="16">
        <v>331</v>
      </c>
      <c r="F307" s="81">
        <v>2.02</v>
      </c>
    </row>
    <row r="308" spans="1:8" ht="11.25" customHeight="1" x14ac:dyDescent="0.2">
      <c r="C308" s="1" t="s">
        <v>311</v>
      </c>
      <c r="D308" s="4" t="s">
        <v>653</v>
      </c>
      <c r="E308" s="16">
        <v>504</v>
      </c>
      <c r="F308" s="81">
        <v>3.07</v>
      </c>
    </row>
    <row r="309" spans="1:8" ht="11.25" customHeight="1" x14ac:dyDescent="0.2">
      <c r="C309" s="1" t="s">
        <v>312</v>
      </c>
      <c r="D309" s="4" t="s">
        <v>1737</v>
      </c>
      <c r="E309" s="16">
        <v>2249</v>
      </c>
      <c r="F309" s="81">
        <v>13.7</v>
      </c>
    </row>
    <row r="310" spans="1:8" ht="11.25" customHeight="1" x14ac:dyDescent="0.2">
      <c r="C310" s="1" t="s">
        <v>2318</v>
      </c>
      <c r="E310" s="155" t="s">
        <v>709</v>
      </c>
      <c r="F310" s="158">
        <v>100</v>
      </c>
      <c r="G310" s="155">
        <v>24639</v>
      </c>
      <c r="H310" s="164">
        <v>66.739721579609565</v>
      </c>
    </row>
    <row r="311" spans="1:8" ht="11.25" customHeight="1" x14ac:dyDescent="0.2">
      <c r="C311" s="1" t="s">
        <v>2318</v>
      </c>
    </row>
    <row r="312" spans="1:8" ht="11.25" customHeight="1" x14ac:dyDescent="0.2">
      <c r="A312" s="1" t="s">
        <v>1372</v>
      </c>
      <c r="C312" s="2" t="s">
        <v>3018</v>
      </c>
      <c r="D312" s="4" t="s">
        <v>1736</v>
      </c>
      <c r="E312" s="16">
        <v>7811</v>
      </c>
      <c r="F312" s="81">
        <v>70.08</v>
      </c>
    </row>
    <row r="313" spans="1:8" ht="11.25" customHeight="1" x14ac:dyDescent="0.2">
      <c r="C313" s="1" t="s">
        <v>313</v>
      </c>
      <c r="D313" s="4" t="s">
        <v>1738</v>
      </c>
      <c r="E313" s="16">
        <v>183</v>
      </c>
      <c r="F313" s="81">
        <v>1.64</v>
      </c>
    </row>
    <row r="314" spans="1:8" ht="11.25" customHeight="1" x14ac:dyDescent="0.2">
      <c r="C314" s="1" t="s">
        <v>314</v>
      </c>
      <c r="D314" s="4" t="s">
        <v>1737</v>
      </c>
      <c r="E314" s="16">
        <v>2006</v>
      </c>
      <c r="F314" s="81">
        <v>18</v>
      </c>
    </row>
    <row r="315" spans="1:8" ht="11.25" customHeight="1" x14ac:dyDescent="0.2">
      <c r="C315" s="1" t="s">
        <v>2937</v>
      </c>
      <c r="D315" s="4" t="s">
        <v>655</v>
      </c>
      <c r="E315" s="16">
        <v>465</v>
      </c>
      <c r="F315" s="81">
        <v>4.17</v>
      </c>
    </row>
    <row r="316" spans="1:8" ht="11.25" customHeight="1" x14ac:dyDescent="0.2">
      <c r="C316" s="1" t="s">
        <v>315</v>
      </c>
      <c r="D316" s="4" t="s">
        <v>653</v>
      </c>
      <c r="E316" s="16">
        <v>436</v>
      </c>
      <c r="F316" s="81">
        <v>3.91</v>
      </c>
    </row>
    <row r="317" spans="1:8" ht="11.25" customHeight="1" x14ac:dyDescent="0.2">
      <c r="C317" s="1" t="s">
        <v>316</v>
      </c>
      <c r="D317" s="4" t="s">
        <v>653</v>
      </c>
      <c r="E317" s="16">
        <v>245</v>
      </c>
      <c r="F317" s="81">
        <v>2.2000000000000002</v>
      </c>
    </row>
    <row r="318" spans="1:8" ht="11.25" customHeight="1" x14ac:dyDescent="0.2">
      <c r="C318" s="1" t="s">
        <v>2318</v>
      </c>
      <c r="E318" s="155" t="s">
        <v>710</v>
      </c>
      <c r="F318" s="158">
        <v>100</v>
      </c>
      <c r="G318" s="155">
        <v>14495</v>
      </c>
      <c r="H318" s="164">
        <v>77.102449120386339</v>
      </c>
    </row>
    <row r="319" spans="1:8" ht="11.25" customHeight="1" x14ac:dyDescent="0.2">
      <c r="C319" s="1" t="s">
        <v>2318</v>
      </c>
    </row>
    <row r="320" spans="1:8" ht="11.25" customHeight="1" x14ac:dyDescent="0.2">
      <c r="A320" s="1" t="s">
        <v>1742</v>
      </c>
      <c r="C320" s="1" t="s">
        <v>317</v>
      </c>
      <c r="D320" s="4" t="s">
        <v>655</v>
      </c>
      <c r="E320" s="16">
        <v>738</v>
      </c>
      <c r="F320" s="81">
        <v>7.83</v>
      </c>
    </row>
    <row r="321" spans="1:8" ht="11.25" customHeight="1" x14ac:dyDescent="0.2">
      <c r="C321" s="1" t="s">
        <v>3022</v>
      </c>
      <c r="D321" s="4" t="s">
        <v>1737</v>
      </c>
      <c r="E321" s="16">
        <v>2001</v>
      </c>
      <c r="F321" s="81">
        <v>21.24</v>
      </c>
    </row>
    <row r="322" spans="1:8" ht="11.25" customHeight="1" x14ac:dyDescent="0.2">
      <c r="C322" s="2" t="s">
        <v>318</v>
      </c>
      <c r="D322" s="4" t="s">
        <v>1736</v>
      </c>
      <c r="E322" s="16">
        <v>6684</v>
      </c>
      <c r="F322" s="81">
        <v>70.930000000000007</v>
      </c>
    </row>
    <row r="323" spans="1:8" ht="11.25" customHeight="1" x14ac:dyDescent="0.2">
      <c r="C323" s="1" t="s">
        <v>2318</v>
      </c>
      <c r="E323" s="155" t="s">
        <v>711</v>
      </c>
      <c r="F323" s="158">
        <v>100</v>
      </c>
      <c r="G323" s="155">
        <v>12952</v>
      </c>
      <c r="H323" s="164">
        <v>73.038912909203205</v>
      </c>
    </row>
    <row r="324" spans="1:8" ht="11.25" customHeight="1" x14ac:dyDescent="0.2">
      <c r="C324" s="1" t="s">
        <v>2318</v>
      </c>
    </row>
    <row r="325" spans="1:8" ht="11.25" customHeight="1" x14ac:dyDescent="0.2">
      <c r="A325" s="1" t="s">
        <v>498</v>
      </c>
      <c r="C325" s="1" t="s">
        <v>319</v>
      </c>
      <c r="D325" s="4" t="s">
        <v>655</v>
      </c>
      <c r="E325" s="16">
        <v>3481</v>
      </c>
      <c r="F325" s="81">
        <v>29.18</v>
      </c>
    </row>
    <row r="326" spans="1:8" ht="11.25" customHeight="1" x14ac:dyDescent="0.2">
      <c r="C326" s="2" t="s">
        <v>1516</v>
      </c>
      <c r="D326" s="4" t="s">
        <v>1736</v>
      </c>
      <c r="E326" s="16">
        <v>6844</v>
      </c>
      <c r="F326" s="81">
        <v>57.37</v>
      </c>
    </row>
    <row r="327" spans="1:8" ht="11.25" customHeight="1" x14ac:dyDescent="0.2">
      <c r="C327" s="1" t="s">
        <v>320</v>
      </c>
      <c r="D327" s="4" t="s">
        <v>1737</v>
      </c>
      <c r="E327" s="16">
        <v>1021</v>
      </c>
      <c r="F327" s="81">
        <v>8.56</v>
      </c>
    </row>
    <row r="328" spans="1:8" ht="11.25" customHeight="1" x14ac:dyDescent="0.2">
      <c r="C328" s="1" t="s">
        <v>321</v>
      </c>
      <c r="D328" s="4" t="s">
        <v>1072</v>
      </c>
      <c r="E328" s="16">
        <v>584</v>
      </c>
      <c r="F328" s="81">
        <v>4.8899999999999997</v>
      </c>
    </row>
    <row r="329" spans="1:8" ht="11.25" customHeight="1" x14ac:dyDescent="0.2">
      <c r="C329" s="1" t="s">
        <v>2318</v>
      </c>
      <c r="E329" s="155" t="s">
        <v>712</v>
      </c>
      <c r="F329" s="158">
        <v>100</v>
      </c>
      <c r="G329" s="155">
        <v>23569</v>
      </c>
      <c r="H329" s="164">
        <v>51.181636895922608</v>
      </c>
    </row>
    <row r="330" spans="1:8" ht="11.25" customHeight="1" x14ac:dyDescent="0.2">
      <c r="C330" s="1" t="s">
        <v>2318</v>
      </c>
    </row>
    <row r="331" spans="1:8" ht="11.25" customHeight="1" x14ac:dyDescent="0.2">
      <c r="A331" s="1" t="s">
        <v>1744</v>
      </c>
      <c r="C331" s="1" t="s">
        <v>322</v>
      </c>
      <c r="D331" s="4" t="s">
        <v>1737</v>
      </c>
      <c r="E331" s="16">
        <v>1339</v>
      </c>
      <c r="F331" s="81">
        <v>15.94</v>
      </c>
    </row>
    <row r="332" spans="1:8" ht="11.25" customHeight="1" x14ac:dyDescent="0.2">
      <c r="C332" s="2" t="s">
        <v>2496</v>
      </c>
      <c r="D332" s="4" t="s">
        <v>1736</v>
      </c>
      <c r="E332" s="16">
        <v>5141</v>
      </c>
      <c r="F332" s="81">
        <v>61.21</v>
      </c>
    </row>
    <row r="333" spans="1:8" ht="11.25" customHeight="1" x14ac:dyDescent="0.2">
      <c r="C333" s="1" t="s">
        <v>2</v>
      </c>
      <c r="D333" s="4" t="s">
        <v>655</v>
      </c>
      <c r="E333" s="16">
        <v>1108</v>
      </c>
      <c r="F333" s="81">
        <v>13.19</v>
      </c>
    </row>
    <row r="334" spans="1:8" ht="11.25" customHeight="1" x14ac:dyDescent="0.2">
      <c r="C334" s="1" t="s">
        <v>323</v>
      </c>
      <c r="D334" s="4" t="s">
        <v>653</v>
      </c>
      <c r="E334" s="16">
        <v>811</v>
      </c>
      <c r="F334" s="81">
        <v>9.66</v>
      </c>
    </row>
    <row r="335" spans="1:8" ht="11.25" customHeight="1" x14ac:dyDescent="0.2">
      <c r="C335" s="1" t="s">
        <v>2318</v>
      </c>
      <c r="E335" s="155" t="s">
        <v>3090</v>
      </c>
      <c r="F335" s="158">
        <v>100</v>
      </c>
      <c r="G335" s="155">
        <v>11600</v>
      </c>
      <c r="H335" s="164">
        <v>72.508620689655174</v>
      </c>
    </row>
    <row r="336" spans="1:8" ht="11.25" customHeight="1" x14ac:dyDescent="0.2">
      <c r="C336" s="1" t="s">
        <v>2318</v>
      </c>
    </row>
    <row r="337" spans="1:8" ht="11.25" customHeight="1" x14ac:dyDescent="0.2">
      <c r="A337" s="1" t="s">
        <v>2350</v>
      </c>
      <c r="C337" s="1" t="s">
        <v>324</v>
      </c>
      <c r="D337" s="4" t="s">
        <v>1072</v>
      </c>
      <c r="E337" s="16">
        <v>466</v>
      </c>
      <c r="F337" s="81">
        <v>8.5500000000000007</v>
      </c>
    </row>
    <row r="338" spans="1:8" ht="11.25" customHeight="1" x14ac:dyDescent="0.2">
      <c r="C338" s="1" t="s">
        <v>325</v>
      </c>
      <c r="D338" s="4" t="s">
        <v>653</v>
      </c>
      <c r="E338" s="16">
        <v>316</v>
      </c>
      <c r="F338" s="81">
        <v>5.79</v>
      </c>
    </row>
    <row r="339" spans="1:8" ht="11.25" customHeight="1" x14ac:dyDescent="0.2">
      <c r="C339" s="1" t="s">
        <v>326</v>
      </c>
      <c r="D339" s="4" t="s">
        <v>655</v>
      </c>
      <c r="E339" s="16">
        <v>914</v>
      </c>
      <c r="F339" s="81">
        <v>16.760000000000002</v>
      </c>
    </row>
    <row r="340" spans="1:8" ht="11.25" customHeight="1" x14ac:dyDescent="0.2">
      <c r="C340" s="1" t="s">
        <v>327</v>
      </c>
      <c r="D340" s="4" t="s">
        <v>1737</v>
      </c>
      <c r="E340" s="16">
        <v>607</v>
      </c>
      <c r="F340" s="81">
        <v>11.13</v>
      </c>
    </row>
    <row r="341" spans="1:8" ht="11.25" customHeight="1" x14ac:dyDescent="0.2">
      <c r="C341" s="2" t="s">
        <v>328</v>
      </c>
      <c r="D341" s="4" t="s">
        <v>1736</v>
      </c>
      <c r="E341" s="16">
        <v>3150</v>
      </c>
      <c r="F341" s="81">
        <v>57.77</v>
      </c>
    </row>
    <row r="342" spans="1:8" ht="11.25" customHeight="1" x14ac:dyDescent="0.2">
      <c r="C342" s="1" t="s">
        <v>2318</v>
      </c>
      <c r="E342" s="155" t="s">
        <v>3091</v>
      </c>
      <c r="F342" s="158">
        <v>100</v>
      </c>
      <c r="G342" s="155">
        <v>9667</v>
      </c>
      <c r="H342" s="164">
        <v>56.687700424123307</v>
      </c>
    </row>
    <row r="343" spans="1:8" ht="11.25" customHeight="1" x14ac:dyDescent="0.2">
      <c r="C343" s="1" t="s">
        <v>2318</v>
      </c>
    </row>
    <row r="344" spans="1:8" ht="11.25" customHeight="1" x14ac:dyDescent="0.2">
      <c r="A344" s="1" t="s">
        <v>2270</v>
      </c>
      <c r="C344" s="1" t="s">
        <v>329</v>
      </c>
      <c r="D344" s="4" t="s">
        <v>1738</v>
      </c>
      <c r="E344" s="16">
        <v>400</v>
      </c>
      <c r="F344" s="81">
        <v>3.2</v>
      </c>
    </row>
    <row r="345" spans="1:8" ht="11.25" customHeight="1" x14ac:dyDescent="0.2">
      <c r="C345" s="1" t="s">
        <v>330</v>
      </c>
      <c r="D345" s="4" t="s">
        <v>1737</v>
      </c>
      <c r="E345" s="16">
        <v>1054</v>
      </c>
      <c r="F345" s="81">
        <v>8.43</v>
      </c>
    </row>
    <row r="346" spans="1:8" ht="11.25" customHeight="1" x14ac:dyDescent="0.2">
      <c r="C346" s="1" t="s">
        <v>2502</v>
      </c>
      <c r="D346" s="4" t="s">
        <v>1072</v>
      </c>
      <c r="E346" s="16">
        <v>962</v>
      </c>
      <c r="F346" s="81">
        <v>7.7</v>
      </c>
    </row>
    <row r="347" spans="1:8" ht="11.25" customHeight="1" x14ac:dyDescent="0.2">
      <c r="C347" s="2" t="s">
        <v>1518</v>
      </c>
      <c r="D347" s="4" t="s">
        <v>1736</v>
      </c>
      <c r="E347" s="16">
        <v>8716</v>
      </c>
      <c r="F347" s="81">
        <v>69.72</v>
      </c>
    </row>
    <row r="348" spans="1:8" ht="11.25" customHeight="1" x14ac:dyDescent="0.2">
      <c r="C348" s="1" t="s">
        <v>1249</v>
      </c>
      <c r="D348" s="4" t="s">
        <v>655</v>
      </c>
      <c r="E348" s="16">
        <v>1369</v>
      </c>
      <c r="F348" s="81">
        <v>10.95</v>
      </c>
    </row>
    <row r="349" spans="1:8" ht="11.25" customHeight="1" x14ac:dyDescent="0.2">
      <c r="C349" s="1" t="s">
        <v>2318</v>
      </c>
      <c r="E349" s="155" t="s">
        <v>3092</v>
      </c>
      <c r="F349" s="158">
        <v>100</v>
      </c>
      <c r="G349" s="155">
        <v>18020</v>
      </c>
      <c r="H349" s="164">
        <v>69.522752497225312</v>
      </c>
    </row>
    <row r="350" spans="1:8" ht="11.25" customHeight="1" x14ac:dyDescent="0.2">
      <c r="C350" s="1" t="s">
        <v>2318</v>
      </c>
    </row>
    <row r="351" spans="1:8" ht="11.25" customHeight="1" x14ac:dyDescent="0.2">
      <c r="A351" s="1" t="s">
        <v>2338</v>
      </c>
      <c r="C351" s="1" t="s">
        <v>331</v>
      </c>
      <c r="D351" s="4" t="s">
        <v>1737</v>
      </c>
      <c r="E351" s="16">
        <v>938</v>
      </c>
      <c r="F351" s="81">
        <v>7.86</v>
      </c>
    </row>
    <row r="352" spans="1:8" ht="11.25" customHeight="1" x14ac:dyDescent="0.2">
      <c r="C352" s="2" t="s">
        <v>1519</v>
      </c>
      <c r="D352" s="4" t="s">
        <v>1736</v>
      </c>
      <c r="E352" s="16">
        <v>8302</v>
      </c>
      <c r="F352" s="81">
        <v>69.52</v>
      </c>
    </row>
    <row r="353" spans="1:8" ht="11.25" customHeight="1" x14ac:dyDescent="0.2">
      <c r="C353" s="1" t="s">
        <v>332</v>
      </c>
      <c r="D353" s="4" t="s">
        <v>1738</v>
      </c>
      <c r="E353" s="16">
        <v>377</v>
      </c>
      <c r="F353" s="81">
        <v>3.16</v>
      </c>
    </row>
    <row r="354" spans="1:8" ht="11.25" customHeight="1" x14ac:dyDescent="0.2">
      <c r="C354" s="1" t="s">
        <v>2939</v>
      </c>
      <c r="D354" s="4" t="s">
        <v>1071</v>
      </c>
      <c r="E354" s="16">
        <v>480</v>
      </c>
      <c r="F354" s="81">
        <v>4.0199999999999996</v>
      </c>
    </row>
    <row r="355" spans="1:8" ht="11.25" customHeight="1" x14ac:dyDescent="0.2">
      <c r="C355" s="1" t="s">
        <v>1167</v>
      </c>
      <c r="D355" s="4" t="s">
        <v>655</v>
      </c>
      <c r="E355" s="16">
        <v>1844</v>
      </c>
      <c r="F355" s="81">
        <v>15.44</v>
      </c>
    </row>
    <row r="356" spans="1:8" ht="11.25" customHeight="1" x14ac:dyDescent="0.2">
      <c r="C356" s="1" t="s">
        <v>2318</v>
      </c>
      <c r="E356" s="155" t="s">
        <v>3093</v>
      </c>
      <c r="F356" s="158">
        <v>100</v>
      </c>
      <c r="G356" s="155">
        <v>19403</v>
      </c>
      <c r="H356" s="164">
        <v>61.676029479977323</v>
      </c>
    </row>
    <row r="357" spans="1:8" ht="11.25" customHeight="1" x14ac:dyDescent="0.2">
      <c r="C357" s="1" t="s">
        <v>2318</v>
      </c>
    </row>
    <row r="358" spans="1:8" ht="11.25" customHeight="1" x14ac:dyDescent="0.2">
      <c r="A358" s="1" t="s">
        <v>3185</v>
      </c>
      <c r="C358" s="1" t="s">
        <v>333</v>
      </c>
      <c r="D358" s="4" t="s">
        <v>655</v>
      </c>
      <c r="E358" s="16">
        <v>168</v>
      </c>
      <c r="F358" s="81">
        <v>2.65</v>
      </c>
    </row>
    <row r="359" spans="1:8" ht="11.25" customHeight="1" x14ac:dyDescent="0.2">
      <c r="C359" s="1" t="s">
        <v>334</v>
      </c>
      <c r="D359" s="4" t="s">
        <v>1737</v>
      </c>
      <c r="E359" s="16">
        <v>851</v>
      </c>
      <c r="F359" s="81">
        <v>13.43</v>
      </c>
    </row>
    <row r="360" spans="1:8" ht="11.25" customHeight="1" x14ac:dyDescent="0.2">
      <c r="C360" s="2" t="s">
        <v>812</v>
      </c>
      <c r="D360" s="4" t="s">
        <v>653</v>
      </c>
      <c r="E360" s="16">
        <v>3174</v>
      </c>
      <c r="F360" s="81">
        <v>50.09</v>
      </c>
    </row>
    <row r="361" spans="1:8" ht="11.25" customHeight="1" x14ac:dyDescent="0.2">
      <c r="C361" s="1" t="s">
        <v>3035</v>
      </c>
      <c r="D361" s="4" t="s">
        <v>1736</v>
      </c>
      <c r="E361" s="16">
        <v>2144</v>
      </c>
      <c r="F361" s="81">
        <v>33.83</v>
      </c>
    </row>
    <row r="362" spans="1:8" ht="11.25" customHeight="1" x14ac:dyDescent="0.2">
      <c r="C362" s="1" t="s">
        <v>2318</v>
      </c>
      <c r="E362" s="155" t="s">
        <v>3094</v>
      </c>
      <c r="F362" s="158">
        <v>100</v>
      </c>
      <c r="G362" s="155">
        <v>8168</v>
      </c>
      <c r="H362" s="164">
        <v>77.766895200783551</v>
      </c>
    </row>
    <row r="363" spans="1:8" ht="11.25" customHeight="1" x14ac:dyDescent="0.2">
      <c r="C363" s="1" t="s">
        <v>2318</v>
      </c>
    </row>
    <row r="364" spans="1:8" ht="11.25" customHeight="1" x14ac:dyDescent="0.2">
      <c r="A364" s="1" t="s">
        <v>2339</v>
      </c>
      <c r="C364" s="1" t="s">
        <v>335</v>
      </c>
      <c r="D364" s="4" t="s">
        <v>655</v>
      </c>
      <c r="E364" s="16">
        <v>905</v>
      </c>
      <c r="F364" s="81">
        <v>11.7</v>
      </c>
    </row>
    <row r="365" spans="1:8" ht="11.25" customHeight="1" x14ac:dyDescent="0.2">
      <c r="C365" s="1" t="s">
        <v>336</v>
      </c>
      <c r="D365" s="4" t="s">
        <v>1737</v>
      </c>
      <c r="E365" s="16">
        <v>1249</v>
      </c>
      <c r="F365" s="81">
        <v>16.149999999999999</v>
      </c>
    </row>
    <row r="366" spans="1:8" ht="11.25" customHeight="1" x14ac:dyDescent="0.2">
      <c r="C366" s="2" t="s">
        <v>1520</v>
      </c>
      <c r="D366" s="4" t="s">
        <v>1736</v>
      </c>
      <c r="E366" s="16">
        <v>5581</v>
      </c>
      <c r="F366" s="81">
        <v>72.150000000000006</v>
      </c>
    </row>
    <row r="367" spans="1:8" ht="11.25" customHeight="1" x14ac:dyDescent="0.2">
      <c r="C367" s="1" t="s">
        <v>2318</v>
      </c>
      <c r="E367" s="155" t="s">
        <v>3095</v>
      </c>
      <c r="F367" s="158">
        <v>100</v>
      </c>
      <c r="G367" s="155">
        <v>11540</v>
      </c>
      <c r="H367" s="164">
        <v>67.296360485268636</v>
      </c>
    </row>
    <row r="368" spans="1:8" ht="11.25" customHeight="1" x14ac:dyDescent="0.2">
      <c r="C368" s="1" t="s">
        <v>2318</v>
      </c>
    </row>
    <row r="369" spans="1:8" ht="11.25" customHeight="1" x14ac:dyDescent="0.2">
      <c r="A369" s="1" t="s">
        <v>1752</v>
      </c>
      <c r="C369" s="1" t="s">
        <v>337</v>
      </c>
      <c r="D369" s="4" t="s">
        <v>655</v>
      </c>
      <c r="E369" s="16">
        <v>546</v>
      </c>
      <c r="F369" s="81">
        <v>6.37</v>
      </c>
    </row>
    <row r="370" spans="1:8" ht="11.25" customHeight="1" x14ac:dyDescent="0.2">
      <c r="C370" s="2" t="s">
        <v>2512</v>
      </c>
      <c r="D370" s="4" t="s">
        <v>1736</v>
      </c>
      <c r="E370" s="16">
        <v>6136</v>
      </c>
      <c r="F370" s="81">
        <v>71.52</v>
      </c>
    </row>
    <row r="371" spans="1:8" ht="11.25" customHeight="1" x14ac:dyDescent="0.2">
      <c r="C371" s="1" t="s">
        <v>338</v>
      </c>
      <c r="D371" s="4" t="s">
        <v>653</v>
      </c>
      <c r="E371" s="16">
        <v>280</v>
      </c>
      <c r="F371" s="81">
        <v>3.26</v>
      </c>
    </row>
    <row r="372" spans="1:8" ht="11.25" customHeight="1" x14ac:dyDescent="0.2">
      <c r="C372" s="1" t="s">
        <v>1252</v>
      </c>
      <c r="D372" s="4" t="s">
        <v>653</v>
      </c>
      <c r="E372" s="16">
        <v>180</v>
      </c>
      <c r="F372" s="81">
        <v>2.1</v>
      </c>
    </row>
    <row r="373" spans="1:8" ht="11.25" customHeight="1" x14ac:dyDescent="0.2">
      <c r="C373" s="1" t="s">
        <v>339</v>
      </c>
      <c r="D373" s="4" t="s">
        <v>1737</v>
      </c>
      <c r="E373" s="16">
        <v>1293</v>
      </c>
      <c r="F373" s="81">
        <v>15.07</v>
      </c>
    </row>
    <row r="374" spans="1:8" ht="11.25" customHeight="1" x14ac:dyDescent="0.2">
      <c r="C374" s="1" t="s">
        <v>340</v>
      </c>
      <c r="D374" s="4" t="s">
        <v>1072</v>
      </c>
      <c r="E374" s="16">
        <v>144</v>
      </c>
      <c r="F374" s="81">
        <v>1.68</v>
      </c>
    </row>
    <row r="375" spans="1:8" ht="11.25" customHeight="1" x14ac:dyDescent="0.2">
      <c r="C375" s="1" t="s">
        <v>2318</v>
      </c>
      <c r="E375" s="155" t="s">
        <v>3096</v>
      </c>
      <c r="F375" s="158">
        <v>100</v>
      </c>
      <c r="G375" s="155">
        <v>11908</v>
      </c>
      <c r="H375" s="164">
        <v>72.22875377897212</v>
      </c>
    </row>
    <row r="376" spans="1:8" ht="11.25" customHeight="1" x14ac:dyDescent="0.2">
      <c r="C376" s="1" t="s">
        <v>2318</v>
      </c>
    </row>
    <row r="377" spans="1:8" ht="11.25" customHeight="1" x14ac:dyDescent="0.2">
      <c r="A377" s="1" t="s">
        <v>3195</v>
      </c>
      <c r="C377" s="1" t="s">
        <v>341</v>
      </c>
      <c r="D377" s="4" t="s">
        <v>653</v>
      </c>
      <c r="E377" s="16">
        <v>286</v>
      </c>
      <c r="F377" s="81">
        <v>1.59</v>
      </c>
    </row>
    <row r="378" spans="1:8" ht="11.25" customHeight="1" x14ac:dyDescent="0.2">
      <c r="C378" s="2" t="s">
        <v>1521</v>
      </c>
      <c r="D378" s="4" t="s">
        <v>1736</v>
      </c>
      <c r="E378" s="16">
        <v>14654</v>
      </c>
      <c r="F378" s="81">
        <v>81.37</v>
      </c>
    </row>
    <row r="379" spans="1:8" ht="11.25" customHeight="1" x14ac:dyDescent="0.2">
      <c r="C379" s="1" t="s">
        <v>342</v>
      </c>
      <c r="D379" s="4" t="s">
        <v>1737</v>
      </c>
      <c r="E379" s="16">
        <v>996</v>
      </c>
      <c r="F379" s="81">
        <v>5.53</v>
      </c>
    </row>
    <row r="380" spans="1:8" ht="11.25" customHeight="1" x14ac:dyDescent="0.2">
      <c r="C380" s="1" t="s">
        <v>1921</v>
      </c>
      <c r="D380" s="4" t="s">
        <v>655</v>
      </c>
      <c r="E380" s="16">
        <v>2072</v>
      </c>
      <c r="F380" s="81">
        <v>11.51</v>
      </c>
    </row>
    <row r="381" spans="1:8" ht="11.25" customHeight="1" x14ac:dyDescent="0.2">
      <c r="C381" s="1" t="s">
        <v>2318</v>
      </c>
      <c r="E381" s="155" t="s">
        <v>3097</v>
      </c>
      <c r="F381" s="158">
        <v>100</v>
      </c>
      <c r="G381" s="155">
        <v>27149</v>
      </c>
      <c r="H381" s="164">
        <v>66.470219897602121</v>
      </c>
    </row>
    <row r="382" spans="1:8" ht="11.25" customHeight="1" x14ac:dyDescent="0.2">
      <c r="C382" s="1" t="s">
        <v>2318</v>
      </c>
    </row>
    <row r="383" spans="1:8" ht="11.25" customHeight="1" x14ac:dyDescent="0.2">
      <c r="A383" s="1" t="s">
        <v>1978</v>
      </c>
      <c r="C383" s="1" t="s">
        <v>343</v>
      </c>
      <c r="D383" s="4" t="s">
        <v>655</v>
      </c>
      <c r="E383" s="16">
        <v>233</v>
      </c>
      <c r="F383" s="81">
        <v>2.15</v>
      </c>
    </row>
    <row r="384" spans="1:8" ht="11.25" customHeight="1" x14ac:dyDescent="0.2">
      <c r="C384" s="1" t="s">
        <v>344</v>
      </c>
      <c r="D384" s="4" t="s">
        <v>653</v>
      </c>
      <c r="E384" s="16">
        <v>47</v>
      </c>
      <c r="F384" s="81">
        <v>0.43</v>
      </c>
    </row>
    <row r="385" spans="1:8" ht="11.25" customHeight="1" x14ac:dyDescent="0.2">
      <c r="C385" s="1" t="s">
        <v>345</v>
      </c>
      <c r="D385" s="4" t="s">
        <v>1737</v>
      </c>
      <c r="E385" s="16">
        <v>2714</v>
      </c>
      <c r="F385" s="81">
        <v>25.03</v>
      </c>
    </row>
    <row r="386" spans="1:8" ht="11.25" customHeight="1" x14ac:dyDescent="0.2">
      <c r="C386" s="1" t="s">
        <v>346</v>
      </c>
      <c r="D386" s="4" t="s">
        <v>653</v>
      </c>
      <c r="E386" s="16">
        <v>2755</v>
      </c>
      <c r="F386" s="81">
        <v>25.4</v>
      </c>
    </row>
    <row r="387" spans="1:8" ht="11.25" customHeight="1" x14ac:dyDescent="0.2">
      <c r="C387" s="2" t="s">
        <v>347</v>
      </c>
      <c r="D387" s="4" t="s">
        <v>1736</v>
      </c>
      <c r="E387" s="16">
        <v>5096</v>
      </c>
      <c r="F387" s="81">
        <v>46.99</v>
      </c>
    </row>
    <row r="388" spans="1:8" ht="11.25" customHeight="1" x14ac:dyDescent="0.2">
      <c r="C388" s="1" t="s">
        <v>2318</v>
      </c>
      <c r="E388" s="155" t="s">
        <v>3098</v>
      </c>
      <c r="F388" s="158">
        <v>100</v>
      </c>
      <c r="G388" s="155">
        <v>14296</v>
      </c>
      <c r="H388" s="164">
        <v>75.986289871292669</v>
      </c>
    </row>
    <row r="389" spans="1:8" ht="11.25" customHeight="1" x14ac:dyDescent="0.2">
      <c r="C389" s="1" t="s">
        <v>2318</v>
      </c>
    </row>
    <row r="390" spans="1:8" ht="11.25" customHeight="1" x14ac:dyDescent="0.2">
      <c r="A390" s="1" t="s">
        <v>415</v>
      </c>
      <c r="C390" s="2" t="s">
        <v>1522</v>
      </c>
      <c r="D390" s="4" t="s">
        <v>1736</v>
      </c>
      <c r="E390" s="16">
        <v>4688</v>
      </c>
      <c r="F390" s="81">
        <v>56.33</v>
      </c>
    </row>
    <row r="391" spans="1:8" ht="11.25" customHeight="1" x14ac:dyDescent="0.2">
      <c r="C391" s="1" t="s">
        <v>348</v>
      </c>
      <c r="D391" s="4" t="s">
        <v>655</v>
      </c>
      <c r="E391" s="16">
        <v>1541</v>
      </c>
      <c r="F391" s="81">
        <v>18.52</v>
      </c>
    </row>
    <row r="392" spans="1:8" ht="11.25" customHeight="1" x14ac:dyDescent="0.2">
      <c r="C392" s="1" t="s">
        <v>349</v>
      </c>
      <c r="D392" s="4" t="s">
        <v>1072</v>
      </c>
      <c r="E392" s="16">
        <v>211</v>
      </c>
      <c r="F392" s="81">
        <v>2.54</v>
      </c>
    </row>
    <row r="393" spans="1:8" ht="11.25" customHeight="1" x14ac:dyDescent="0.2">
      <c r="C393" s="1" t="s">
        <v>350</v>
      </c>
      <c r="D393" s="4" t="s">
        <v>1737</v>
      </c>
      <c r="E393" s="16">
        <v>1657</v>
      </c>
      <c r="F393" s="81">
        <v>19.91</v>
      </c>
    </row>
    <row r="394" spans="1:8" ht="11.25" customHeight="1" x14ac:dyDescent="0.2">
      <c r="C394" s="1" t="s">
        <v>351</v>
      </c>
      <c r="D394" s="4" t="s">
        <v>653</v>
      </c>
      <c r="E394" s="16">
        <v>225</v>
      </c>
      <c r="F394" s="81">
        <v>2.7</v>
      </c>
    </row>
    <row r="395" spans="1:8" ht="11.25" customHeight="1" x14ac:dyDescent="0.2">
      <c r="C395" s="1" t="s">
        <v>2318</v>
      </c>
      <c r="E395" s="155" t="s">
        <v>3099</v>
      </c>
      <c r="F395" s="158">
        <v>100</v>
      </c>
      <c r="G395" s="155">
        <v>14924</v>
      </c>
      <c r="H395" s="164">
        <v>55.95014741356205</v>
      </c>
    </row>
    <row r="396" spans="1:8" ht="11.25" customHeight="1" x14ac:dyDescent="0.2">
      <c r="C396" s="1" t="s">
        <v>2318</v>
      </c>
    </row>
    <row r="397" spans="1:8" ht="11.25" customHeight="1" x14ac:dyDescent="0.2">
      <c r="A397" s="1" t="s">
        <v>584</v>
      </c>
      <c r="C397" s="2" t="s">
        <v>352</v>
      </c>
      <c r="D397" s="4" t="s">
        <v>1736</v>
      </c>
      <c r="E397" s="16">
        <v>4388</v>
      </c>
      <c r="F397" s="81">
        <v>64.69</v>
      </c>
    </row>
    <row r="398" spans="1:8" ht="11.25" customHeight="1" x14ac:dyDescent="0.2">
      <c r="C398" s="1" t="s">
        <v>2521</v>
      </c>
      <c r="D398" s="4" t="s">
        <v>655</v>
      </c>
      <c r="E398" s="16">
        <v>1636</v>
      </c>
      <c r="F398" s="81">
        <v>24.12</v>
      </c>
    </row>
    <row r="399" spans="1:8" ht="11.25" customHeight="1" x14ac:dyDescent="0.2">
      <c r="C399" s="1" t="s">
        <v>353</v>
      </c>
      <c r="D399" s="4" t="s">
        <v>1737</v>
      </c>
      <c r="E399" s="16">
        <v>650</v>
      </c>
      <c r="F399" s="81">
        <v>9.58</v>
      </c>
    </row>
    <row r="400" spans="1:8" ht="11.25" customHeight="1" x14ac:dyDescent="0.2">
      <c r="C400" s="1" t="s">
        <v>354</v>
      </c>
      <c r="D400" s="4" t="s">
        <v>1072</v>
      </c>
      <c r="E400" s="16">
        <v>109</v>
      </c>
      <c r="F400" s="81">
        <v>1.61</v>
      </c>
    </row>
    <row r="401" spans="1:8" ht="11.25" customHeight="1" x14ac:dyDescent="0.2">
      <c r="C401" s="1" t="s">
        <v>2318</v>
      </c>
      <c r="E401" s="155" t="s">
        <v>3100</v>
      </c>
      <c r="F401" s="158">
        <v>100</v>
      </c>
      <c r="G401" s="155">
        <v>9188</v>
      </c>
      <c r="H401" s="164">
        <v>74.020461471484552</v>
      </c>
    </row>
    <row r="402" spans="1:8" ht="11.25" customHeight="1" x14ac:dyDescent="0.2">
      <c r="C402" s="1" t="s">
        <v>2318</v>
      </c>
    </row>
    <row r="403" spans="1:8" ht="11.25" customHeight="1" x14ac:dyDescent="0.2">
      <c r="A403" s="1" t="s">
        <v>2340</v>
      </c>
      <c r="C403" s="1" t="s">
        <v>355</v>
      </c>
      <c r="D403" s="4" t="s">
        <v>1738</v>
      </c>
      <c r="E403" s="16">
        <v>235</v>
      </c>
      <c r="F403" s="81">
        <v>2.96</v>
      </c>
    </row>
    <row r="404" spans="1:8" ht="11.25" customHeight="1" x14ac:dyDescent="0.2">
      <c r="C404" s="1" t="s">
        <v>356</v>
      </c>
      <c r="D404" s="4" t="s">
        <v>1737</v>
      </c>
      <c r="E404" s="16">
        <v>2646</v>
      </c>
      <c r="F404" s="81">
        <v>33.32</v>
      </c>
    </row>
    <row r="405" spans="1:8" ht="11.25" customHeight="1" x14ac:dyDescent="0.2">
      <c r="C405" s="2" t="s">
        <v>422</v>
      </c>
      <c r="D405" s="4" t="s">
        <v>1736</v>
      </c>
      <c r="E405" s="17">
        <v>4031</v>
      </c>
      <c r="F405" s="81">
        <v>50.75</v>
      </c>
    </row>
    <row r="406" spans="1:8" ht="11.25" customHeight="1" x14ac:dyDescent="0.2">
      <c r="C406" s="1" t="s">
        <v>357</v>
      </c>
      <c r="D406" s="4" t="s">
        <v>655</v>
      </c>
      <c r="E406" s="16">
        <v>876</v>
      </c>
      <c r="F406" s="81">
        <v>11.03</v>
      </c>
    </row>
    <row r="407" spans="1:8" ht="11.25" customHeight="1" x14ac:dyDescent="0.2">
      <c r="C407" s="1" t="s">
        <v>358</v>
      </c>
      <c r="D407" s="4" t="s">
        <v>653</v>
      </c>
      <c r="E407" s="16">
        <v>154</v>
      </c>
      <c r="F407" s="81">
        <v>1.94</v>
      </c>
    </row>
    <row r="408" spans="1:8" ht="11.25" customHeight="1" x14ac:dyDescent="0.2">
      <c r="C408" s="1" t="s">
        <v>2318</v>
      </c>
      <c r="E408" s="155" t="s">
        <v>3101</v>
      </c>
      <c r="F408" s="158">
        <v>100</v>
      </c>
      <c r="G408" s="155">
        <v>11032</v>
      </c>
      <c r="H408" s="164">
        <v>72.13560551124003</v>
      </c>
    </row>
    <row r="409" spans="1:8" ht="11.25" customHeight="1" x14ac:dyDescent="0.2">
      <c r="C409" s="1" t="s">
        <v>2318</v>
      </c>
    </row>
    <row r="410" spans="1:8" ht="11.25" customHeight="1" x14ac:dyDescent="0.2">
      <c r="A410" s="1" t="s">
        <v>2341</v>
      </c>
      <c r="C410" s="1" t="s">
        <v>359</v>
      </c>
      <c r="D410" s="4" t="s">
        <v>655</v>
      </c>
      <c r="E410" s="16">
        <v>1915</v>
      </c>
      <c r="F410" s="81">
        <v>9.85</v>
      </c>
    </row>
    <row r="411" spans="1:8" ht="11.25" customHeight="1" x14ac:dyDescent="0.2">
      <c r="C411" s="1" t="s">
        <v>360</v>
      </c>
      <c r="D411" s="4" t="s">
        <v>1737</v>
      </c>
      <c r="E411" s="16">
        <v>1468</v>
      </c>
      <c r="F411" s="81">
        <v>7.55</v>
      </c>
    </row>
    <row r="412" spans="1:8" ht="11.25" customHeight="1" x14ac:dyDescent="0.2">
      <c r="C412" s="2" t="s">
        <v>1180</v>
      </c>
      <c r="D412" s="4" t="s">
        <v>1736</v>
      </c>
      <c r="E412" s="16">
        <v>10659</v>
      </c>
      <c r="F412" s="81">
        <v>54.84</v>
      </c>
    </row>
    <row r="413" spans="1:8" ht="11.25" customHeight="1" x14ac:dyDescent="0.2">
      <c r="C413" s="1" t="s">
        <v>961</v>
      </c>
      <c r="D413" s="4" t="s">
        <v>653</v>
      </c>
      <c r="E413" s="16">
        <v>5396</v>
      </c>
      <c r="F413" s="81">
        <v>27.76</v>
      </c>
    </row>
    <row r="414" spans="1:8" ht="11.25" customHeight="1" x14ac:dyDescent="0.2">
      <c r="C414" s="1" t="s">
        <v>2318</v>
      </c>
      <c r="E414" s="155" t="s">
        <v>3102</v>
      </c>
      <c r="F414" s="158">
        <v>100</v>
      </c>
      <c r="G414" s="155">
        <v>30560</v>
      </c>
      <c r="H414" s="164">
        <v>63.766361256544499</v>
      </c>
    </row>
    <row r="415" spans="1:8" ht="11.25" customHeight="1" x14ac:dyDescent="0.2">
      <c r="C415" s="1" t="s">
        <v>2318</v>
      </c>
    </row>
    <row r="416" spans="1:8" ht="11.25" customHeight="1" x14ac:dyDescent="0.2">
      <c r="A416" s="1" t="s">
        <v>588</v>
      </c>
      <c r="C416" s="1" t="s">
        <v>1877</v>
      </c>
      <c r="D416" s="4" t="s">
        <v>655</v>
      </c>
      <c r="E416" s="16">
        <v>2507</v>
      </c>
      <c r="F416" s="81">
        <v>28.85</v>
      </c>
    </row>
    <row r="417" spans="1:8" ht="11.25" customHeight="1" x14ac:dyDescent="0.2">
      <c r="C417" s="1" t="s">
        <v>1250</v>
      </c>
      <c r="D417" s="4" t="s">
        <v>1072</v>
      </c>
      <c r="E417" s="16">
        <v>157</v>
      </c>
      <c r="F417" s="81">
        <v>1.81</v>
      </c>
    </row>
    <row r="418" spans="1:8" ht="11.25" customHeight="1" x14ac:dyDescent="0.2">
      <c r="C418" s="1" t="s">
        <v>361</v>
      </c>
      <c r="D418" s="4" t="s">
        <v>1737</v>
      </c>
      <c r="E418" s="16">
        <v>1121</v>
      </c>
      <c r="F418" s="81">
        <v>12.9</v>
      </c>
    </row>
    <row r="419" spans="1:8" ht="11.25" customHeight="1" x14ac:dyDescent="0.2">
      <c r="C419" s="1" t="s">
        <v>813</v>
      </c>
      <c r="D419" s="4" t="s">
        <v>653</v>
      </c>
      <c r="E419" s="16">
        <v>467</v>
      </c>
      <c r="F419" s="81">
        <v>5.37</v>
      </c>
    </row>
    <row r="420" spans="1:8" ht="11.25" customHeight="1" x14ac:dyDescent="0.2">
      <c r="C420" s="2" t="s">
        <v>962</v>
      </c>
      <c r="D420" s="4" t="s">
        <v>1736</v>
      </c>
      <c r="E420" s="16">
        <v>4438</v>
      </c>
      <c r="F420" s="81">
        <v>51.07</v>
      </c>
    </row>
    <row r="421" spans="1:8" ht="11.25" customHeight="1" x14ac:dyDescent="0.2">
      <c r="C421" s="1" t="s">
        <v>2318</v>
      </c>
      <c r="E421" s="155" t="s">
        <v>3103</v>
      </c>
      <c r="F421" s="158">
        <v>100</v>
      </c>
      <c r="G421" s="155">
        <v>11599</v>
      </c>
      <c r="H421" s="164">
        <v>75.04957323907233</v>
      </c>
    </row>
    <row r="422" spans="1:8" ht="11.25" customHeight="1" x14ac:dyDescent="0.2">
      <c r="C422" s="1" t="s">
        <v>2318</v>
      </c>
    </row>
    <row r="423" spans="1:8" ht="11.25" customHeight="1" x14ac:dyDescent="0.2">
      <c r="A423" s="1" t="s">
        <v>441</v>
      </c>
      <c r="C423" s="2" t="s">
        <v>1524</v>
      </c>
      <c r="D423" s="4" t="s">
        <v>1736</v>
      </c>
      <c r="E423" s="16">
        <v>6443</v>
      </c>
      <c r="F423" s="81">
        <v>66.08</v>
      </c>
    </row>
    <row r="424" spans="1:8" ht="11.25" customHeight="1" x14ac:dyDescent="0.2">
      <c r="C424" s="1" t="s">
        <v>381</v>
      </c>
      <c r="D424" s="4" t="s">
        <v>1737</v>
      </c>
      <c r="E424" s="16">
        <v>2116</v>
      </c>
      <c r="F424" s="81">
        <v>21.7</v>
      </c>
    </row>
    <row r="425" spans="1:8" ht="11.25" customHeight="1" x14ac:dyDescent="0.2">
      <c r="C425" s="1" t="s">
        <v>362</v>
      </c>
      <c r="D425" s="4" t="s">
        <v>655</v>
      </c>
      <c r="E425" s="16">
        <v>1191</v>
      </c>
      <c r="F425" s="81">
        <v>12.22</v>
      </c>
    </row>
    <row r="426" spans="1:8" ht="11.25" customHeight="1" x14ac:dyDescent="0.2">
      <c r="C426" s="1" t="s">
        <v>2318</v>
      </c>
      <c r="E426" s="155" t="s">
        <v>3104</v>
      </c>
      <c r="F426" s="158">
        <v>100</v>
      </c>
      <c r="G426" s="155">
        <v>13303</v>
      </c>
      <c r="H426" s="164">
        <v>73.389461023829213</v>
      </c>
    </row>
    <row r="427" spans="1:8" ht="11.25" customHeight="1" x14ac:dyDescent="0.2">
      <c r="C427" s="1" t="s">
        <v>2318</v>
      </c>
    </row>
    <row r="428" spans="1:8" ht="11.25" customHeight="1" x14ac:dyDescent="0.2">
      <c r="A428" s="1" t="s">
        <v>3259</v>
      </c>
      <c r="C428" s="1" t="s">
        <v>363</v>
      </c>
      <c r="D428" s="4" t="s">
        <v>1737</v>
      </c>
      <c r="E428" s="16">
        <v>1316</v>
      </c>
      <c r="F428" s="81">
        <v>19.350000000000001</v>
      </c>
    </row>
    <row r="429" spans="1:8" ht="11.25" customHeight="1" x14ac:dyDescent="0.2">
      <c r="C429" s="1" t="s">
        <v>364</v>
      </c>
      <c r="D429" s="4" t="s">
        <v>655</v>
      </c>
      <c r="E429" s="16">
        <v>1537</v>
      </c>
      <c r="F429" s="81">
        <v>22.59</v>
      </c>
    </row>
    <row r="430" spans="1:8" ht="11.25" customHeight="1" x14ac:dyDescent="0.2">
      <c r="C430" s="2" t="s">
        <v>1525</v>
      </c>
      <c r="D430" s="4" t="s">
        <v>1736</v>
      </c>
      <c r="E430" s="16">
        <v>3950</v>
      </c>
      <c r="F430" s="81">
        <v>58.06</v>
      </c>
    </row>
    <row r="431" spans="1:8" ht="11.25" customHeight="1" x14ac:dyDescent="0.2">
      <c r="C431" s="1" t="s">
        <v>2318</v>
      </c>
      <c r="E431" s="155" t="s">
        <v>3105</v>
      </c>
      <c r="F431" s="158">
        <v>100</v>
      </c>
      <c r="G431" s="155">
        <v>8895</v>
      </c>
      <c r="H431" s="164">
        <v>76.840921866216974</v>
      </c>
    </row>
    <row r="432" spans="1:8" ht="11.25" customHeight="1" x14ac:dyDescent="0.2">
      <c r="C432" s="1" t="s">
        <v>2318</v>
      </c>
    </row>
    <row r="433" spans="1:8" ht="11.25" customHeight="1" x14ac:dyDescent="0.2">
      <c r="A433" s="1" t="s">
        <v>1937</v>
      </c>
      <c r="C433" s="1" t="s">
        <v>365</v>
      </c>
      <c r="D433" s="4" t="s">
        <v>1737</v>
      </c>
      <c r="E433" s="16">
        <v>1093</v>
      </c>
      <c r="F433" s="81">
        <v>14.02</v>
      </c>
    </row>
    <row r="434" spans="1:8" ht="11.25" customHeight="1" x14ac:dyDescent="0.2">
      <c r="C434" s="2" t="s">
        <v>3081</v>
      </c>
      <c r="D434" s="4" t="s">
        <v>655</v>
      </c>
      <c r="E434" s="16">
        <v>3443</v>
      </c>
      <c r="F434" s="81">
        <v>44.16</v>
      </c>
    </row>
    <row r="435" spans="1:8" ht="11.25" customHeight="1" x14ac:dyDescent="0.2">
      <c r="C435" s="1" t="s">
        <v>366</v>
      </c>
      <c r="D435" s="4" t="s">
        <v>1736</v>
      </c>
      <c r="E435" s="16">
        <v>3260</v>
      </c>
      <c r="F435" s="81">
        <v>41.82</v>
      </c>
    </row>
    <row r="436" spans="1:8" ht="11.25" customHeight="1" x14ac:dyDescent="0.2">
      <c r="C436" s="1" t="s">
        <v>2318</v>
      </c>
      <c r="E436" s="155" t="s">
        <v>3106</v>
      </c>
      <c r="F436" s="158">
        <v>100</v>
      </c>
      <c r="G436" s="155">
        <v>9476</v>
      </c>
      <c r="H436" s="164">
        <v>82.672013507809197</v>
      </c>
    </row>
    <row r="437" spans="1:8" ht="11.25" customHeight="1" x14ac:dyDescent="0.2">
      <c r="C437" s="1" t="s">
        <v>2318</v>
      </c>
    </row>
    <row r="438" spans="1:8" ht="11.25" customHeight="1" x14ac:dyDescent="0.2">
      <c r="A438" s="1" t="s">
        <v>446</v>
      </c>
      <c r="C438" s="1" t="s">
        <v>1386</v>
      </c>
      <c r="D438" s="4" t="s">
        <v>1071</v>
      </c>
      <c r="E438" s="16">
        <v>434</v>
      </c>
      <c r="F438" s="81">
        <v>1.83</v>
      </c>
    </row>
    <row r="439" spans="1:8" ht="11.25" customHeight="1" x14ac:dyDescent="0.2">
      <c r="C439" s="2" t="s">
        <v>1526</v>
      </c>
      <c r="D439" s="4" t="s">
        <v>1736</v>
      </c>
      <c r="E439" s="16">
        <v>12982</v>
      </c>
      <c r="F439" s="81">
        <v>54.72</v>
      </c>
    </row>
    <row r="440" spans="1:8" ht="11.25" customHeight="1" x14ac:dyDescent="0.2">
      <c r="C440" s="1" t="s">
        <v>1387</v>
      </c>
      <c r="D440" s="4" t="s">
        <v>655</v>
      </c>
      <c r="E440" s="16">
        <v>4438</v>
      </c>
      <c r="F440" s="81">
        <v>18.7</v>
      </c>
    </row>
    <row r="441" spans="1:8" ht="11.25" customHeight="1" x14ac:dyDescent="0.2">
      <c r="C441" s="1" t="s">
        <v>3080</v>
      </c>
      <c r="D441" s="4" t="s">
        <v>653</v>
      </c>
      <c r="E441" s="16">
        <v>3406</v>
      </c>
      <c r="F441" s="81">
        <v>14.36</v>
      </c>
    </row>
    <row r="442" spans="1:8" ht="11.25" customHeight="1" x14ac:dyDescent="0.2">
      <c r="C442" s="1" t="s">
        <v>1388</v>
      </c>
      <c r="D442" s="4" t="s">
        <v>1737</v>
      </c>
      <c r="E442" s="16">
        <v>2465</v>
      </c>
      <c r="F442" s="81">
        <v>10.39</v>
      </c>
    </row>
    <row r="443" spans="1:8" ht="11.25" customHeight="1" x14ac:dyDescent="0.2">
      <c r="C443" s="1" t="s">
        <v>2318</v>
      </c>
      <c r="E443" s="155" t="s">
        <v>3107</v>
      </c>
      <c r="F443" s="158">
        <v>100</v>
      </c>
      <c r="G443" s="155">
        <v>34910</v>
      </c>
      <c r="H443" s="164">
        <v>68.10369521627041</v>
      </c>
    </row>
    <row r="444" spans="1:8" ht="11.25" customHeight="1" x14ac:dyDescent="0.2">
      <c r="C444" s="1" t="s">
        <v>2318</v>
      </c>
    </row>
    <row r="445" spans="1:8" ht="11.25" customHeight="1" x14ac:dyDescent="0.2">
      <c r="A445" s="1" t="s">
        <v>715</v>
      </c>
      <c r="C445" s="1" t="s">
        <v>1389</v>
      </c>
      <c r="D445" s="4" t="s">
        <v>1737</v>
      </c>
      <c r="E445" s="16">
        <v>1334</v>
      </c>
      <c r="F445" s="81">
        <v>19.43</v>
      </c>
    </row>
    <row r="446" spans="1:8" ht="11.25" customHeight="1" x14ac:dyDescent="0.2">
      <c r="C446" s="2" t="s">
        <v>1390</v>
      </c>
      <c r="D446" s="4" t="s">
        <v>1736</v>
      </c>
      <c r="E446" s="16">
        <v>4915</v>
      </c>
      <c r="F446" s="81">
        <v>71.58</v>
      </c>
    </row>
    <row r="447" spans="1:8" ht="11.25" customHeight="1" x14ac:dyDescent="0.2">
      <c r="C447" s="1" t="s">
        <v>4</v>
      </c>
      <c r="D447" s="4" t="s">
        <v>655</v>
      </c>
      <c r="E447" s="16">
        <v>617</v>
      </c>
      <c r="F447" s="81">
        <v>8.99</v>
      </c>
    </row>
    <row r="448" spans="1:8" ht="11.25" customHeight="1" x14ac:dyDescent="0.2">
      <c r="C448" s="1" t="s">
        <v>2318</v>
      </c>
      <c r="E448" s="155" t="s">
        <v>3108</v>
      </c>
      <c r="F448" s="158">
        <v>100</v>
      </c>
      <c r="G448" s="155">
        <v>9304</v>
      </c>
      <c r="H448" s="164">
        <v>73.989681857265694</v>
      </c>
    </row>
    <row r="449" spans="1:8" ht="11.25" customHeight="1" x14ac:dyDescent="0.2">
      <c r="C449" s="1" t="s">
        <v>2318</v>
      </c>
    </row>
    <row r="450" spans="1:8" ht="11.25" customHeight="1" x14ac:dyDescent="0.2">
      <c r="A450" s="1" t="s">
        <v>3262</v>
      </c>
      <c r="C450" s="1" t="s">
        <v>392</v>
      </c>
      <c r="D450" s="4" t="s">
        <v>1737</v>
      </c>
      <c r="E450" s="16">
        <v>447</v>
      </c>
      <c r="F450" s="81">
        <v>5.89</v>
      </c>
    </row>
    <row r="451" spans="1:8" ht="11.25" customHeight="1" x14ac:dyDescent="0.2">
      <c r="C451" s="2" t="s">
        <v>2369</v>
      </c>
      <c r="D451" s="4" t="s">
        <v>1736</v>
      </c>
      <c r="E451" s="16">
        <v>4269</v>
      </c>
      <c r="F451" s="81">
        <v>56.26</v>
      </c>
    </row>
    <row r="452" spans="1:8" ht="11.25" customHeight="1" x14ac:dyDescent="0.2">
      <c r="C452" s="1" t="s">
        <v>1070</v>
      </c>
      <c r="D452" s="4" t="s">
        <v>655</v>
      </c>
      <c r="E452" s="16">
        <v>2872</v>
      </c>
      <c r="F452" s="81">
        <v>37.85</v>
      </c>
    </row>
    <row r="453" spans="1:8" ht="11.25" customHeight="1" x14ac:dyDescent="0.2">
      <c r="C453" s="1" t="s">
        <v>2318</v>
      </c>
      <c r="E453" s="155" t="s">
        <v>3109</v>
      </c>
      <c r="F453" s="158">
        <v>100</v>
      </c>
      <c r="G453" s="155">
        <v>10194</v>
      </c>
      <c r="H453" s="164">
        <v>74.818520698450072</v>
      </c>
    </row>
    <row r="454" spans="1:8" ht="11.25" customHeight="1" x14ac:dyDescent="0.2">
      <c r="C454" s="1" t="s">
        <v>2318</v>
      </c>
    </row>
    <row r="455" spans="1:8" ht="11.25" customHeight="1" x14ac:dyDescent="0.2">
      <c r="A455" s="1" t="s">
        <v>2545</v>
      </c>
      <c r="C455" s="1" t="s">
        <v>912</v>
      </c>
      <c r="D455" s="4" t="s">
        <v>655</v>
      </c>
      <c r="E455" s="16">
        <v>2905</v>
      </c>
      <c r="F455" s="81">
        <v>17.010000000000002</v>
      </c>
    </row>
    <row r="456" spans="1:8" ht="11.25" customHeight="1" x14ac:dyDescent="0.2">
      <c r="C456" s="1" t="s">
        <v>1391</v>
      </c>
      <c r="D456" s="4" t="s">
        <v>653</v>
      </c>
      <c r="E456" s="16">
        <v>1048</v>
      </c>
      <c r="F456" s="81">
        <v>6.14</v>
      </c>
    </row>
    <row r="457" spans="1:8" ht="11.25" customHeight="1" x14ac:dyDescent="0.2">
      <c r="C457" s="1" t="s">
        <v>1392</v>
      </c>
      <c r="D457" s="4" t="s">
        <v>1071</v>
      </c>
      <c r="E457" s="16">
        <v>299</v>
      </c>
      <c r="F457" s="81">
        <v>1.75</v>
      </c>
    </row>
    <row r="458" spans="1:8" ht="11.25" customHeight="1" x14ac:dyDescent="0.2">
      <c r="C458" s="1" t="s">
        <v>1393</v>
      </c>
      <c r="D458" s="4" t="s">
        <v>1738</v>
      </c>
      <c r="E458" s="16">
        <v>202</v>
      </c>
      <c r="F458" s="81">
        <v>1.18</v>
      </c>
    </row>
    <row r="459" spans="1:8" ht="11.25" customHeight="1" x14ac:dyDescent="0.2">
      <c r="C459" s="1" t="s">
        <v>1394</v>
      </c>
      <c r="D459" s="4" t="s">
        <v>653</v>
      </c>
      <c r="E459" s="16">
        <v>80</v>
      </c>
      <c r="F459" s="81">
        <v>0.47</v>
      </c>
    </row>
    <row r="460" spans="1:8" ht="11.25" customHeight="1" x14ac:dyDescent="0.2">
      <c r="C460" s="1" t="s">
        <v>1395</v>
      </c>
      <c r="D460" s="4" t="s">
        <v>1737</v>
      </c>
      <c r="E460" s="16">
        <v>2337</v>
      </c>
      <c r="F460" s="81">
        <v>13.68</v>
      </c>
    </row>
    <row r="461" spans="1:8" ht="11.25" customHeight="1" x14ac:dyDescent="0.2">
      <c r="C461" s="2" t="s">
        <v>1396</v>
      </c>
      <c r="D461" s="4" t="s">
        <v>1736</v>
      </c>
      <c r="E461" s="16">
        <v>10210</v>
      </c>
      <c r="F461" s="81">
        <v>59.77</v>
      </c>
    </row>
    <row r="462" spans="1:8" ht="11.25" customHeight="1" x14ac:dyDescent="0.2">
      <c r="C462" s="1" t="s">
        <v>2318</v>
      </c>
      <c r="E462" s="155" t="s">
        <v>3110</v>
      </c>
      <c r="F462" s="158">
        <v>100</v>
      </c>
      <c r="G462" s="155">
        <v>25523</v>
      </c>
      <c r="H462" s="164">
        <v>66.978803432198404</v>
      </c>
    </row>
    <row r="463" spans="1:8" ht="11.25" customHeight="1" x14ac:dyDescent="0.2">
      <c r="C463" s="1" t="s">
        <v>2318</v>
      </c>
    </row>
    <row r="464" spans="1:8" ht="11.25" customHeight="1" x14ac:dyDescent="0.2">
      <c r="A464" s="1" t="s">
        <v>1979</v>
      </c>
      <c r="C464" s="2" t="s">
        <v>1527</v>
      </c>
      <c r="D464" s="4" t="s">
        <v>1736</v>
      </c>
      <c r="E464" s="16">
        <v>6800</v>
      </c>
      <c r="F464" s="81">
        <v>71.14</v>
      </c>
    </row>
    <row r="465" spans="1:8" ht="11.25" customHeight="1" x14ac:dyDescent="0.2">
      <c r="C465" s="1" t="s">
        <v>719</v>
      </c>
      <c r="D465" s="4" t="s">
        <v>1738</v>
      </c>
      <c r="E465" s="16">
        <v>461</v>
      </c>
      <c r="F465" s="81">
        <v>4.82</v>
      </c>
    </row>
    <row r="466" spans="1:8" ht="11.25" customHeight="1" x14ac:dyDescent="0.2">
      <c r="C466" s="1" t="s">
        <v>1397</v>
      </c>
      <c r="D466" s="4" t="s">
        <v>1737</v>
      </c>
      <c r="E466" s="16">
        <v>1811</v>
      </c>
      <c r="F466" s="81">
        <v>18.95</v>
      </c>
    </row>
    <row r="467" spans="1:8" ht="11.25" customHeight="1" x14ac:dyDescent="0.2">
      <c r="C467" s="1" t="s">
        <v>1251</v>
      </c>
      <c r="D467" s="4" t="s">
        <v>655</v>
      </c>
      <c r="E467" s="16">
        <v>486</v>
      </c>
      <c r="F467" s="81">
        <v>5.09</v>
      </c>
    </row>
    <row r="468" spans="1:8" ht="11.25" customHeight="1" x14ac:dyDescent="0.2">
      <c r="C468" s="1" t="s">
        <v>2318</v>
      </c>
      <c r="E468" s="155" t="s">
        <v>3111</v>
      </c>
      <c r="F468" s="158">
        <v>100</v>
      </c>
      <c r="G468" s="155">
        <v>13227</v>
      </c>
      <c r="H468" s="164">
        <v>72.442730777954182</v>
      </c>
    </row>
    <row r="469" spans="1:8" ht="11.25" customHeight="1" x14ac:dyDescent="0.2">
      <c r="C469" s="1" t="s">
        <v>2318</v>
      </c>
    </row>
    <row r="470" spans="1:8" ht="11.25" customHeight="1" x14ac:dyDescent="0.2">
      <c r="A470" s="1" t="s">
        <v>3087</v>
      </c>
      <c r="C470" s="1" t="s">
        <v>1398</v>
      </c>
      <c r="D470" s="4" t="s">
        <v>1737</v>
      </c>
      <c r="E470" s="16">
        <v>1949</v>
      </c>
      <c r="F470" s="81">
        <v>17.420000000000002</v>
      </c>
    </row>
    <row r="471" spans="1:8" ht="11.25" customHeight="1" x14ac:dyDescent="0.2">
      <c r="C471" s="2" t="s">
        <v>1528</v>
      </c>
      <c r="D471" s="4" t="s">
        <v>1736</v>
      </c>
      <c r="E471" s="16">
        <v>8693</v>
      </c>
      <c r="F471" s="81">
        <v>77.680000000000007</v>
      </c>
    </row>
    <row r="472" spans="1:8" ht="11.25" customHeight="1" x14ac:dyDescent="0.2">
      <c r="C472" s="1" t="s">
        <v>1399</v>
      </c>
      <c r="D472" s="4" t="s">
        <v>655</v>
      </c>
      <c r="E472" s="16">
        <v>549</v>
      </c>
      <c r="F472" s="81">
        <v>4.9000000000000004</v>
      </c>
    </row>
    <row r="473" spans="1:8" ht="11.25" customHeight="1" x14ac:dyDescent="0.2">
      <c r="C473" s="1" t="s">
        <v>2318</v>
      </c>
      <c r="E473" s="155" t="s">
        <v>3112</v>
      </c>
      <c r="F473" s="158">
        <v>100</v>
      </c>
      <c r="G473" s="155">
        <v>15884</v>
      </c>
      <c r="H473" s="164">
        <v>70.643414756988165</v>
      </c>
    </row>
    <row r="474" spans="1:8" ht="11.25" customHeight="1" x14ac:dyDescent="0.2">
      <c r="C474" s="1" t="s">
        <v>2318</v>
      </c>
    </row>
    <row r="475" spans="1:8" ht="11.25" customHeight="1" x14ac:dyDescent="0.2">
      <c r="A475" s="1" t="s">
        <v>1557</v>
      </c>
      <c r="C475" s="2" t="s">
        <v>1529</v>
      </c>
      <c r="D475" s="4" t="s">
        <v>1736</v>
      </c>
      <c r="E475" s="16">
        <v>4526</v>
      </c>
      <c r="F475" s="81">
        <v>53.63</v>
      </c>
    </row>
    <row r="476" spans="1:8" ht="11.25" customHeight="1" x14ac:dyDescent="0.2">
      <c r="C476" s="1" t="s">
        <v>955</v>
      </c>
      <c r="D476" s="4" t="s">
        <v>653</v>
      </c>
      <c r="E476" s="16">
        <v>202</v>
      </c>
      <c r="F476" s="81">
        <v>2.39</v>
      </c>
    </row>
    <row r="477" spans="1:8" ht="11.25" customHeight="1" x14ac:dyDescent="0.2">
      <c r="C477" s="1" t="s">
        <v>1400</v>
      </c>
      <c r="D477" s="4" t="s">
        <v>1071</v>
      </c>
      <c r="E477" s="16">
        <v>487</v>
      </c>
      <c r="F477" s="81">
        <v>5.77</v>
      </c>
    </row>
    <row r="478" spans="1:8" ht="11.25" customHeight="1" x14ac:dyDescent="0.2">
      <c r="C478" s="1" t="s">
        <v>1401</v>
      </c>
      <c r="D478" s="4" t="s">
        <v>655</v>
      </c>
      <c r="E478" s="16">
        <v>2418</v>
      </c>
      <c r="F478" s="81">
        <v>28.65</v>
      </c>
    </row>
    <row r="479" spans="1:8" ht="11.25" customHeight="1" x14ac:dyDescent="0.2">
      <c r="C479" s="1" t="s">
        <v>1402</v>
      </c>
      <c r="D479" s="4" t="s">
        <v>1737</v>
      </c>
      <c r="E479" s="16">
        <v>807</v>
      </c>
      <c r="F479" s="81">
        <v>9.56</v>
      </c>
    </row>
    <row r="480" spans="1:8" ht="11.25" customHeight="1" x14ac:dyDescent="0.2">
      <c r="C480" s="1" t="s">
        <v>2318</v>
      </c>
      <c r="E480" s="155" t="s">
        <v>3113</v>
      </c>
      <c r="F480" s="158">
        <v>100</v>
      </c>
      <c r="G480" s="155">
        <v>10823</v>
      </c>
      <c r="H480" s="164">
        <v>78.148387692876284</v>
      </c>
    </row>
    <row r="481" spans="1:8" ht="11.25" customHeight="1" x14ac:dyDescent="0.2">
      <c r="C481" s="1" t="s">
        <v>2318</v>
      </c>
    </row>
    <row r="482" spans="1:8" ht="11.25" customHeight="1" x14ac:dyDescent="0.2">
      <c r="A482" s="1" t="s">
        <v>1559</v>
      </c>
      <c r="C482" s="1" t="s">
        <v>3084</v>
      </c>
      <c r="D482" s="4" t="s">
        <v>655</v>
      </c>
      <c r="E482" s="16">
        <v>1205</v>
      </c>
      <c r="F482" s="81">
        <v>16.149999999999999</v>
      </c>
    </row>
    <row r="483" spans="1:8" ht="11.25" customHeight="1" x14ac:dyDescent="0.2">
      <c r="C483" s="2" t="s">
        <v>1530</v>
      </c>
      <c r="D483" s="4" t="s">
        <v>1736</v>
      </c>
      <c r="E483" s="16">
        <v>4357</v>
      </c>
      <c r="F483" s="81">
        <v>58.38</v>
      </c>
    </row>
    <row r="484" spans="1:8" ht="11.25" customHeight="1" x14ac:dyDescent="0.2">
      <c r="C484" s="1" t="s">
        <v>1403</v>
      </c>
      <c r="D484" s="4" t="s">
        <v>1071</v>
      </c>
      <c r="E484" s="16">
        <v>159</v>
      </c>
      <c r="F484" s="81">
        <v>2.13</v>
      </c>
    </row>
    <row r="485" spans="1:8" ht="11.25" customHeight="1" x14ac:dyDescent="0.2">
      <c r="C485" s="1" t="s">
        <v>1404</v>
      </c>
      <c r="D485" s="4" t="s">
        <v>1737</v>
      </c>
      <c r="E485" s="16">
        <v>1742</v>
      </c>
      <c r="F485" s="81">
        <v>23.34</v>
      </c>
    </row>
    <row r="486" spans="1:8" ht="11.25" customHeight="1" x14ac:dyDescent="0.2">
      <c r="C486" s="1" t="s">
        <v>2318</v>
      </c>
      <c r="E486" s="155" t="s">
        <v>3114</v>
      </c>
      <c r="F486" s="158">
        <v>100</v>
      </c>
      <c r="G486" s="155">
        <v>9475</v>
      </c>
      <c r="H486" s="164">
        <v>79.007915567282325</v>
      </c>
    </row>
    <row r="487" spans="1:8" ht="11.25" customHeight="1" x14ac:dyDescent="0.2">
      <c r="C487" s="1" t="s">
        <v>2318</v>
      </c>
    </row>
    <row r="488" spans="1:8" ht="11.25" customHeight="1" x14ac:dyDescent="0.2">
      <c r="A488" s="1" t="s">
        <v>2564</v>
      </c>
      <c r="C488" s="1" t="s">
        <v>1405</v>
      </c>
      <c r="D488" s="4" t="s">
        <v>655</v>
      </c>
      <c r="E488" s="16">
        <v>476</v>
      </c>
      <c r="F488" s="81">
        <v>6.41</v>
      </c>
    </row>
    <row r="489" spans="1:8" ht="11.25" customHeight="1" x14ac:dyDescent="0.2">
      <c r="C489" s="2" t="s">
        <v>1059</v>
      </c>
      <c r="D489" s="4" t="s">
        <v>1736</v>
      </c>
      <c r="E489" s="16">
        <v>4589</v>
      </c>
      <c r="F489" s="81">
        <v>61.78</v>
      </c>
    </row>
    <row r="490" spans="1:8" ht="11.25" customHeight="1" x14ac:dyDescent="0.2">
      <c r="C490" s="1" t="s">
        <v>1406</v>
      </c>
      <c r="D490" s="4" t="s">
        <v>1737</v>
      </c>
      <c r="E490" s="16">
        <v>2145</v>
      </c>
      <c r="F490" s="81">
        <v>28.88</v>
      </c>
    </row>
    <row r="491" spans="1:8" ht="11.25" customHeight="1" x14ac:dyDescent="0.2">
      <c r="C491" s="1" t="s">
        <v>1407</v>
      </c>
      <c r="D491" s="4" t="s">
        <v>1072</v>
      </c>
      <c r="E491" s="16">
        <v>218</v>
      </c>
      <c r="F491" s="81">
        <v>2.93</v>
      </c>
    </row>
    <row r="492" spans="1:8" ht="11.25" customHeight="1" x14ac:dyDescent="0.2">
      <c r="C492" s="1" t="s">
        <v>2318</v>
      </c>
      <c r="E492" s="155" t="s">
        <v>3115</v>
      </c>
      <c r="F492" s="158">
        <v>100</v>
      </c>
      <c r="G492" s="155">
        <v>9766</v>
      </c>
      <c r="H492" s="164">
        <v>76.182674585295928</v>
      </c>
    </row>
    <row r="493" spans="1:8" ht="11.25" customHeight="1" x14ac:dyDescent="0.2">
      <c r="C493" s="1" t="s">
        <v>2318</v>
      </c>
    </row>
    <row r="494" spans="1:8" ht="11.25" customHeight="1" x14ac:dyDescent="0.2">
      <c r="A494" s="1" t="s">
        <v>1130</v>
      </c>
      <c r="C494" s="1" t="s">
        <v>1408</v>
      </c>
      <c r="D494" s="4" t="s">
        <v>653</v>
      </c>
      <c r="E494" s="16">
        <v>576</v>
      </c>
      <c r="F494" s="81">
        <v>2.85</v>
      </c>
    </row>
    <row r="495" spans="1:8" ht="11.25" customHeight="1" x14ac:dyDescent="0.2">
      <c r="C495" s="1" t="s">
        <v>1409</v>
      </c>
      <c r="D495" s="4" t="s">
        <v>1737</v>
      </c>
      <c r="E495" s="16">
        <v>3511</v>
      </c>
      <c r="F495" s="81">
        <v>17.38</v>
      </c>
    </row>
    <row r="496" spans="1:8" ht="11.25" customHeight="1" x14ac:dyDescent="0.2">
      <c r="C496" s="1" t="s">
        <v>1410</v>
      </c>
      <c r="D496" s="4" t="s">
        <v>655</v>
      </c>
      <c r="E496" s="16">
        <v>3190</v>
      </c>
      <c r="F496" s="81">
        <v>15.79</v>
      </c>
    </row>
    <row r="497" spans="1:8" ht="11.25" customHeight="1" x14ac:dyDescent="0.2">
      <c r="C497" s="2" t="s">
        <v>2391</v>
      </c>
      <c r="D497" s="4" t="s">
        <v>1736</v>
      </c>
      <c r="E497" s="16">
        <v>12923</v>
      </c>
      <c r="F497" s="81">
        <v>63.98</v>
      </c>
    </row>
    <row r="498" spans="1:8" ht="11.25" customHeight="1" x14ac:dyDescent="0.2">
      <c r="C498" s="1" t="s">
        <v>2318</v>
      </c>
      <c r="E498" s="155" t="s">
        <v>3116</v>
      </c>
      <c r="F498" s="158">
        <v>100</v>
      </c>
      <c r="G498" s="155">
        <v>28622</v>
      </c>
      <c r="H498" s="164">
        <v>70.816155404933269</v>
      </c>
    </row>
    <row r="499" spans="1:8" ht="11.25" customHeight="1" x14ac:dyDescent="0.2">
      <c r="C499" s="1" t="s">
        <v>2318</v>
      </c>
    </row>
    <row r="500" spans="1:8" ht="11.25" customHeight="1" x14ac:dyDescent="0.2">
      <c r="A500" s="1" t="s">
        <v>1567</v>
      </c>
      <c r="C500" s="1" t="s">
        <v>907</v>
      </c>
      <c r="D500" s="4" t="s">
        <v>655</v>
      </c>
      <c r="E500" s="16">
        <v>1220</v>
      </c>
      <c r="F500" s="81">
        <v>13.61</v>
      </c>
    </row>
    <row r="501" spans="1:8" ht="11.25" customHeight="1" x14ac:dyDescent="0.2">
      <c r="C501" s="1" t="s">
        <v>908</v>
      </c>
      <c r="D501" s="4" t="s">
        <v>1737</v>
      </c>
      <c r="E501" s="16">
        <v>2276</v>
      </c>
      <c r="F501" s="81">
        <v>25.4</v>
      </c>
    </row>
    <row r="502" spans="1:8" ht="11.25" customHeight="1" x14ac:dyDescent="0.2">
      <c r="C502" s="1" t="s">
        <v>909</v>
      </c>
      <c r="D502" s="4" t="s">
        <v>1072</v>
      </c>
      <c r="E502" s="16">
        <v>147</v>
      </c>
      <c r="F502" s="82">
        <v>1.64</v>
      </c>
    </row>
    <row r="503" spans="1:8" ht="11.25" customHeight="1" x14ac:dyDescent="0.2">
      <c r="C503" s="1" t="s">
        <v>3085</v>
      </c>
      <c r="D503" s="3" t="s">
        <v>1071</v>
      </c>
      <c r="E503" s="17">
        <v>685</v>
      </c>
      <c r="F503" s="83">
        <v>7.64</v>
      </c>
      <c r="G503" s="17"/>
    </row>
    <row r="504" spans="1:8" ht="11.25" customHeight="1" x14ac:dyDescent="0.2">
      <c r="C504" s="2" t="s">
        <v>3266</v>
      </c>
      <c r="D504" s="4" t="s">
        <v>1736</v>
      </c>
      <c r="E504" s="16">
        <v>4635</v>
      </c>
      <c r="F504" s="82">
        <v>51.71</v>
      </c>
    </row>
    <row r="505" spans="1:8" ht="11.25" customHeight="1" x14ac:dyDescent="0.2">
      <c r="C505" s="1" t="s">
        <v>2318</v>
      </c>
      <c r="E505" s="155" t="s">
        <v>3117</v>
      </c>
      <c r="F505" s="158">
        <v>100</v>
      </c>
      <c r="G505" s="155">
        <v>12441</v>
      </c>
      <c r="H505" s="164">
        <v>72.397717225303438</v>
      </c>
    </row>
    <row r="506" spans="1:8" ht="11.25" customHeight="1" x14ac:dyDescent="0.2"/>
    <row r="507" spans="1:8" ht="11.25" customHeight="1" x14ac:dyDescent="0.2">
      <c r="C507" s="4"/>
      <c r="E507" s="19"/>
      <c r="F507" s="82"/>
      <c r="G507" s="19"/>
    </row>
    <row r="508" spans="1:8" s="26" customFormat="1" ht="11.25" customHeight="1" x14ac:dyDescent="0.2">
      <c r="A508" s="145" t="s">
        <v>1131</v>
      </c>
      <c r="B508" s="145"/>
      <c r="C508" s="145"/>
      <c r="D508" s="146"/>
      <c r="E508" s="147" t="s">
        <v>759</v>
      </c>
      <c r="F508" s="148"/>
      <c r="G508" s="147">
        <f>SUM(G5:G507)</f>
        <v>1435752</v>
      </c>
      <c r="H508" s="148">
        <f>(944936+2708)/G508*100</f>
        <v>66.003320907789089</v>
      </c>
    </row>
    <row r="509" spans="1:8" ht="11.25" customHeight="1" x14ac:dyDescent="0.2">
      <c r="A509" s="5"/>
      <c r="B509" s="5"/>
      <c r="C509" s="5"/>
      <c r="D509" s="67"/>
      <c r="E509" s="27"/>
      <c r="F509" s="85"/>
      <c r="G509" s="27"/>
      <c r="H509" s="85"/>
    </row>
    <row r="510" spans="1:8" s="5" customFormat="1" ht="11.25" customHeight="1" x14ac:dyDescent="0.2">
      <c r="A510" s="6" t="s">
        <v>1289</v>
      </c>
      <c r="B510" s="6"/>
      <c r="C510" s="8"/>
      <c r="D510" s="8"/>
      <c r="E510" s="137"/>
      <c r="F510" s="138"/>
      <c r="G510" s="139"/>
      <c r="H510" s="25"/>
    </row>
    <row r="511" spans="1:8" ht="11.25" customHeight="1" x14ac:dyDescent="0.2">
      <c r="A511" s="273" t="s">
        <v>2934</v>
      </c>
      <c r="B511" s="273"/>
      <c r="C511" s="273"/>
      <c r="D511" s="273"/>
      <c r="E511" s="273"/>
      <c r="F511" s="273"/>
      <c r="G511" s="273"/>
      <c r="H511" s="273"/>
    </row>
    <row r="512" spans="1:8" s="26" customFormat="1" ht="11.25" customHeight="1" x14ac:dyDescent="0.2">
      <c r="A512" s="274" t="s">
        <v>1303</v>
      </c>
      <c r="B512" s="274"/>
      <c r="C512" s="274"/>
      <c r="D512" s="274"/>
      <c r="E512" s="274"/>
      <c r="F512" s="274"/>
      <c r="G512" s="274"/>
      <c r="H512" s="274"/>
    </row>
    <row r="513" spans="1:8" s="26" customFormat="1" ht="11.25" customHeight="1" x14ac:dyDescent="0.2">
      <c r="A513" s="273" t="s">
        <v>2932</v>
      </c>
      <c r="B513" s="273"/>
      <c r="C513" s="273"/>
      <c r="D513" s="273"/>
      <c r="E513" s="273"/>
      <c r="F513" s="273"/>
      <c r="G513" s="273"/>
      <c r="H513" s="273"/>
    </row>
  </sheetData>
  <mergeCells count="5">
    <mergeCell ref="A512:H512"/>
    <mergeCell ref="A513:H513"/>
    <mergeCell ref="A1:H1"/>
    <mergeCell ref="F2:H2"/>
    <mergeCell ref="A511:H511"/>
  </mergeCells>
  <phoneticPr fontId="0" type="noConversion"/>
  <pageMargins left="0.5" right="0.16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1"/>
  <sheetViews>
    <sheetView zoomScaleNormal="100" workbookViewId="0">
      <pane ySplit="3" topLeftCell="A473" activePane="bottomLeft" state="frozen"/>
      <selection activeCell="G3" sqref="G3"/>
      <selection pane="bottomLeft" activeCell="A497" sqref="A497:IV497"/>
    </sheetView>
  </sheetViews>
  <sheetFormatPr defaultRowHeight="11.25" x14ac:dyDescent="0.2"/>
  <cols>
    <col min="1" max="1" width="20.7109375" style="1" customWidth="1"/>
    <col min="2" max="2" width="2.7109375" style="1" customWidth="1"/>
    <col min="3" max="3" width="20.7109375" style="1" customWidth="1"/>
    <col min="4" max="4" width="18.7109375" style="4" customWidth="1"/>
    <col min="5" max="5" width="9.7109375" style="16" customWidth="1"/>
    <col min="6" max="6" width="9.7109375" style="81" customWidth="1"/>
    <col min="7" max="7" width="8.7109375" style="16" customWidth="1"/>
    <col min="8" max="8" width="7.7109375" style="82" customWidth="1"/>
    <col min="9" max="16384" width="9.140625" style="1"/>
  </cols>
  <sheetData>
    <row r="1" spans="1:9" s="71" customFormat="1" ht="24" customHeight="1" x14ac:dyDescent="0.2">
      <c r="A1" s="270" t="s">
        <v>2332</v>
      </c>
      <c r="B1" s="270"/>
      <c r="C1" s="270"/>
      <c r="D1" s="270"/>
      <c r="E1" s="270"/>
      <c r="F1" s="270"/>
      <c r="G1" s="270"/>
      <c r="H1" s="270"/>
      <c r="I1" s="72"/>
    </row>
    <row r="2" spans="1:9" s="46" customFormat="1" ht="42" customHeight="1" thickBot="1" x14ac:dyDescent="0.25">
      <c r="A2" s="36" t="s">
        <v>3257</v>
      </c>
      <c r="B2" s="36"/>
      <c r="C2" s="36"/>
      <c r="D2" s="75" t="s">
        <v>3254</v>
      </c>
      <c r="E2" s="89"/>
      <c r="F2" s="271" t="s">
        <v>2933</v>
      </c>
      <c r="G2" s="271"/>
      <c r="H2" s="271"/>
    </row>
    <row r="3" spans="1:9" s="57" customFormat="1" ht="52.5" customHeight="1" thickBot="1" x14ac:dyDescent="0.25">
      <c r="A3" s="58" t="s">
        <v>1284</v>
      </c>
      <c r="B3" s="59"/>
      <c r="C3" s="59" t="s">
        <v>1300</v>
      </c>
      <c r="D3" s="59" t="s">
        <v>2652</v>
      </c>
      <c r="E3" s="73" t="s">
        <v>1301</v>
      </c>
      <c r="F3" s="74" t="s">
        <v>1286</v>
      </c>
      <c r="G3" s="73" t="s">
        <v>1287</v>
      </c>
      <c r="H3" s="74" t="s">
        <v>1302</v>
      </c>
    </row>
    <row r="4" spans="1:9" s="38" customFormat="1" ht="11.25" customHeight="1" x14ac:dyDescent="0.2">
      <c r="A4" s="60"/>
      <c r="B4" s="60"/>
      <c r="C4" s="76"/>
      <c r="D4" s="66"/>
      <c r="E4" s="87"/>
      <c r="F4" s="80"/>
      <c r="G4" s="87"/>
      <c r="H4" s="80"/>
    </row>
    <row r="5" spans="1:9" ht="11.25" customHeight="1" x14ac:dyDescent="0.2">
      <c r="A5" s="1" t="s">
        <v>1126</v>
      </c>
      <c r="C5" s="1" t="s">
        <v>2225</v>
      </c>
      <c r="D5" s="4" t="s">
        <v>1072</v>
      </c>
      <c r="E5" s="16">
        <v>1942</v>
      </c>
      <c r="F5" s="81">
        <v>22.6</v>
      </c>
    </row>
    <row r="6" spans="1:9" ht="11.25" customHeight="1" x14ac:dyDescent="0.2">
      <c r="C6" s="1" t="s">
        <v>2226</v>
      </c>
      <c r="D6" s="4" t="s">
        <v>1736</v>
      </c>
      <c r="E6" s="16">
        <v>3098</v>
      </c>
      <c r="F6" s="81">
        <v>36</v>
      </c>
    </row>
    <row r="7" spans="1:9" ht="11.25" customHeight="1" x14ac:dyDescent="0.2">
      <c r="C7" s="1" t="s">
        <v>2227</v>
      </c>
      <c r="D7" s="4" t="s">
        <v>1737</v>
      </c>
      <c r="E7" s="16">
        <v>184</v>
      </c>
      <c r="F7" s="81">
        <v>2.1</v>
      </c>
    </row>
    <row r="8" spans="1:9" ht="11.25" customHeight="1" x14ac:dyDescent="0.2">
      <c r="C8" s="2" t="s">
        <v>2228</v>
      </c>
      <c r="D8" s="4" t="s">
        <v>655</v>
      </c>
      <c r="E8" s="16">
        <v>3372</v>
      </c>
      <c r="F8" s="81">
        <v>39.299999999999997</v>
      </c>
    </row>
    <row r="9" spans="1:9" ht="11.25" customHeight="1" x14ac:dyDescent="0.2">
      <c r="C9" s="1" t="s">
        <v>2318</v>
      </c>
      <c r="E9" s="155" t="s">
        <v>3057</v>
      </c>
      <c r="F9" s="158">
        <v>100</v>
      </c>
      <c r="G9" s="155">
        <v>13941</v>
      </c>
      <c r="H9" s="164">
        <v>61.78</v>
      </c>
    </row>
    <row r="10" spans="1:9" ht="11.25" customHeight="1" x14ac:dyDescent="0.2">
      <c r="C10" s="1" t="s">
        <v>2318</v>
      </c>
    </row>
    <row r="11" spans="1:9" ht="11.25" customHeight="1" x14ac:dyDescent="0.2">
      <c r="A11" s="1" t="s">
        <v>1008</v>
      </c>
      <c r="C11" s="1" t="s">
        <v>2229</v>
      </c>
      <c r="D11" s="4" t="s">
        <v>653</v>
      </c>
      <c r="E11" s="16">
        <v>444</v>
      </c>
      <c r="F11" s="81">
        <v>6.5</v>
      </c>
    </row>
    <row r="12" spans="1:9" ht="11.25" customHeight="1" x14ac:dyDescent="0.2">
      <c r="C12" s="1" t="s">
        <v>2230</v>
      </c>
      <c r="D12" s="4" t="s">
        <v>655</v>
      </c>
      <c r="E12" s="16">
        <v>1452</v>
      </c>
      <c r="F12" s="81">
        <v>21.1</v>
      </c>
    </row>
    <row r="13" spans="1:9" ht="11.25" customHeight="1" x14ac:dyDescent="0.2">
      <c r="C13" s="2" t="s">
        <v>1878</v>
      </c>
      <c r="D13" s="4" t="s">
        <v>1736</v>
      </c>
      <c r="E13" s="16">
        <v>4536</v>
      </c>
      <c r="F13" s="81">
        <v>66</v>
      </c>
    </row>
    <row r="14" spans="1:9" ht="11.25" customHeight="1" x14ac:dyDescent="0.2">
      <c r="C14" s="1" t="s">
        <v>2231</v>
      </c>
      <c r="D14" s="4" t="s">
        <v>484</v>
      </c>
      <c r="E14" s="16">
        <v>436</v>
      </c>
      <c r="F14" s="81">
        <v>6.4</v>
      </c>
    </row>
    <row r="15" spans="1:9" ht="11.25" customHeight="1" x14ac:dyDescent="0.2">
      <c r="C15" s="1" t="s">
        <v>2318</v>
      </c>
      <c r="E15" s="155" t="s">
        <v>3058</v>
      </c>
      <c r="F15" s="158">
        <v>100</v>
      </c>
      <c r="G15" s="155">
        <v>16290</v>
      </c>
      <c r="H15" s="164">
        <v>42.3</v>
      </c>
    </row>
    <row r="16" spans="1:9" ht="11.25" customHeight="1" x14ac:dyDescent="0.2">
      <c r="C16" s="1" t="s">
        <v>2318</v>
      </c>
    </row>
    <row r="17" spans="1:8" ht="11.25" customHeight="1" x14ac:dyDescent="0.2">
      <c r="A17" s="1" t="s">
        <v>1127</v>
      </c>
      <c r="C17" s="1" t="s">
        <v>2232</v>
      </c>
      <c r="D17" s="4" t="s">
        <v>653</v>
      </c>
      <c r="E17" s="16">
        <v>539</v>
      </c>
      <c r="F17" s="81">
        <v>6.1</v>
      </c>
    </row>
    <row r="18" spans="1:8" ht="11.25" customHeight="1" x14ac:dyDescent="0.2">
      <c r="C18" s="1" t="s">
        <v>2233</v>
      </c>
      <c r="D18" s="4" t="s">
        <v>1072</v>
      </c>
      <c r="E18" s="16">
        <v>637</v>
      </c>
      <c r="F18" s="81">
        <v>7.2</v>
      </c>
    </row>
    <row r="19" spans="1:8" ht="11.25" customHeight="1" x14ac:dyDescent="0.2">
      <c r="C19" s="2" t="s">
        <v>1016</v>
      </c>
      <c r="D19" s="4" t="s">
        <v>1736</v>
      </c>
      <c r="E19" s="16">
        <v>5092</v>
      </c>
      <c r="F19" s="81">
        <v>57.8</v>
      </c>
    </row>
    <row r="20" spans="1:8" ht="11.25" customHeight="1" x14ac:dyDescent="0.2">
      <c r="C20" s="1" t="s">
        <v>1256</v>
      </c>
      <c r="D20" s="4" t="s">
        <v>655</v>
      </c>
      <c r="E20" s="16">
        <v>2303</v>
      </c>
      <c r="F20" s="81">
        <v>26.2</v>
      </c>
    </row>
    <row r="21" spans="1:8" ht="11.25" customHeight="1" x14ac:dyDescent="0.2">
      <c r="C21" s="1" t="s">
        <v>2234</v>
      </c>
      <c r="D21" s="4" t="s">
        <v>484</v>
      </c>
      <c r="E21" s="16">
        <v>235</v>
      </c>
      <c r="F21" s="81">
        <v>2.7</v>
      </c>
    </row>
    <row r="22" spans="1:8" ht="11.25" customHeight="1" x14ac:dyDescent="0.2">
      <c r="C22" s="1" t="s">
        <v>2318</v>
      </c>
      <c r="E22" s="155" t="s">
        <v>3059</v>
      </c>
      <c r="F22" s="158">
        <v>100</v>
      </c>
      <c r="G22" s="155">
        <v>14491</v>
      </c>
      <c r="H22" s="164">
        <v>60.86</v>
      </c>
    </row>
    <row r="23" spans="1:8" ht="11.25" customHeight="1" x14ac:dyDescent="0.2">
      <c r="C23" s="1" t="s">
        <v>2318</v>
      </c>
    </row>
    <row r="24" spans="1:8" ht="11.25" customHeight="1" x14ac:dyDescent="0.2">
      <c r="A24" s="1" t="s">
        <v>1974</v>
      </c>
      <c r="C24" s="2" t="s">
        <v>1879</v>
      </c>
      <c r="D24" s="4" t="s">
        <v>1736</v>
      </c>
      <c r="E24" s="16">
        <v>3630</v>
      </c>
      <c r="F24" s="81">
        <v>65.400000000000006</v>
      </c>
    </row>
    <row r="25" spans="1:8" ht="11.25" customHeight="1" x14ac:dyDescent="0.2">
      <c r="C25" s="1" t="s">
        <v>1257</v>
      </c>
      <c r="D25" s="4" t="s">
        <v>1737</v>
      </c>
      <c r="E25" s="16">
        <v>256</v>
      </c>
      <c r="F25" s="81">
        <v>4.5999999999999996</v>
      </c>
    </row>
    <row r="26" spans="1:8" ht="11.25" customHeight="1" x14ac:dyDescent="0.2">
      <c r="C26" s="1" t="s">
        <v>2235</v>
      </c>
      <c r="D26" s="4" t="s">
        <v>655</v>
      </c>
      <c r="E26" s="16">
        <v>1663</v>
      </c>
      <c r="F26" s="81">
        <v>30</v>
      </c>
    </row>
    <row r="27" spans="1:8" ht="11.25" customHeight="1" x14ac:dyDescent="0.2">
      <c r="C27" s="1" t="s">
        <v>2318</v>
      </c>
      <c r="E27" s="155" t="s">
        <v>3060</v>
      </c>
      <c r="F27" s="158">
        <v>100</v>
      </c>
      <c r="G27" s="155">
        <v>15258</v>
      </c>
      <c r="H27" s="164">
        <v>36.47</v>
      </c>
    </row>
    <row r="28" spans="1:8" ht="11.25" customHeight="1" x14ac:dyDescent="0.2">
      <c r="C28" s="1" t="s">
        <v>2318</v>
      </c>
    </row>
    <row r="29" spans="1:8" ht="11.25" customHeight="1" x14ac:dyDescent="0.2">
      <c r="A29" s="1" t="s">
        <v>1975</v>
      </c>
      <c r="C29" s="1" t="s">
        <v>2236</v>
      </c>
      <c r="D29" s="4" t="s">
        <v>484</v>
      </c>
      <c r="E29" s="16">
        <v>1220</v>
      </c>
      <c r="F29" s="81">
        <v>20.8</v>
      </c>
    </row>
    <row r="30" spans="1:8" ht="11.25" customHeight="1" x14ac:dyDescent="0.2">
      <c r="C30" s="2" t="s">
        <v>2237</v>
      </c>
      <c r="D30" s="4" t="s">
        <v>1736</v>
      </c>
      <c r="E30" s="16">
        <v>3395</v>
      </c>
      <c r="F30" s="81">
        <v>57.9</v>
      </c>
    </row>
    <row r="31" spans="1:8" ht="11.25" customHeight="1" x14ac:dyDescent="0.2">
      <c r="C31" s="1" t="s">
        <v>2238</v>
      </c>
      <c r="D31" s="4" t="s">
        <v>1072</v>
      </c>
      <c r="E31" s="16">
        <v>1046</v>
      </c>
      <c r="F31" s="81">
        <v>17.8</v>
      </c>
    </row>
    <row r="32" spans="1:8" ht="11.25" customHeight="1" x14ac:dyDescent="0.2">
      <c r="C32" s="1" t="s">
        <v>2239</v>
      </c>
      <c r="D32" s="4" t="s">
        <v>655</v>
      </c>
      <c r="E32" s="16">
        <v>205</v>
      </c>
      <c r="F32" s="81">
        <v>3.5</v>
      </c>
    </row>
    <row r="33" spans="1:8" ht="11.25" customHeight="1" x14ac:dyDescent="0.2">
      <c r="C33" s="1" t="s">
        <v>2318</v>
      </c>
      <c r="E33" s="155" t="s">
        <v>3061</v>
      </c>
      <c r="F33" s="158">
        <v>100</v>
      </c>
      <c r="G33" s="155">
        <v>12287</v>
      </c>
      <c r="H33" s="164">
        <v>47.79</v>
      </c>
    </row>
    <row r="34" spans="1:8" ht="11.25" customHeight="1" x14ac:dyDescent="0.2">
      <c r="C34" s="1" t="s">
        <v>2318</v>
      </c>
    </row>
    <row r="35" spans="1:8" ht="11.25" customHeight="1" x14ac:dyDescent="0.2">
      <c r="A35" s="1" t="s">
        <v>2354</v>
      </c>
      <c r="C35" s="1" t="s">
        <v>2240</v>
      </c>
      <c r="D35" s="4" t="s">
        <v>485</v>
      </c>
      <c r="E35" s="16">
        <v>269</v>
      </c>
      <c r="F35" s="81">
        <v>2.8</v>
      </c>
    </row>
    <row r="36" spans="1:8" ht="11.25" customHeight="1" x14ac:dyDescent="0.2">
      <c r="C36" s="1" t="s">
        <v>40</v>
      </c>
      <c r="D36" s="4" t="s">
        <v>655</v>
      </c>
      <c r="E36" s="16">
        <v>3336</v>
      </c>
      <c r="F36" s="81">
        <v>34.700000000000003</v>
      </c>
    </row>
    <row r="37" spans="1:8" ht="11.25" customHeight="1" x14ac:dyDescent="0.2">
      <c r="C37" s="1" t="s">
        <v>930</v>
      </c>
      <c r="D37" s="4" t="s">
        <v>1072</v>
      </c>
      <c r="E37" s="16">
        <v>611</v>
      </c>
      <c r="F37" s="81">
        <v>6.4</v>
      </c>
    </row>
    <row r="38" spans="1:8" ht="11.25" customHeight="1" x14ac:dyDescent="0.2">
      <c r="C38" s="2" t="s">
        <v>1880</v>
      </c>
      <c r="D38" s="4" t="s">
        <v>1736</v>
      </c>
      <c r="E38" s="16">
        <v>5392</v>
      </c>
      <c r="F38" s="81">
        <v>56.1</v>
      </c>
    </row>
    <row r="39" spans="1:8" ht="11.25" customHeight="1" x14ac:dyDescent="0.2">
      <c r="C39" s="1" t="s">
        <v>2318</v>
      </c>
      <c r="E39" s="155" t="s">
        <v>3062</v>
      </c>
      <c r="F39" s="158">
        <v>100</v>
      </c>
      <c r="G39" s="155">
        <v>22287</v>
      </c>
      <c r="H39" s="164">
        <v>43.33</v>
      </c>
    </row>
    <row r="40" spans="1:8" ht="11.25" customHeight="1" x14ac:dyDescent="0.2">
      <c r="C40" s="1" t="s">
        <v>2318</v>
      </c>
    </row>
    <row r="41" spans="1:8" ht="11.25" customHeight="1" x14ac:dyDescent="0.2">
      <c r="A41" s="1" t="s">
        <v>2360</v>
      </c>
      <c r="C41" s="1" t="s">
        <v>931</v>
      </c>
      <c r="D41" s="4" t="s">
        <v>655</v>
      </c>
      <c r="E41" s="16">
        <v>1089</v>
      </c>
      <c r="F41" s="81">
        <v>11</v>
      </c>
    </row>
    <row r="42" spans="1:8" ht="11.25" customHeight="1" x14ac:dyDescent="0.2">
      <c r="C42" s="2" t="s">
        <v>41</v>
      </c>
      <c r="D42" s="4" t="s">
        <v>1072</v>
      </c>
      <c r="E42" s="16">
        <v>5242</v>
      </c>
      <c r="F42" s="81">
        <v>52.8</v>
      </c>
    </row>
    <row r="43" spans="1:8" ht="11.25" customHeight="1" x14ac:dyDescent="0.2">
      <c r="C43" s="1" t="s">
        <v>932</v>
      </c>
      <c r="D43" s="4" t="s">
        <v>1736</v>
      </c>
      <c r="E43" s="16">
        <v>3437</v>
      </c>
      <c r="F43" s="81">
        <v>34.700000000000003</v>
      </c>
    </row>
    <row r="44" spans="1:8" ht="11.25" customHeight="1" x14ac:dyDescent="0.2">
      <c r="C44" s="1" t="s">
        <v>933</v>
      </c>
      <c r="D44" s="4" t="s">
        <v>484</v>
      </c>
      <c r="E44" s="16">
        <v>153</v>
      </c>
      <c r="F44" s="81">
        <v>1.5</v>
      </c>
    </row>
    <row r="45" spans="1:8" ht="11.25" customHeight="1" x14ac:dyDescent="0.2">
      <c r="C45" s="1" t="s">
        <v>2318</v>
      </c>
      <c r="E45" s="155" t="s">
        <v>3063</v>
      </c>
      <c r="F45" s="158">
        <v>100</v>
      </c>
      <c r="G45" s="155">
        <v>26048</v>
      </c>
      <c r="H45" s="164">
        <v>38.200000000000003</v>
      </c>
    </row>
    <row r="46" spans="1:8" ht="11.25" customHeight="1" x14ac:dyDescent="0.2">
      <c r="C46" s="1" t="s">
        <v>2318</v>
      </c>
    </row>
    <row r="47" spans="1:8" ht="11.25" customHeight="1" x14ac:dyDescent="0.2">
      <c r="A47" s="1" t="s">
        <v>1963</v>
      </c>
      <c r="C47" s="2" t="s">
        <v>1882</v>
      </c>
      <c r="D47" s="4" t="s">
        <v>1736</v>
      </c>
      <c r="E47" s="16">
        <v>5483</v>
      </c>
      <c r="F47" s="81">
        <v>59.6</v>
      </c>
    </row>
    <row r="48" spans="1:8" ht="11.25" customHeight="1" x14ac:dyDescent="0.2">
      <c r="C48" s="1" t="s">
        <v>934</v>
      </c>
      <c r="D48" s="4" t="s">
        <v>653</v>
      </c>
      <c r="E48" s="16">
        <v>219</v>
      </c>
      <c r="F48" s="81">
        <v>2.4</v>
      </c>
    </row>
    <row r="49" spans="1:8" ht="11.25" customHeight="1" x14ac:dyDescent="0.2">
      <c r="C49" s="1" t="s">
        <v>935</v>
      </c>
      <c r="D49" s="4" t="s">
        <v>1072</v>
      </c>
      <c r="E49" s="16">
        <v>1842</v>
      </c>
      <c r="F49" s="81">
        <v>20</v>
      </c>
    </row>
    <row r="50" spans="1:8" ht="11.25" customHeight="1" x14ac:dyDescent="0.2">
      <c r="C50" s="1" t="s">
        <v>1760</v>
      </c>
      <c r="D50" s="4" t="s">
        <v>655</v>
      </c>
      <c r="E50" s="16">
        <v>1654</v>
      </c>
      <c r="F50" s="81">
        <v>18</v>
      </c>
    </row>
    <row r="51" spans="1:8" ht="11.25" customHeight="1" x14ac:dyDescent="0.2">
      <c r="C51" s="1" t="s">
        <v>2318</v>
      </c>
      <c r="E51" s="155" t="s">
        <v>3064</v>
      </c>
      <c r="F51" s="158">
        <v>100</v>
      </c>
      <c r="G51" s="155">
        <v>19578</v>
      </c>
      <c r="H51" s="164">
        <v>47.05</v>
      </c>
    </row>
    <row r="52" spans="1:8" ht="11.25" customHeight="1" x14ac:dyDescent="0.2">
      <c r="C52" s="1" t="s">
        <v>2318</v>
      </c>
    </row>
    <row r="53" spans="1:8" ht="11.25" customHeight="1" x14ac:dyDescent="0.2">
      <c r="A53" s="1" t="s">
        <v>1855</v>
      </c>
      <c r="C53" s="2" t="s">
        <v>1887</v>
      </c>
      <c r="D53" s="4" t="s">
        <v>1736</v>
      </c>
      <c r="E53" s="16">
        <v>5781</v>
      </c>
      <c r="F53" s="81">
        <v>67</v>
      </c>
    </row>
    <row r="54" spans="1:8" ht="11.25" customHeight="1" x14ac:dyDescent="0.2">
      <c r="C54" s="1" t="s">
        <v>936</v>
      </c>
      <c r="D54" s="4" t="s">
        <v>655</v>
      </c>
      <c r="E54" s="16">
        <v>1740</v>
      </c>
      <c r="F54" s="81">
        <v>20.2</v>
      </c>
    </row>
    <row r="55" spans="1:8" ht="11.25" customHeight="1" x14ac:dyDescent="0.2">
      <c r="C55" s="1" t="s">
        <v>937</v>
      </c>
      <c r="D55" s="4" t="s">
        <v>1072</v>
      </c>
      <c r="E55" s="16">
        <v>1102</v>
      </c>
      <c r="F55" s="81">
        <v>12.8</v>
      </c>
    </row>
    <row r="56" spans="1:8" ht="11.25" customHeight="1" x14ac:dyDescent="0.2">
      <c r="C56" s="1" t="s">
        <v>2318</v>
      </c>
      <c r="E56" s="155" t="s">
        <v>3065</v>
      </c>
      <c r="F56" s="158">
        <v>100</v>
      </c>
      <c r="G56" s="155">
        <v>20857</v>
      </c>
      <c r="H56" s="164">
        <v>41.43</v>
      </c>
    </row>
    <row r="57" spans="1:8" ht="11.25" customHeight="1" x14ac:dyDescent="0.2">
      <c r="C57" s="1" t="s">
        <v>2318</v>
      </c>
    </row>
    <row r="58" spans="1:8" ht="11.25" customHeight="1" x14ac:dyDescent="0.2">
      <c r="A58" s="1" t="s">
        <v>1860</v>
      </c>
      <c r="C58" s="1" t="s">
        <v>938</v>
      </c>
      <c r="D58" s="4" t="s">
        <v>655</v>
      </c>
      <c r="E58" s="16">
        <v>1119</v>
      </c>
      <c r="F58" s="81">
        <v>16.2</v>
      </c>
    </row>
    <row r="59" spans="1:8" ht="11.25" customHeight="1" x14ac:dyDescent="0.2">
      <c r="C59" s="2" t="s">
        <v>939</v>
      </c>
      <c r="D59" s="4" t="s">
        <v>1736</v>
      </c>
      <c r="E59" s="16">
        <v>4515</v>
      </c>
      <c r="F59" s="81">
        <v>65.400000000000006</v>
      </c>
    </row>
    <row r="60" spans="1:8" ht="11.25" customHeight="1" x14ac:dyDescent="0.2">
      <c r="C60" s="1" t="s">
        <v>940</v>
      </c>
      <c r="D60" s="4" t="s">
        <v>1072</v>
      </c>
      <c r="E60" s="16">
        <v>1268</v>
      </c>
      <c r="F60" s="81">
        <v>18.399999999999999</v>
      </c>
    </row>
    <row r="61" spans="1:8" ht="11.25" customHeight="1" x14ac:dyDescent="0.2">
      <c r="C61" s="1" t="s">
        <v>2318</v>
      </c>
      <c r="E61" s="155" t="s">
        <v>3066</v>
      </c>
      <c r="F61" s="158">
        <v>100</v>
      </c>
      <c r="G61" s="155">
        <v>17422</v>
      </c>
      <c r="H61" s="164">
        <v>39.770000000000003</v>
      </c>
    </row>
    <row r="62" spans="1:8" ht="11.25" customHeight="1" x14ac:dyDescent="0.2">
      <c r="C62" s="1" t="s">
        <v>2318</v>
      </c>
    </row>
    <row r="63" spans="1:8" ht="11.25" customHeight="1" x14ac:dyDescent="0.2">
      <c r="A63" s="1" t="s">
        <v>1865</v>
      </c>
      <c r="C63" s="2" t="s">
        <v>1883</v>
      </c>
      <c r="D63" s="4" t="s">
        <v>1736</v>
      </c>
      <c r="E63" s="16">
        <v>7852</v>
      </c>
      <c r="F63" s="81">
        <v>69.599999999999994</v>
      </c>
    </row>
    <row r="64" spans="1:8" ht="11.25" customHeight="1" x14ac:dyDescent="0.2">
      <c r="C64" s="1" t="s">
        <v>941</v>
      </c>
      <c r="D64" s="4" t="s">
        <v>1072</v>
      </c>
      <c r="E64" s="16">
        <v>1553</v>
      </c>
      <c r="F64" s="81">
        <v>13.8</v>
      </c>
    </row>
    <row r="65" spans="1:8" ht="11.25" customHeight="1" x14ac:dyDescent="0.2">
      <c r="C65" s="1" t="s">
        <v>942</v>
      </c>
      <c r="D65" s="4" t="s">
        <v>655</v>
      </c>
      <c r="E65" s="16">
        <v>1882</v>
      </c>
      <c r="F65" s="81">
        <v>16.600000000000001</v>
      </c>
    </row>
    <row r="66" spans="1:8" ht="11.25" customHeight="1" x14ac:dyDescent="0.2">
      <c r="C66" s="1" t="s">
        <v>2318</v>
      </c>
      <c r="E66" s="155" t="s">
        <v>3067</v>
      </c>
      <c r="F66" s="158">
        <v>100</v>
      </c>
      <c r="G66" s="155">
        <v>27018</v>
      </c>
      <c r="H66" s="164">
        <v>41.87</v>
      </c>
    </row>
    <row r="67" spans="1:8" ht="11.25" customHeight="1" x14ac:dyDescent="0.2">
      <c r="C67" s="1" t="s">
        <v>2318</v>
      </c>
    </row>
    <row r="68" spans="1:8" ht="11.25" customHeight="1" x14ac:dyDescent="0.2">
      <c r="A68" s="1" t="s">
        <v>1869</v>
      </c>
      <c r="C68" s="1" t="s">
        <v>943</v>
      </c>
      <c r="D68" s="4" t="s">
        <v>484</v>
      </c>
      <c r="E68" s="16">
        <v>623</v>
      </c>
      <c r="F68" s="81">
        <v>5.6</v>
      </c>
    </row>
    <row r="69" spans="1:8" ht="11.25" customHeight="1" x14ac:dyDescent="0.2">
      <c r="C69" s="2" t="s">
        <v>944</v>
      </c>
      <c r="D69" s="4" t="s">
        <v>1736</v>
      </c>
      <c r="E69" s="16">
        <v>6111</v>
      </c>
      <c r="F69" s="81">
        <v>55.3</v>
      </c>
    </row>
    <row r="70" spans="1:8" ht="11.25" customHeight="1" x14ac:dyDescent="0.2">
      <c r="C70" s="1" t="s">
        <v>945</v>
      </c>
      <c r="D70" s="4" t="s">
        <v>655</v>
      </c>
      <c r="E70" s="16">
        <v>2572</v>
      </c>
      <c r="F70" s="81">
        <v>23.3</v>
      </c>
    </row>
    <row r="71" spans="1:8" ht="11.25" customHeight="1" x14ac:dyDescent="0.2">
      <c r="C71" s="1" t="s">
        <v>946</v>
      </c>
      <c r="D71" s="4" t="s">
        <v>1072</v>
      </c>
      <c r="E71" s="16">
        <v>1741</v>
      </c>
      <c r="F71" s="81">
        <v>15.8</v>
      </c>
    </row>
    <row r="72" spans="1:8" ht="11.25" customHeight="1" x14ac:dyDescent="0.2">
      <c r="C72" s="1" t="s">
        <v>2318</v>
      </c>
      <c r="E72" s="155" t="s">
        <v>3068</v>
      </c>
      <c r="F72" s="158">
        <v>100</v>
      </c>
      <c r="G72" s="155">
        <v>22786</v>
      </c>
      <c r="H72" s="164">
        <v>48.51</v>
      </c>
    </row>
    <row r="73" spans="1:8" ht="11.25" customHeight="1" x14ac:dyDescent="0.2">
      <c r="C73" s="2" t="s">
        <v>2318</v>
      </c>
    </row>
    <row r="74" spans="1:8" ht="11.25" customHeight="1" x14ac:dyDescent="0.2">
      <c r="A74" s="1" t="s">
        <v>967</v>
      </c>
      <c r="C74" s="1" t="s">
        <v>52</v>
      </c>
      <c r="D74" s="4" t="s">
        <v>1736</v>
      </c>
      <c r="E74" s="16">
        <v>2410</v>
      </c>
      <c r="F74" s="81">
        <v>34.700000000000003</v>
      </c>
    </row>
    <row r="75" spans="1:8" ht="11.25" customHeight="1" x14ac:dyDescent="0.2">
      <c r="C75" s="1" t="s">
        <v>947</v>
      </c>
      <c r="D75" s="4" t="s">
        <v>653</v>
      </c>
      <c r="E75" s="16">
        <v>109</v>
      </c>
      <c r="F75" s="81">
        <v>1.5</v>
      </c>
    </row>
    <row r="76" spans="1:8" ht="11.25" customHeight="1" x14ac:dyDescent="0.2">
      <c r="C76" s="1" t="s">
        <v>53</v>
      </c>
      <c r="D76" s="4" t="s">
        <v>1072</v>
      </c>
      <c r="E76" s="16">
        <v>1111</v>
      </c>
      <c r="F76" s="81">
        <v>16</v>
      </c>
    </row>
    <row r="77" spans="1:8" ht="11.25" customHeight="1" x14ac:dyDescent="0.2">
      <c r="C77" s="1" t="s">
        <v>948</v>
      </c>
      <c r="D77" s="4" t="s">
        <v>653</v>
      </c>
      <c r="E77" s="16">
        <v>271</v>
      </c>
      <c r="F77" s="81">
        <v>3.9</v>
      </c>
    </row>
    <row r="78" spans="1:8" ht="11.25" customHeight="1" x14ac:dyDescent="0.2">
      <c r="C78" s="1" t="s">
        <v>949</v>
      </c>
      <c r="D78" s="4" t="s">
        <v>653</v>
      </c>
      <c r="E78" s="16">
        <v>224</v>
      </c>
      <c r="F78" s="81">
        <v>3.2</v>
      </c>
    </row>
    <row r="79" spans="1:8" ht="11.25" customHeight="1" x14ac:dyDescent="0.2">
      <c r="C79" s="1" t="s">
        <v>54</v>
      </c>
      <c r="D79" s="4" t="s">
        <v>653</v>
      </c>
      <c r="E79" s="16">
        <v>67</v>
      </c>
      <c r="F79" s="81">
        <v>1</v>
      </c>
    </row>
    <row r="80" spans="1:8" ht="11.25" customHeight="1" x14ac:dyDescent="0.2">
      <c r="C80" s="2" t="s">
        <v>2267</v>
      </c>
      <c r="D80" s="4" t="s">
        <v>655</v>
      </c>
      <c r="E80" s="16">
        <v>2492</v>
      </c>
      <c r="F80" s="81">
        <v>35.9</v>
      </c>
    </row>
    <row r="81" spans="1:8" ht="11.25" customHeight="1" x14ac:dyDescent="0.2">
      <c r="C81" s="1" t="s">
        <v>1231</v>
      </c>
      <c r="D81" s="4" t="s">
        <v>486</v>
      </c>
      <c r="E81" s="16">
        <v>28</v>
      </c>
      <c r="F81" s="81">
        <v>0.4</v>
      </c>
    </row>
    <row r="82" spans="1:8" ht="11.25" customHeight="1" x14ac:dyDescent="0.2">
      <c r="C82" s="1" t="s">
        <v>950</v>
      </c>
      <c r="D82" s="4" t="s">
        <v>484</v>
      </c>
      <c r="E82" s="16">
        <v>237</v>
      </c>
      <c r="F82" s="81">
        <v>3.4</v>
      </c>
    </row>
    <row r="83" spans="1:8" ht="11.25" customHeight="1" x14ac:dyDescent="0.2">
      <c r="C83" s="2" t="s">
        <v>2318</v>
      </c>
      <c r="E83" s="155" t="s">
        <v>3069</v>
      </c>
      <c r="F83" s="158">
        <v>100</v>
      </c>
      <c r="G83" s="155">
        <v>22614</v>
      </c>
      <c r="H83" s="164">
        <v>30.84</v>
      </c>
    </row>
    <row r="84" spans="1:8" ht="11.25" customHeight="1" x14ac:dyDescent="0.2">
      <c r="C84" s="1" t="s">
        <v>2318</v>
      </c>
    </row>
    <row r="85" spans="1:8" ht="11.25" customHeight="1" x14ac:dyDescent="0.2">
      <c r="A85" s="1" t="s">
        <v>3211</v>
      </c>
      <c r="C85" s="1" t="s">
        <v>951</v>
      </c>
      <c r="D85" s="4" t="s">
        <v>1072</v>
      </c>
      <c r="E85" s="16">
        <v>2033</v>
      </c>
      <c r="F85" s="81">
        <v>21.5</v>
      </c>
    </row>
    <row r="86" spans="1:8" ht="11.25" customHeight="1" x14ac:dyDescent="0.2">
      <c r="C86" s="1" t="s">
        <v>46</v>
      </c>
      <c r="D86" s="4" t="s">
        <v>653</v>
      </c>
      <c r="E86" s="16">
        <v>384</v>
      </c>
      <c r="F86" s="81">
        <v>4</v>
      </c>
    </row>
    <row r="87" spans="1:8" ht="11.25" customHeight="1" x14ac:dyDescent="0.2">
      <c r="C87" s="1" t="s">
        <v>77</v>
      </c>
      <c r="D87" s="4" t="s">
        <v>655</v>
      </c>
      <c r="E87" s="16">
        <v>1337</v>
      </c>
      <c r="F87" s="81">
        <v>14.1</v>
      </c>
    </row>
    <row r="88" spans="1:8" ht="11.25" customHeight="1" x14ac:dyDescent="0.2">
      <c r="C88" s="2" t="s">
        <v>56</v>
      </c>
      <c r="D88" s="4" t="s">
        <v>1736</v>
      </c>
      <c r="E88" s="16">
        <v>5718</v>
      </c>
      <c r="F88" s="81">
        <v>60.4</v>
      </c>
    </row>
    <row r="89" spans="1:8" ht="11.25" customHeight="1" x14ac:dyDescent="0.2">
      <c r="C89" s="1" t="s">
        <v>2318</v>
      </c>
      <c r="E89" s="155" t="s">
        <v>3070</v>
      </c>
      <c r="F89" s="158">
        <v>100</v>
      </c>
      <c r="G89" s="155">
        <v>20333</v>
      </c>
      <c r="H89" s="164">
        <v>46.73</v>
      </c>
    </row>
    <row r="90" spans="1:8" ht="11.25" customHeight="1" x14ac:dyDescent="0.2">
      <c r="C90" s="1" t="s">
        <v>2318</v>
      </c>
    </row>
    <row r="91" spans="1:8" ht="11.25" customHeight="1" x14ac:dyDescent="0.2">
      <c r="A91" s="1" t="s">
        <v>3220</v>
      </c>
      <c r="C91" s="1" t="s">
        <v>952</v>
      </c>
      <c r="D91" s="4" t="s">
        <v>1072</v>
      </c>
      <c r="E91" s="16">
        <v>730</v>
      </c>
      <c r="F91" s="81">
        <v>8.5</v>
      </c>
    </row>
    <row r="92" spans="1:8" ht="11.25" customHeight="1" x14ac:dyDescent="0.2">
      <c r="C92" s="2" t="s">
        <v>59</v>
      </c>
      <c r="D92" s="4" t="s">
        <v>1736</v>
      </c>
      <c r="E92" s="16">
        <v>5418</v>
      </c>
      <c r="F92" s="81">
        <v>63.1</v>
      </c>
    </row>
    <row r="93" spans="1:8" ht="11.25" customHeight="1" x14ac:dyDescent="0.2">
      <c r="C93" s="1" t="s">
        <v>3086</v>
      </c>
      <c r="D93" s="4" t="s">
        <v>655</v>
      </c>
      <c r="E93" s="16">
        <v>2435</v>
      </c>
      <c r="F93" s="81">
        <v>28.4</v>
      </c>
    </row>
    <row r="94" spans="1:8" ht="11.25" customHeight="1" x14ac:dyDescent="0.2">
      <c r="C94" s="1" t="s">
        <v>2318</v>
      </c>
      <c r="E94" s="155" t="s">
        <v>3071</v>
      </c>
      <c r="F94" s="158">
        <v>100</v>
      </c>
      <c r="G94" s="155">
        <v>26167</v>
      </c>
      <c r="H94" s="164">
        <v>32.869999999999997</v>
      </c>
    </row>
    <row r="95" spans="1:8" ht="11.25" customHeight="1" x14ac:dyDescent="0.2">
      <c r="C95" s="1" t="s">
        <v>2318</v>
      </c>
    </row>
    <row r="96" spans="1:8" ht="11.25" customHeight="1" x14ac:dyDescent="0.2">
      <c r="A96" s="1" t="s">
        <v>1414</v>
      </c>
      <c r="C96" s="1" t="s">
        <v>953</v>
      </c>
      <c r="D96" s="4" t="s">
        <v>655</v>
      </c>
      <c r="E96" s="16">
        <v>2610</v>
      </c>
      <c r="F96" s="81">
        <v>29.8</v>
      </c>
    </row>
    <row r="97" spans="1:8" ht="11.25" customHeight="1" x14ac:dyDescent="0.2">
      <c r="C97" s="2" t="s">
        <v>1886</v>
      </c>
      <c r="D97" s="4" t="s">
        <v>1736</v>
      </c>
      <c r="E97" s="16">
        <v>4823</v>
      </c>
      <c r="F97" s="81">
        <v>55.2</v>
      </c>
    </row>
    <row r="98" spans="1:8" ht="11.25" customHeight="1" x14ac:dyDescent="0.2">
      <c r="C98" s="1" t="s">
        <v>954</v>
      </c>
      <c r="D98" s="4" t="s">
        <v>1072</v>
      </c>
      <c r="E98" s="16">
        <v>1307</v>
      </c>
      <c r="F98" s="81">
        <v>15</v>
      </c>
    </row>
    <row r="99" spans="1:8" ht="11.25" customHeight="1" x14ac:dyDescent="0.2">
      <c r="C99" s="1" t="s">
        <v>2318</v>
      </c>
      <c r="E99" s="155" t="s">
        <v>3072</v>
      </c>
      <c r="F99" s="158">
        <v>100</v>
      </c>
      <c r="G99" s="155">
        <v>25480</v>
      </c>
      <c r="H99" s="164">
        <v>34.409999999999997</v>
      </c>
    </row>
    <row r="100" spans="1:8" ht="11.25" customHeight="1" x14ac:dyDescent="0.2">
      <c r="C100" s="1" t="s">
        <v>2318</v>
      </c>
    </row>
    <row r="101" spans="1:8" ht="11.25" customHeight="1" x14ac:dyDescent="0.2">
      <c r="A101" s="1" t="s">
        <v>1416</v>
      </c>
      <c r="C101" s="1" t="s">
        <v>955</v>
      </c>
      <c r="D101" s="4" t="s">
        <v>484</v>
      </c>
      <c r="E101" s="16">
        <v>148</v>
      </c>
      <c r="F101" s="81">
        <v>2.2000000000000002</v>
      </c>
    </row>
    <row r="102" spans="1:8" ht="11.25" customHeight="1" x14ac:dyDescent="0.2">
      <c r="C102" s="2" t="s">
        <v>65</v>
      </c>
      <c r="D102" s="4" t="s">
        <v>1736</v>
      </c>
      <c r="E102" s="16">
        <v>3204</v>
      </c>
      <c r="F102" s="81">
        <v>48.1</v>
      </c>
    </row>
    <row r="103" spans="1:8" ht="11.25" customHeight="1" x14ac:dyDescent="0.2">
      <c r="C103" s="1" t="s">
        <v>956</v>
      </c>
      <c r="D103" s="15" t="s">
        <v>1072</v>
      </c>
      <c r="E103" s="16">
        <v>588</v>
      </c>
      <c r="F103" s="81">
        <v>8.8000000000000007</v>
      </c>
    </row>
    <row r="104" spans="1:8" ht="11.25" customHeight="1" x14ac:dyDescent="0.2">
      <c r="C104" s="1" t="s">
        <v>2940</v>
      </c>
      <c r="D104" s="4" t="s">
        <v>655</v>
      </c>
      <c r="E104" s="16">
        <v>2512</v>
      </c>
      <c r="F104" s="81">
        <v>37.700000000000003</v>
      </c>
    </row>
    <row r="105" spans="1:8" ht="11.25" customHeight="1" x14ac:dyDescent="0.2">
      <c r="C105" s="1" t="s">
        <v>2941</v>
      </c>
      <c r="D105" s="4" t="s">
        <v>653</v>
      </c>
      <c r="E105" s="16">
        <v>209</v>
      </c>
      <c r="F105" s="81">
        <v>3.2</v>
      </c>
    </row>
    <row r="106" spans="1:8" ht="11.25" customHeight="1" x14ac:dyDescent="0.2">
      <c r="C106" s="1" t="s">
        <v>2318</v>
      </c>
      <c r="E106" s="155" t="s">
        <v>3073</v>
      </c>
      <c r="F106" s="158">
        <v>100</v>
      </c>
      <c r="G106" s="155">
        <v>19377</v>
      </c>
      <c r="H106" s="164">
        <v>34.5</v>
      </c>
    </row>
    <row r="107" spans="1:8" ht="11.25" customHeight="1" x14ac:dyDescent="0.2">
      <c r="C107" s="1" t="s">
        <v>2318</v>
      </c>
    </row>
    <row r="108" spans="1:8" ht="11.25" customHeight="1" x14ac:dyDescent="0.2">
      <c r="A108" s="1" t="s">
        <v>3227</v>
      </c>
      <c r="C108" s="1" t="s">
        <v>67</v>
      </c>
      <c r="D108" s="1" t="s">
        <v>655</v>
      </c>
      <c r="E108" s="16">
        <v>2035</v>
      </c>
      <c r="F108" s="81">
        <v>27.7</v>
      </c>
    </row>
    <row r="109" spans="1:8" ht="11.25" customHeight="1" x14ac:dyDescent="0.2">
      <c r="C109" s="1" t="s">
        <v>2942</v>
      </c>
      <c r="D109" s="1" t="s">
        <v>484</v>
      </c>
      <c r="E109" s="16">
        <v>218</v>
      </c>
      <c r="F109" s="81">
        <v>3</v>
      </c>
    </row>
    <row r="110" spans="1:8" ht="11.25" customHeight="1" x14ac:dyDescent="0.2">
      <c r="C110" s="2" t="s">
        <v>68</v>
      </c>
      <c r="D110" s="4" t="s">
        <v>1736</v>
      </c>
      <c r="E110" s="16">
        <v>4395</v>
      </c>
      <c r="F110" s="81">
        <v>59.7</v>
      </c>
    </row>
    <row r="111" spans="1:8" ht="11.25" customHeight="1" x14ac:dyDescent="0.2">
      <c r="C111" s="1" t="s">
        <v>2943</v>
      </c>
      <c r="D111" s="4" t="s">
        <v>1072</v>
      </c>
      <c r="E111" s="16">
        <v>710</v>
      </c>
      <c r="F111" s="81">
        <v>9.6</v>
      </c>
    </row>
    <row r="112" spans="1:8" ht="11.25" customHeight="1" x14ac:dyDescent="0.2">
      <c r="C112" s="1" t="s">
        <v>2318</v>
      </c>
      <c r="E112" s="155" t="s">
        <v>3074</v>
      </c>
      <c r="F112" s="158">
        <v>100</v>
      </c>
      <c r="G112" s="155">
        <v>19816</v>
      </c>
      <c r="H112" s="164">
        <v>37.19</v>
      </c>
    </row>
    <row r="113" spans="1:8" ht="11.25" customHeight="1" x14ac:dyDescent="0.2">
      <c r="C113" s="1" t="s">
        <v>2318</v>
      </c>
    </row>
    <row r="114" spans="1:8" ht="11.25" customHeight="1" x14ac:dyDescent="0.2">
      <c r="A114" s="1" t="s">
        <v>3231</v>
      </c>
      <c r="C114" s="1" t="s">
        <v>2944</v>
      </c>
      <c r="D114" s="4" t="s">
        <v>653</v>
      </c>
      <c r="E114" s="16">
        <v>172</v>
      </c>
      <c r="F114" s="81">
        <v>1.4</v>
      </c>
    </row>
    <row r="115" spans="1:8" ht="11.25" customHeight="1" x14ac:dyDescent="0.2">
      <c r="C115" s="2" t="s">
        <v>70</v>
      </c>
      <c r="D115" s="4" t="s">
        <v>655</v>
      </c>
      <c r="E115" s="16">
        <v>5524</v>
      </c>
      <c r="F115" s="81">
        <v>45.7</v>
      </c>
    </row>
    <row r="116" spans="1:8" ht="11.25" customHeight="1" x14ac:dyDescent="0.2">
      <c r="C116" s="1" t="s">
        <v>2945</v>
      </c>
      <c r="D116" s="4" t="s">
        <v>1736</v>
      </c>
      <c r="E116" s="16">
        <v>5267</v>
      </c>
      <c r="F116" s="81">
        <v>43.5</v>
      </c>
    </row>
    <row r="117" spans="1:8" ht="11.25" customHeight="1" x14ac:dyDescent="0.2">
      <c r="C117" s="1" t="s">
        <v>2946</v>
      </c>
      <c r="D117" s="4" t="s">
        <v>1072</v>
      </c>
      <c r="E117" s="16">
        <v>1139</v>
      </c>
      <c r="F117" s="81">
        <v>9.4</v>
      </c>
    </row>
    <row r="118" spans="1:8" ht="11.25" customHeight="1" x14ac:dyDescent="0.2">
      <c r="C118" s="1" t="s">
        <v>2318</v>
      </c>
      <c r="E118" s="155" t="s">
        <v>3075</v>
      </c>
      <c r="F118" s="158">
        <v>100</v>
      </c>
      <c r="G118" s="155">
        <v>23542</v>
      </c>
      <c r="H118" s="164">
        <v>51.56</v>
      </c>
    </row>
    <row r="119" spans="1:8" ht="11.25" customHeight="1" x14ac:dyDescent="0.2">
      <c r="C119" s="1" t="s">
        <v>2318</v>
      </c>
    </row>
    <row r="120" spans="1:8" ht="11.25" customHeight="1" x14ac:dyDescent="0.2">
      <c r="A120" s="1" t="s">
        <v>3235</v>
      </c>
      <c r="C120" s="1" t="s">
        <v>2947</v>
      </c>
      <c r="D120" s="4" t="s">
        <v>484</v>
      </c>
      <c r="E120" s="16">
        <v>511</v>
      </c>
      <c r="F120" s="81">
        <v>5</v>
      </c>
    </row>
    <row r="121" spans="1:8" ht="11.25" customHeight="1" x14ac:dyDescent="0.2">
      <c r="C121" s="1" t="s">
        <v>2948</v>
      </c>
      <c r="D121" s="4" t="s">
        <v>655</v>
      </c>
      <c r="E121" s="16">
        <v>2940</v>
      </c>
      <c r="F121" s="81">
        <v>28.9</v>
      </c>
    </row>
    <row r="122" spans="1:8" ht="11.25" customHeight="1" x14ac:dyDescent="0.2">
      <c r="C122" s="1" t="s">
        <v>74</v>
      </c>
      <c r="D122" s="4" t="s">
        <v>1072</v>
      </c>
      <c r="E122" s="16">
        <v>1189</v>
      </c>
      <c r="F122" s="81">
        <v>11.7</v>
      </c>
    </row>
    <row r="123" spans="1:8" ht="11.25" customHeight="1" x14ac:dyDescent="0.2">
      <c r="C123" s="2" t="s">
        <v>75</v>
      </c>
      <c r="D123" s="4" t="s">
        <v>1736</v>
      </c>
      <c r="E123" s="16">
        <v>5545</v>
      </c>
      <c r="F123" s="81">
        <v>54.4</v>
      </c>
    </row>
    <row r="124" spans="1:8" ht="11.25" customHeight="1" x14ac:dyDescent="0.2">
      <c r="C124" s="1" t="s">
        <v>2318</v>
      </c>
      <c r="E124" s="155" t="s">
        <v>3076</v>
      </c>
      <c r="F124" s="158">
        <v>100</v>
      </c>
      <c r="G124" s="155">
        <v>23274</v>
      </c>
      <c r="H124" s="164">
        <v>43.91</v>
      </c>
    </row>
    <row r="125" spans="1:8" ht="11.25" customHeight="1" x14ac:dyDescent="0.2">
      <c r="C125" s="1" t="s">
        <v>2318</v>
      </c>
    </row>
    <row r="126" spans="1:8" ht="11.25" customHeight="1" x14ac:dyDescent="0.2">
      <c r="A126" s="1" t="s">
        <v>3240</v>
      </c>
      <c r="C126" s="1" t="s">
        <v>2949</v>
      </c>
      <c r="D126" s="4" t="s">
        <v>1072</v>
      </c>
      <c r="E126" s="16">
        <v>1284</v>
      </c>
      <c r="F126" s="81">
        <v>10.3</v>
      </c>
    </row>
    <row r="127" spans="1:8" ht="11.25" customHeight="1" x14ac:dyDescent="0.2">
      <c r="C127" s="2" t="s">
        <v>76</v>
      </c>
      <c r="D127" s="4" t="s">
        <v>1736</v>
      </c>
      <c r="E127" s="16">
        <v>7775</v>
      </c>
      <c r="F127" s="81">
        <v>62.5</v>
      </c>
    </row>
    <row r="128" spans="1:8" ht="11.25" customHeight="1" x14ac:dyDescent="0.2">
      <c r="C128" s="1" t="s">
        <v>2950</v>
      </c>
      <c r="D128" s="4" t="s">
        <v>655</v>
      </c>
      <c r="E128" s="16">
        <v>3376</v>
      </c>
      <c r="F128" s="81">
        <v>27.2</v>
      </c>
    </row>
    <row r="129" spans="1:8" ht="11.25" customHeight="1" x14ac:dyDescent="0.2">
      <c r="C129" s="1" t="s">
        <v>2318</v>
      </c>
      <c r="E129" s="155" t="s">
        <v>3077</v>
      </c>
      <c r="F129" s="158">
        <v>100</v>
      </c>
      <c r="G129" s="155">
        <v>27061</v>
      </c>
      <c r="H129" s="164">
        <v>46.04</v>
      </c>
    </row>
    <row r="130" spans="1:8" ht="11.25" customHeight="1" x14ac:dyDescent="0.2">
      <c r="C130" s="1" t="s">
        <v>2318</v>
      </c>
    </row>
    <row r="131" spans="1:8" ht="11.25" customHeight="1" x14ac:dyDescent="0.2">
      <c r="A131" s="1" t="s">
        <v>1176</v>
      </c>
      <c r="C131" s="1" t="s">
        <v>2951</v>
      </c>
      <c r="D131" s="4" t="s">
        <v>484</v>
      </c>
      <c r="E131" s="16">
        <v>295</v>
      </c>
      <c r="F131" s="81">
        <v>2.7</v>
      </c>
    </row>
    <row r="132" spans="1:8" ht="11.25" customHeight="1" x14ac:dyDescent="0.2">
      <c r="C132" s="1" t="s">
        <v>2952</v>
      </c>
      <c r="D132" s="4" t="s">
        <v>655</v>
      </c>
      <c r="E132" s="16">
        <v>1166</v>
      </c>
      <c r="F132" s="81">
        <v>10.7</v>
      </c>
    </row>
    <row r="133" spans="1:8" ht="11.25" customHeight="1" x14ac:dyDescent="0.2">
      <c r="C133" s="2" t="s">
        <v>80</v>
      </c>
      <c r="D133" s="4" t="s">
        <v>1736</v>
      </c>
      <c r="E133" s="16">
        <v>6694</v>
      </c>
      <c r="F133" s="81">
        <v>61.5</v>
      </c>
    </row>
    <row r="134" spans="1:8" ht="11.25" customHeight="1" x14ac:dyDescent="0.2">
      <c r="C134" s="1" t="s">
        <v>1853</v>
      </c>
      <c r="D134" s="4" t="s">
        <v>1072</v>
      </c>
      <c r="E134" s="16">
        <v>2727</v>
      </c>
      <c r="F134" s="81">
        <v>25.1</v>
      </c>
    </row>
    <row r="135" spans="1:8" ht="11.25" customHeight="1" x14ac:dyDescent="0.2">
      <c r="C135" s="1" t="s">
        <v>2318</v>
      </c>
      <c r="E135" s="155" t="s">
        <v>3078</v>
      </c>
      <c r="F135" s="158">
        <v>100</v>
      </c>
      <c r="G135" s="155">
        <v>24442</v>
      </c>
      <c r="H135" s="164">
        <v>44.62</v>
      </c>
    </row>
    <row r="136" spans="1:8" ht="11.25" customHeight="1" x14ac:dyDescent="0.2">
      <c r="C136" s="1" t="s">
        <v>2318</v>
      </c>
    </row>
    <row r="137" spans="1:8" ht="11.25" customHeight="1" x14ac:dyDescent="0.2">
      <c r="A137" s="1" t="s">
        <v>1188</v>
      </c>
      <c r="C137" s="1" t="s">
        <v>2953</v>
      </c>
      <c r="D137" s="4" t="s">
        <v>1072</v>
      </c>
      <c r="E137" s="16">
        <v>1390</v>
      </c>
      <c r="F137" s="81">
        <v>13.1</v>
      </c>
    </row>
    <row r="138" spans="1:8" ht="11.25" customHeight="1" x14ac:dyDescent="0.2">
      <c r="C138" s="2" t="s">
        <v>1258</v>
      </c>
      <c r="D138" s="4" t="s">
        <v>1736</v>
      </c>
      <c r="E138" s="16">
        <v>6846</v>
      </c>
      <c r="F138" s="81">
        <v>64.7</v>
      </c>
    </row>
    <row r="139" spans="1:8" ht="11.25" customHeight="1" x14ac:dyDescent="0.2">
      <c r="C139" s="1" t="s">
        <v>2333</v>
      </c>
      <c r="D139" s="4" t="s">
        <v>655</v>
      </c>
      <c r="E139" s="16">
        <v>2354</v>
      </c>
      <c r="F139" s="81">
        <v>22.2</v>
      </c>
    </row>
    <row r="140" spans="1:8" ht="11.25" customHeight="1" x14ac:dyDescent="0.2">
      <c r="C140" s="1" t="s">
        <v>2318</v>
      </c>
      <c r="E140" s="155" t="s">
        <v>3079</v>
      </c>
      <c r="F140" s="158">
        <v>100</v>
      </c>
      <c r="G140" s="155">
        <v>24129</v>
      </c>
      <c r="H140" s="164">
        <v>44.1</v>
      </c>
    </row>
    <row r="141" spans="1:8" ht="11.25" customHeight="1" x14ac:dyDescent="0.2">
      <c r="C141" s="1" t="s">
        <v>2318</v>
      </c>
    </row>
    <row r="142" spans="1:8" ht="11.25" customHeight="1" x14ac:dyDescent="0.2">
      <c r="A142" s="1" t="s">
        <v>1125</v>
      </c>
      <c r="C142" s="1" t="s">
        <v>2954</v>
      </c>
      <c r="D142" s="4" t="s">
        <v>655</v>
      </c>
      <c r="E142" s="16">
        <v>2269</v>
      </c>
      <c r="F142" s="81">
        <v>23.5</v>
      </c>
    </row>
    <row r="143" spans="1:8" ht="11.25" customHeight="1" x14ac:dyDescent="0.2">
      <c r="C143" s="1" t="s">
        <v>2955</v>
      </c>
      <c r="D143" s="4" t="s">
        <v>1737</v>
      </c>
      <c r="E143" s="16">
        <v>634</v>
      </c>
      <c r="F143" s="81">
        <v>6.6</v>
      </c>
    </row>
    <row r="144" spans="1:8" ht="11.25" customHeight="1" x14ac:dyDescent="0.2">
      <c r="C144" s="2" t="s">
        <v>83</v>
      </c>
      <c r="D144" s="4" t="s">
        <v>1736</v>
      </c>
      <c r="E144" s="16">
        <v>5312</v>
      </c>
      <c r="F144" s="81">
        <v>54.9</v>
      </c>
    </row>
    <row r="145" spans="1:8" ht="11.25" customHeight="1" x14ac:dyDescent="0.2">
      <c r="C145" s="1" t="s">
        <v>2956</v>
      </c>
      <c r="D145" s="4" t="s">
        <v>1072</v>
      </c>
      <c r="E145" s="16">
        <v>758</v>
      </c>
      <c r="F145" s="81">
        <v>7.8</v>
      </c>
    </row>
    <row r="146" spans="1:8" ht="11.25" customHeight="1" x14ac:dyDescent="0.2">
      <c r="C146" s="1" t="s">
        <v>2957</v>
      </c>
      <c r="D146" s="4" t="s">
        <v>484</v>
      </c>
      <c r="E146" s="16">
        <v>697</v>
      </c>
      <c r="F146" s="81">
        <v>7.2</v>
      </c>
    </row>
    <row r="147" spans="1:8" ht="11.25" customHeight="1" x14ac:dyDescent="0.2">
      <c r="C147" s="1" t="s">
        <v>2318</v>
      </c>
      <c r="E147" s="155" t="s">
        <v>1438</v>
      </c>
      <c r="F147" s="158">
        <v>100</v>
      </c>
      <c r="G147" s="155">
        <v>17886</v>
      </c>
      <c r="H147" s="164">
        <v>54.09</v>
      </c>
    </row>
    <row r="148" spans="1:8" ht="11.25" customHeight="1" x14ac:dyDescent="0.2">
      <c r="C148" s="1" t="s">
        <v>2318</v>
      </c>
    </row>
    <row r="149" spans="1:8" ht="11.25" customHeight="1" x14ac:dyDescent="0.2">
      <c r="A149" s="1" t="s">
        <v>1427</v>
      </c>
      <c r="C149" s="2" t="s">
        <v>85</v>
      </c>
      <c r="D149" s="4" t="s">
        <v>1736</v>
      </c>
      <c r="E149" s="16">
        <v>2679</v>
      </c>
      <c r="F149" s="81">
        <v>60.3</v>
      </c>
    </row>
    <row r="150" spans="1:8" ht="11.25" customHeight="1" x14ac:dyDescent="0.2">
      <c r="C150" s="1" t="s">
        <v>2958</v>
      </c>
      <c r="D150" s="4" t="s">
        <v>655</v>
      </c>
      <c r="E150" s="16">
        <v>389</v>
      </c>
      <c r="F150" s="81">
        <v>8.6999999999999993</v>
      </c>
    </row>
    <row r="151" spans="1:8" ht="11.25" customHeight="1" x14ac:dyDescent="0.2">
      <c r="C151" s="1" t="s">
        <v>2959</v>
      </c>
      <c r="D151" s="4" t="s">
        <v>653</v>
      </c>
      <c r="E151" s="16">
        <v>1376</v>
      </c>
      <c r="F151" s="81">
        <v>31</v>
      </c>
    </row>
    <row r="152" spans="1:8" ht="11.25" customHeight="1" x14ac:dyDescent="0.2">
      <c r="C152" s="1" t="s">
        <v>2318</v>
      </c>
      <c r="E152" s="155" t="s">
        <v>1439</v>
      </c>
      <c r="F152" s="158">
        <v>100</v>
      </c>
      <c r="G152" s="155">
        <v>9641</v>
      </c>
      <c r="H152" s="164">
        <v>46.25</v>
      </c>
    </row>
    <row r="153" spans="1:8" ht="11.25" customHeight="1" x14ac:dyDescent="0.2">
      <c r="C153" s="1" t="s">
        <v>2318</v>
      </c>
    </row>
    <row r="154" spans="1:8" ht="11.25" customHeight="1" x14ac:dyDescent="0.2">
      <c r="A154" s="1" t="s">
        <v>1968</v>
      </c>
      <c r="C154" s="1" t="s">
        <v>2960</v>
      </c>
      <c r="D154" s="4" t="s">
        <v>655</v>
      </c>
      <c r="E154" s="16">
        <v>959</v>
      </c>
      <c r="F154" s="81">
        <v>20.2</v>
      </c>
    </row>
    <row r="155" spans="1:8" ht="11.25" customHeight="1" x14ac:dyDescent="0.2">
      <c r="C155" s="2" t="s">
        <v>1891</v>
      </c>
      <c r="D155" s="4" t="s">
        <v>1736</v>
      </c>
      <c r="E155" s="16">
        <v>3796</v>
      </c>
      <c r="F155" s="81">
        <v>79.8</v>
      </c>
    </row>
    <row r="156" spans="1:8" ht="11.25" customHeight="1" x14ac:dyDescent="0.2">
      <c r="C156" s="1" t="s">
        <v>2318</v>
      </c>
      <c r="E156" s="155" t="s">
        <v>1440</v>
      </c>
      <c r="F156" s="158">
        <v>100</v>
      </c>
      <c r="G156" s="155">
        <v>9386</v>
      </c>
      <c r="H156" s="164">
        <v>50.97</v>
      </c>
    </row>
    <row r="157" spans="1:8" ht="11.25" customHeight="1" x14ac:dyDescent="0.2">
      <c r="C157" s="1" t="s">
        <v>2318</v>
      </c>
    </row>
    <row r="158" spans="1:8" ht="11.25" customHeight="1" x14ac:dyDescent="0.2">
      <c r="A158" s="1" t="s">
        <v>1430</v>
      </c>
      <c r="C158" s="1" t="s">
        <v>844</v>
      </c>
      <c r="D158" s="4" t="s">
        <v>1736</v>
      </c>
      <c r="E158" s="16">
        <v>2811</v>
      </c>
      <c r="F158" s="81">
        <v>27.7</v>
      </c>
    </row>
    <row r="159" spans="1:8" ht="11.25" customHeight="1" x14ac:dyDescent="0.2">
      <c r="C159" s="2" t="s">
        <v>2961</v>
      </c>
      <c r="D159" s="4" t="s">
        <v>484</v>
      </c>
      <c r="E159" s="16">
        <v>4795</v>
      </c>
      <c r="F159" s="81">
        <v>47.3</v>
      </c>
    </row>
    <row r="160" spans="1:8" ht="11.25" customHeight="1" x14ac:dyDescent="0.2">
      <c r="C160" s="1" t="s">
        <v>2962</v>
      </c>
      <c r="D160" s="4" t="s">
        <v>655</v>
      </c>
      <c r="E160" s="16">
        <v>2085</v>
      </c>
      <c r="F160" s="81">
        <v>20.6</v>
      </c>
    </row>
    <row r="161" spans="1:8" ht="11.25" customHeight="1" x14ac:dyDescent="0.2">
      <c r="C161" s="1" t="s">
        <v>2963</v>
      </c>
      <c r="D161" s="4" t="s">
        <v>1072</v>
      </c>
      <c r="E161" s="16">
        <v>444</v>
      </c>
      <c r="F161" s="81">
        <v>4.4000000000000004</v>
      </c>
    </row>
    <row r="162" spans="1:8" ht="11.25" customHeight="1" x14ac:dyDescent="0.2">
      <c r="C162" s="1" t="s">
        <v>2318</v>
      </c>
      <c r="E162" s="155" t="s">
        <v>1441</v>
      </c>
      <c r="F162" s="158">
        <v>100</v>
      </c>
      <c r="G162" s="155">
        <v>16705</v>
      </c>
      <c r="H162" s="164">
        <v>60.73</v>
      </c>
    </row>
    <row r="163" spans="1:8" ht="11.25" customHeight="1" x14ac:dyDescent="0.2">
      <c r="C163" s="1" t="s">
        <v>2318</v>
      </c>
    </row>
    <row r="164" spans="1:8" ht="11.25" customHeight="1" x14ac:dyDescent="0.2">
      <c r="A164" s="1" t="s">
        <v>1432</v>
      </c>
      <c r="C164" s="2" t="s">
        <v>1892</v>
      </c>
      <c r="D164" s="4" t="s">
        <v>1736</v>
      </c>
      <c r="E164" s="16">
        <v>2482</v>
      </c>
      <c r="F164" s="81">
        <v>52.6</v>
      </c>
    </row>
    <row r="165" spans="1:8" ht="11.25" customHeight="1" x14ac:dyDescent="0.2">
      <c r="C165" s="1" t="s">
        <v>90</v>
      </c>
      <c r="D165" s="4" t="s">
        <v>484</v>
      </c>
      <c r="E165" s="16">
        <v>1682</v>
      </c>
      <c r="F165" s="81">
        <v>35.6</v>
      </c>
    </row>
    <row r="166" spans="1:8" ht="11.25" customHeight="1" x14ac:dyDescent="0.2">
      <c r="C166" s="1" t="s">
        <v>2964</v>
      </c>
      <c r="D166" s="4" t="s">
        <v>655</v>
      </c>
      <c r="E166" s="16">
        <v>558</v>
      </c>
      <c r="F166" s="81">
        <v>11.8</v>
      </c>
    </row>
    <row r="167" spans="1:8" ht="11.25" customHeight="1" x14ac:dyDescent="0.2">
      <c r="C167" s="1" t="s">
        <v>2318</v>
      </c>
      <c r="E167" s="155" t="s">
        <v>1442</v>
      </c>
      <c r="F167" s="158">
        <v>100</v>
      </c>
      <c r="G167" s="155">
        <v>9283</v>
      </c>
      <c r="H167" s="164">
        <v>51.03</v>
      </c>
    </row>
    <row r="168" spans="1:8" ht="11.25" customHeight="1" x14ac:dyDescent="0.2">
      <c r="C168" s="1" t="s">
        <v>2318</v>
      </c>
    </row>
    <row r="169" spans="1:8" ht="11.25" customHeight="1" x14ac:dyDescent="0.2">
      <c r="A169" s="1" t="s">
        <v>1434</v>
      </c>
      <c r="C169" s="2" t="s">
        <v>1893</v>
      </c>
      <c r="D169" s="4" t="s">
        <v>1736</v>
      </c>
      <c r="E169" s="16">
        <v>5330</v>
      </c>
      <c r="F169" s="81">
        <v>61.1</v>
      </c>
    </row>
    <row r="170" spans="1:8" ht="11.25" customHeight="1" x14ac:dyDescent="0.2">
      <c r="C170" s="1" t="s">
        <v>2965</v>
      </c>
      <c r="D170" s="4" t="s">
        <v>655</v>
      </c>
      <c r="E170" s="16">
        <v>2275</v>
      </c>
      <c r="F170" s="81">
        <v>26.1</v>
      </c>
    </row>
    <row r="171" spans="1:8" ht="11.25" customHeight="1" x14ac:dyDescent="0.2">
      <c r="C171" s="1" t="s">
        <v>2966</v>
      </c>
      <c r="D171" s="4" t="s">
        <v>1072</v>
      </c>
      <c r="E171" s="16">
        <v>594</v>
      </c>
      <c r="F171" s="81">
        <v>6.8</v>
      </c>
    </row>
    <row r="172" spans="1:8" ht="11.25" customHeight="1" x14ac:dyDescent="0.2">
      <c r="C172" s="1" t="s">
        <v>2967</v>
      </c>
      <c r="D172" s="4" t="s">
        <v>1737</v>
      </c>
      <c r="E172" s="16">
        <v>219</v>
      </c>
      <c r="F172" s="81">
        <v>2.5</v>
      </c>
    </row>
    <row r="173" spans="1:8" ht="11.25" customHeight="1" x14ac:dyDescent="0.2">
      <c r="C173" s="1" t="s">
        <v>2968</v>
      </c>
      <c r="D173" s="4" t="s">
        <v>484</v>
      </c>
      <c r="E173" s="16">
        <v>301</v>
      </c>
      <c r="F173" s="81">
        <v>3.5</v>
      </c>
    </row>
    <row r="174" spans="1:8" ht="12" customHeight="1" x14ac:dyDescent="0.2">
      <c r="C174" s="1" t="s">
        <v>2318</v>
      </c>
      <c r="E174" s="155" t="s">
        <v>1443</v>
      </c>
      <c r="F174" s="158">
        <v>100</v>
      </c>
      <c r="G174" s="155">
        <v>17513</v>
      </c>
      <c r="H174" s="164">
        <v>49.89</v>
      </c>
    </row>
    <row r="175" spans="1:8" ht="11.25" customHeight="1" x14ac:dyDescent="0.2">
      <c r="C175" s="1" t="s">
        <v>2318</v>
      </c>
    </row>
    <row r="176" spans="1:8" ht="11.25" customHeight="1" x14ac:dyDescent="0.2">
      <c r="A176" s="1" t="s">
        <v>1074</v>
      </c>
      <c r="C176" s="1" t="s">
        <v>94</v>
      </c>
      <c r="D176" s="4" t="s">
        <v>655</v>
      </c>
      <c r="E176" s="16">
        <v>1154</v>
      </c>
      <c r="F176" s="81">
        <v>14.4</v>
      </c>
    </row>
    <row r="177" spans="1:8" ht="11.25" customHeight="1" x14ac:dyDescent="0.2">
      <c r="C177" s="1" t="s">
        <v>2969</v>
      </c>
      <c r="D177" s="4" t="s">
        <v>653</v>
      </c>
      <c r="E177" s="16">
        <v>244</v>
      </c>
      <c r="F177" s="81">
        <v>3</v>
      </c>
    </row>
    <row r="178" spans="1:8" ht="11.25" customHeight="1" x14ac:dyDescent="0.2">
      <c r="C178" s="2" t="s">
        <v>767</v>
      </c>
      <c r="D178" s="4" t="s">
        <v>1736</v>
      </c>
      <c r="E178" s="16">
        <v>4906</v>
      </c>
      <c r="F178" s="81">
        <v>61.1</v>
      </c>
    </row>
    <row r="179" spans="1:8" ht="11.25" customHeight="1" x14ac:dyDescent="0.2">
      <c r="C179" s="1" t="s">
        <v>2970</v>
      </c>
      <c r="D179" s="4" t="s">
        <v>484</v>
      </c>
      <c r="E179" s="16">
        <v>1729</v>
      </c>
      <c r="F179" s="81">
        <v>21.5</v>
      </c>
    </row>
    <row r="180" spans="1:8" ht="11.25" customHeight="1" x14ac:dyDescent="0.2">
      <c r="C180" s="1" t="s">
        <v>2318</v>
      </c>
      <c r="E180" s="155" t="s">
        <v>1444</v>
      </c>
      <c r="F180" s="158">
        <v>100</v>
      </c>
      <c r="G180" s="155">
        <v>15026</v>
      </c>
      <c r="H180" s="164">
        <v>53.55</v>
      </c>
    </row>
    <row r="181" spans="1:8" ht="11.25" customHeight="1" x14ac:dyDescent="0.2">
      <c r="C181" s="1" t="s">
        <v>2318</v>
      </c>
    </row>
    <row r="182" spans="1:8" ht="11.25" customHeight="1" x14ac:dyDescent="0.2">
      <c r="A182" s="1" t="s">
        <v>1350</v>
      </c>
      <c r="C182" s="2" t="s">
        <v>855</v>
      </c>
      <c r="D182" s="4" t="s">
        <v>1736</v>
      </c>
      <c r="E182" s="16">
        <v>4146</v>
      </c>
      <c r="F182" s="81">
        <v>51.2</v>
      </c>
    </row>
    <row r="183" spans="1:8" ht="11.25" customHeight="1" x14ac:dyDescent="0.2">
      <c r="C183" s="1" t="s">
        <v>2449</v>
      </c>
      <c r="D183" s="4" t="s">
        <v>655</v>
      </c>
      <c r="E183" s="16">
        <v>3944</v>
      </c>
      <c r="F183" s="81">
        <v>48.8</v>
      </c>
    </row>
    <row r="184" spans="1:8" ht="11.25" customHeight="1" x14ac:dyDescent="0.2">
      <c r="C184" s="1" t="s">
        <v>2318</v>
      </c>
      <c r="E184" s="155" t="s">
        <v>1445</v>
      </c>
      <c r="F184" s="158">
        <v>100</v>
      </c>
      <c r="G184" s="155">
        <v>11213</v>
      </c>
      <c r="H184" s="164">
        <v>72.430000000000007</v>
      </c>
    </row>
    <row r="185" spans="1:8" ht="11.25" customHeight="1" x14ac:dyDescent="0.2">
      <c r="C185" s="1" t="s">
        <v>2318</v>
      </c>
    </row>
    <row r="186" spans="1:8" ht="11.25" customHeight="1" x14ac:dyDescent="0.2">
      <c r="A186" s="1" t="s">
        <v>1969</v>
      </c>
      <c r="C186" s="1" t="s">
        <v>2971</v>
      </c>
      <c r="D186" s="4" t="s">
        <v>484</v>
      </c>
      <c r="E186" s="16">
        <v>416</v>
      </c>
      <c r="F186" s="81">
        <v>4.2</v>
      </c>
    </row>
    <row r="187" spans="1:8" ht="11.25" customHeight="1" x14ac:dyDescent="0.2">
      <c r="C187" s="1" t="s">
        <v>2972</v>
      </c>
      <c r="D187" s="4" t="s">
        <v>1072</v>
      </c>
      <c r="E187" s="16">
        <v>1117</v>
      </c>
      <c r="F187" s="81">
        <v>11.1</v>
      </c>
    </row>
    <row r="188" spans="1:8" ht="11.25" customHeight="1" x14ac:dyDescent="0.2">
      <c r="C188" s="2" t="s">
        <v>2451</v>
      </c>
      <c r="D188" s="4" t="s">
        <v>655</v>
      </c>
      <c r="E188" s="16">
        <v>4234</v>
      </c>
      <c r="F188" s="81">
        <v>42.1</v>
      </c>
    </row>
    <row r="189" spans="1:8" ht="11.25" customHeight="1" x14ac:dyDescent="0.2">
      <c r="C189" s="1" t="s">
        <v>2973</v>
      </c>
      <c r="D189" s="4" t="s">
        <v>1736</v>
      </c>
      <c r="E189" s="16">
        <v>4141</v>
      </c>
      <c r="F189" s="81">
        <v>41.2</v>
      </c>
    </row>
    <row r="190" spans="1:8" ht="11.25" customHeight="1" x14ac:dyDescent="0.2">
      <c r="C190" s="1" t="s">
        <v>2974</v>
      </c>
      <c r="D190" s="4" t="s">
        <v>1737</v>
      </c>
      <c r="E190" s="16">
        <v>140</v>
      </c>
      <c r="F190" s="81">
        <v>1.4</v>
      </c>
    </row>
    <row r="191" spans="1:8" ht="11.25" customHeight="1" x14ac:dyDescent="0.2">
      <c r="C191" s="1" t="s">
        <v>2318</v>
      </c>
      <c r="E191" s="155" t="s">
        <v>1446</v>
      </c>
      <c r="F191" s="158">
        <v>100</v>
      </c>
      <c r="G191" s="155">
        <v>24172</v>
      </c>
      <c r="H191" s="164">
        <v>41.61</v>
      </c>
    </row>
    <row r="192" spans="1:8" ht="11.25" customHeight="1" x14ac:dyDescent="0.2">
      <c r="C192" s="1" t="s">
        <v>2318</v>
      </c>
    </row>
    <row r="193" spans="1:8" ht="11.25" customHeight="1" x14ac:dyDescent="0.2">
      <c r="A193" s="1" t="s">
        <v>1161</v>
      </c>
      <c r="C193" s="1" t="s">
        <v>2975</v>
      </c>
      <c r="D193" s="4" t="s">
        <v>484</v>
      </c>
      <c r="E193" s="16">
        <v>198</v>
      </c>
      <c r="F193" s="81">
        <v>1.9</v>
      </c>
    </row>
    <row r="194" spans="1:8" ht="11.25" customHeight="1" x14ac:dyDescent="0.2">
      <c r="C194" s="1" t="s">
        <v>2976</v>
      </c>
      <c r="D194" s="4" t="s">
        <v>485</v>
      </c>
      <c r="E194" s="16">
        <v>67</v>
      </c>
      <c r="F194" s="81">
        <v>0.6</v>
      </c>
    </row>
    <row r="195" spans="1:8" ht="11.25" customHeight="1" x14ac:dyDescent="0.2">
      <c r="C195" s="1" t="s">
        <v>2977</v>
      </c>
      <c r="D195" s="4" t="s">
        <v>1072</v>
      </c>
      <c r="E195" s="16">
        <v>2486</v>
      </c>
      <c r="F195" s="81">
        <v>23.8</v>
      </c>
    </row>
    <row r="196" spans="1:8" ht="11.25" customHeight="1" x14ac:dyDescent="0.2">
      <c r="C196" s="2" t="s">
        <v>2453</v>
      </c>
      <c r="D196" s="4" t="s">
        <v>655</v>
      </c>
      <c r="E196" s="16">
        <v>4491</v>
      </c>
      <c r="F196" s="81">
        <v>43</v>
      </c>
    </row>
    <row r="197" spans="1:8" ht="11.25" customHeight="1" x14ac:dyDescent="0.2">
      <c r="C197" s="1" t="s">
        <v>1075</v>
      </c>
      <c r="D197" s="4" t="s">
        <v>1736</v>
      </c>
      <c r="E197" s="16">
        <v>3160</v>
      </c>
      <c r="F197" s="81">
        <v>30.3</v>
      </c>
    </row>
    <row r="198" spans="1:8" ht="11.25" customHeight="1" x14ac:dyDescent="0.2">
      <c r="C198" s="1" t="s">
        <v>1759</v>
      </c>
      <c r="D198" s="4" t="s">
        <v>486</v>
      </c>
      <c r="E198" s="16">
        <v>39</v>
      </c>
      <c r="F198" s="81">
        <v>0.4</v>
      </c>
    </row>
    <row r="199" spans="1:8" ht="11.25" customHeight="1" x14ac:dyDescent="0.2">
      <c r="C199" s="1" t="s">
        <v>2318</v>
      </c>
      <c r="E199" s="155" t="s">
        <v>1447</v>
      </c>
      <c r="F199" s="158">
        <v>100</v>
      </c>
      <c r="G199" s="155">
        <v>21669</v>
      </c>
      <c r="H199" s="164">
        <v>48.3</v>
      </c>
    </row>
    <row r="200" spans="1:8" ht="11.25" customHeight="1" x14ac:dyDescent="0.2">
      <c r="C200" s="1" t="s">
        <v>2318</v>
      </c>
    </row>
    <row r="201" spans="1:8" ht="11.25" customHeight="1" x14ac:dyDescent="0.2">
      <c r="A201" s="1" t="s">
        <v>1163</v>
      </c>
      <c r="C201" s="1" t="s">
        <v>1911</v>
      </c>
      <c r="D201" s="4" t="s">
        <v>1736</v>
      </c>
      <c r="E201" s="16">
        <v>3917</v>
      </c>
      <c r="F201" s="81">
        <v>34.4</v>
      </c>
    </row>
    <row r="202" spans="1:8" ht="11.25" customHeight="1" x14ac:dyDescent="0.2">
      <c r="C202" s="2" t="s">
        <v>2832</v>
      </c>
      <c r="D202" s="4" t="s">
        <v>655</v>
      </c>
      <c r="E202" s="16">
        <v>6699</v>
      </c>
      <c r="F202" s="81">
        <v>58.8</v>
      </c>
    </row>
    <row r="203" spans="1:8" ht="11.25" customHeight="1" x14ac:dyDescent="0.2">
      <c r="C203" s="1" t="s">
        <v>2978</v>
      </c>
      <c r="D203" s="4" t="s">
        <v>1072</v>
      </c>
      <c r="E203" s="16">
        <v>784</v>
      </c>
      <c r="F203" s="81">
        <v>6.8</v>
      </c>
    </row>
    <row r="204" spans="1:8" ht="11.25" customHeight="1" x14ac:dyDescent="0.2">
      <c r="C204" s="1" t="s">
        <v>2318</v>
      </c>
      <c r="E204" s="155" t="s">
        <v>1448</v>
      </c>
      <c r="F204" s="158">
        <v>100</v>
      </c>
      <c r="G204" s="155">
        <v>24854</v>
      </c>
      <c r="H204" s="164">
        <v>45.95</v>
      </c>
    </row>
    <row r="205" spans="1:8" ht="11.25" customHeight="1" x14ac:dyDescent="0.2">
      <c r="C205" s="1" t="s">
        <v>2318</v>
      </c>
    </row>
    <row r="206" spans="1:8" ht="11.25" customHeight="1" x14ac:dyDescent="0.2">
      <c r="A206" s="1" t="s">
        <v>469</v>
      </c>
      <c r="C206" s="1" t="s">
        <v>2979</v>
      </c>
      <c r="D206" s="4" t="s">
        <v>1737</v>
      </c>
      <c r="E206" s="16">
        <v>111</v>
      </c>
      <c r="F206" s="81">
        <v>1.1000000000000001</v>
      </c>
    </row>
    <row r="207" spans="1:8" ht="11.25" customHeight="1" x14ac:dyDescent="0.2">
      <c r="C207" s="1" t="s">
        <v>2980</v>
      </c>
      <c r="D207" s="4" t="s">
        <v>1736</v>
      </c>
      <c r="E207" s="16">
        <v>2910</v>
      </c>
      <c r="F207" s="81">
        <v>28.9</v>
      </c>
    </row>
    <row r="208" spans="1:8" ht="11.25" customHeight="1" x14ac:dyDescent="0.2">
      <c r="C208" s="1" t="s">
        <v>3269</v>
      </c>
      <c r="D208" s="4" t="s">
        <v>1072</v>
      </c>
      <c r="E208" s="16">
        <v>1925</v>
      </c>
      <c r="F208" s="81">
        <v>19.100000000000001</v>
      </c>
    </row>
    <row r="209" spans="1:8" ht="11.25" customHeight="1" x14ac:dyDescent="0.2">
      <c r="C209" s="2" t="s">
        <v>2459</v>
      </c>
      <c r="D209" s="4" t="s">
        <v>655</v>
      </c>
      <c r="E209" s="16">
        <v>5114</v>
      </c>
      <c r="F209" s="81">
        <v>50.7</v>
      </c>
    </row>
    <row r="210" spans="1:8" ht="11.25" customHeight="1" x14ac:dyDescent="0.2">
      <c r="C210" s="1" t="s">
        <v>2981</v>
      </c>
      <c r="D210" s="4" t="s">
        <v>486</v>
      </c>
      <c r="E210" s="16">
        <v>26</v>
      </c>
      <c r="F210" s="81">
        <v>0.2</v>
      </c>
    </row>
    <row r="211" spans="1:8" ht="11.25" customHeight="1" x14ac:dyDescent="0.2">
      <c r="C211" s="1" t="s">
        <v>2318</v>
      </c>
      <c r="E211" s="155" t="s">
        <v>1449</v>
      </c>
      <c r="F211" s="158">
        <v>100</v>
      </c>
      <c r="G211" s="155">
        <v>22153</v>
      </c>
      <c r="H211" s="164">
        <v>45.58</v>
      </c>
    </row>
    <row r="212" spans="1:8" ht="11.25" customHeight="1" x14ac:dyDescent="0.2">
      <c r="C212" s="1" t="s">
        <v>2318</v>
      </c>
    </row>
    <row r="213" spans="1:8" ht="11.25" customHeight="1" x14ac:dyDescent="0.2">
      <c r="A213" s="1" t="s">
        <v>477</v>
      </c>
      <c r="C213" s="1" t="s">
        <v>2982</v>
      </c>
      <c r="D213" s="4" t="s">
        <v>1072</v>
      </c>
      <c r="E213" s="16">
        <v>1384</v>
      </c>
      <c r="F213" s="81">
        <v>14.7</v>
      </c>
    </row>
    <row r="214" spans="1:8" ht="11.25" customHeight="1" x14ac:dyDescent="0.2">
      <c r="C214" s="1" t="s">
        <v>2983</v>
      </c>
      <c r="D214" s="4" t="s">
        <v>1736</v>
      </c>
      <c r="E214" s="16">
        <v>3816</v>
      </c>
      <c r="F214" s="81">
        <v>40.299999999999997</v>
      </c>
    </row>
    <row r="215" spans="1:8" ht="11.25" customHeight="1" x14ac:dyDescent="0.2">
      <c r="C215" s="1" t="s">
        <v>2984</v>
      </c>
      <c r="D215" s="4" t="s">
        <v>1737</v>
      </c>
      <c r="E215" s="16">
        <v>182</v>
      </c>
      <c r="F215" s="81">
        <v>1.9</v>
      </c>
    </row>
    <row r="216" spans="1:8" ht="11.25" customHeight="1" x14ac:dyDescent="0.2">
      <c r="C216" s="2" t="s">
        <v>2461</v>
      </c>
      <c r="D216" s="4" t="s">
        <v>655</v>
      </c>
      <c r="E216" s="16">
        <v>3976</v>
      </c>
      <c r="F216" s="81">
        <v>42</v>
      </c>
    </row>
    <row r="217" spans="1:8" ht="11.25" customHeight="1" x14ac:dyDescent="0.2">
      <c r="C217" s="1" t="s">
        <v>1194</v>
      </c>
      <c r="D217" s="4" t="s">
        <v>653</v>
      </c>
      <c r="E217" s="16">
        <v>103</v>
      </c>
      <c r="F217" s="81">
        <v>1.1000000000000001</v>
      </c>
    </row>
    <row r="218" spans="1:8" ht="11.25" customHeight="1" x14ac:dyDescent="0.2">
      <c r="C218" s="1" t="s">
        <v>2318</v>
      </c>
      <c r="E218" s="155" t="s">
        <v>1450</v>
      </c>
      <c r="F218" s="158">
        <v>100</v>
      </c>
      <c r="G218" s="155">
        <v>20144</v>
      </c>
      <c r="H218" s="164">
        <v>47.12</v>
      </c>
    </row>
    <row r="219" spans="1:8" ht="11.25" customHeight="1" x14ac:dyDescent="0.2">
      <c r="C219" s="1" t="s">
        <v>2318</v>
      </c>
    </row>
    <row r="220" spans="1:8" ht="11.25" customHeight="1" x14ac:dyDescent="0.2">
      <c r="A220" s="1" t="s">
        <v>1092</v>
      </c>
      <c r="C220" s="1" t="s">
        <v>3164</v>
      </c>
      <c r="D220" s="4" t="s">
        <v>1736</v>
      </c>
      <c r="E220" s="16">
        <v>3720</v>
      </c>
      <c r="F220" s="81">
        <v>35.299999999999997</v>
      </c>
    </row>
    <row r="221" spans="1:8" ht="11.25" customHeight="1" x14ac:dyDescent="0.2">
      <c r="C221" s="1" t="s">
        <v>2985</v>
      </c>
      <c r="D221" s="4" t="s">
        <v>1072</v>
      </c>
      <c r="E221" s="16">
        <v>1191</v>
      </c>
      <c r="F221" s="81">
        <v>11.3</v>
      </c>
    </row>
    <row r="222" spans="1:8" ht="11.25" customHeight="1" x14ac:dyDescent="0.2">
      <c r="C222" s="1" t="s">
        <v>2986</v>
      </c>
      <c r="D222" s="4" t="s">
        <v>1737</v>
      </c>
      <c r="E222" s="16">
        <v>99</v>
      </c>
      <c r="F222" s="81">
        <v>1</v>
      </c>
    </row>
    <row r="223" spans="1:8" ht="11.25" customHeight="1" x14ac:dyDescent="0.2">
      <c r="C223" s="1" t="s">
        <v>2987</v>
      </c>
      <c r="D223" s="4" t="s">
        <v>484</v>
      </c>
      <c r="E223" s="16">
        <v>147</v>
      </c>
      <c r="F223" s="81">
        <v>1.4</v>
      </c>
    </row>
    <row r="224" spans="1:8" ht="11.25" customHeight="1" x14ac:dyDescent="0.2">
      <c r="C224" s="2" t="s">
        <v>1761</v>
      </c>
      <c r="D224" s="4" t="s">
        <v>655</v>
      </c>
      <c r="E224" s="16">
        <v>5371</v>
      </c>
      <c r="F224" s="81">
        <v>51</v>
      </c>
    </row>
    <row r="225" spans="1:8" ht="11.25" customHeight="1" x14ac:dyDescent="0.2">
      <c r="C225" s="1" t="s">
        <v>2318</v>
      </c>
      <c r="E225" s="155" t="s">
        <v>1451</v>
      </c>
      <c r="F225" s="158">
        <v>100</v>
      </c>
      <c r="G225" s="155">
        <v>23650</v>
      </c>
      <c r="H225" s="164">
        <v>44.61</v>
      </c>
    </row>
    <row r="226" spans="1:8" ht="11.25" customHeight="1" x14ac:dyDescent="0.2">
      <c r="C226" s="1" t="s">
        <v>2318</v>
      </c>
    </row>
    <row r="227" spans="1:8" ht="11.25" customHeight="1" x14ac:dyDescent="0.2">
      <c r="A227" s="1" t="s">
        <v>1096</v>
      </c>
      <c r="C227" s="1" t="s">
        <v>912</v>
      </c>
      <c r="D227" s="4" t="s">
        <v>655</v>
      </c>
      <c r="E227" s="16">
        <v>2918</v>
      </c>
      <c r="F227" s="81">
        <v>29.5</v>
      </c>
    </row>
    <row r="228" spans="1:8" ht="11.25" customHeight="1" x14ac:dyDescent="0.2">
      <c r="C228" s="2" t="s">
        <v>2466</v>
      </c>
      <c r="D228" s="4" t="s">
        <v>1736</v>
      </c>
      <c r="E228" s="16">
        <v>5193</v>
      </c>
      <c r="F228" s="81">
        <v>52.4</v>
      </c>
    </row>
    <row r="229" spans="1:8" ht="11.25" customHeight="1" x14ac:dyDescent="0.2">
      <c r="C229" s="1" t="s">
        <v>1259</v>
      </c>
      <c r="D229" s="4" t="s">
        <v>1072</v>
      </c>
      <c r="E229" s="16">
        <v>1352</v>
      </c>
      <c r="F229" s="81">
        <v>13.6</v>
      </c>
    </row>
    <row r="230" spans="1:8" ht="11.25" customHeight="1" x14ac:dyDescent="0.2">
      <c r="C230" s="1" t="s">
        <v>2988</v>
      </c>
      <c r="D230" s="4" t="s">
        <v>1737</v>
      </c>
      <c r="E230" s="16">
        <v>133</v>
      </c>
      <c r="F230" s="81">
        <v>1.3</v>
      </c>
    </row>
    <row r="231" spans="1:8" ht="11.25" customHeight="1" x14ac:dyDescent="0.2">
      <c r="C231" s="1" t="s">
        <v>2989</v>
      </c>
      <c r="D231" s="4" t="s">
        <v>484</v>
      </c>
      <c r="E231" s="16">
        <v>312</v>
      </c>
      <c r="F231" s="81">
        <v>3.2</v>
      </c>
    </row>
    <row r="232" spans="1:8" ht="11.25" customHeight="1" x14ac:dyDescent="0.2">
      <c r="C232" s="1" t="s">
        <v>2318</v>
      </c>
      <c r="E232" s="155" t="s">
        <v>1452</v>
      </c>
      <c r="F232" s="158">
        <v>100</v>
      </c>
      <c r="G232" s="155">
        <v>18705</v>
      </c>
      <c r="H232" s="164">
        <v>53.06</v>
      </c>
    </row>
    <row r="233" spans="1:8" ht="11.25" customHeight="1" x14ac:dyDescent="0.2">
      <c r="C233" s="1" t="s">
        <v>2318</v>
      </c>
    </row>
    <row r="234" spans="1:8" ht="11.25" customHeight="1" x14ac:dyDescent="0.2">
      <c r="A234" s="1" t="s">
        <v>1100</v>
      </c>
      <c r="C234" s="2" t="s">
        <v>2468</v>
      </c>
      <c r="D234" s="4" t="s">
        <v>1072</v>
      </c>
      <c r="E234" s="16">
        <v>6378</v>
      </c>
      <c r="F234" s="81">
        <v>43.5</v>
      </c>
    </row>
    <row r="235" spans="1:8" ht="11.25" customHeight="1" x14ac:dyDescent="0.2">
      <c r="C235" s="1" t="s">
        <v>1915</v>
      </c>
      <c r="D235" s="4" t="s">
        <v>1736</v>
      </c>
      <c r="E235" s="16">
        <v>4150</v>
      </c>
      <c r="F235" s="81">
        <v>28.3</v>
      </c>
    </row>
    <row r="236" spans="1:8" ht="11.25" customHeight="1" x14ac:dyDescent="0.2">
      <c r="C236" s="1" t="s">
        <v>2990</v>
      </c>
      <c r="D236" s="4" t="s">
        <v>655</v>
      </c>
      <c r="E236" s="16">
        <v>4142</v>
      </c>
      <c r="F236" s="81">
        <v>28.2</v>
      </c>
    </row>
    <row r="237" spans="1:8" ht="11.25" customHeight="1" x14ac:dyDescent="0.2">
      <c r="C237" s="1" t="s">
        <v>2318</v>
      </c>
      <c r="E237" s="155" t="s">
        <v>1453</v>
      </c>
      <c r="F237" s="158">
        <v>100</v>
      </c>
      <c r="G237" s="155">
        <v>23659</v>
      </c>
      <c r="H237" s="164">
        <v>62.12</v>
      </c>
    </row>
    <row r="238" spans="1:8" ht="11.25" customHeight="1" x14ac:dyDescent="0.2">
      <c r="C238" s="1" t="s">
        <v>2318</v>
      </c>
    </row>
    <row r="239" spans="1:8" ht="11.25" customHeight="1" x14ac:dyDescent="0.2">
      <c r="A239" s="1" t="s">
        <v>1105</v>
      </c>
      <c r="C239" s="2" t="s">
        <v>678</v>
      </c>
      <c r="D239" s="4" t="s">
        <v>655</v>
      </c>
      <c r="E239" s="16">
        <v>4159</v>
      </c>
      <c r="F239" s="81">
        <v>50.4</v>
      </c>
    </row>
    <row r="240" spans="1:8" ht="11.25" customHeight="1" x14ac:dyDescent="0.2">
      <c r="C240" s="1" t="s">
        <v>2991</v>
      </c>
      <c r="D240" s="4" t="s">
        <v>1072</v>
      </c>
      <c r="E240" s="16">
        <v>417</v>
      </c>
      <c r="F240" s="81">
        <v>5.0999999999999996</v>
      </c>
    </row>
    <row r="241" spans="1:8" ht="11.25" customHeight="1" x14ac:dyDescent="0.2">
      <c r="C241" s="1" t="s">
        <v>2992</v>
      </c>
      <c r="D241" s="4" t="s">
        <v>485</v>
      </c>
      <c r="E241" s="16">
        <v>30</v>
      </c>
      <c r="F241" s="81">
        <v>0.4</v>
      </c>
    </row>
    <row r="242" spans="1:8" ht="11.25" customHeight="1" x14ac:dyDescent="0.2">
      <c r="C242" s="1" t="s">
        <v>1916</v>
      </c>
      <c r="D242" s="4" t="s">
        <v>1736</v>
      </c>
      <c r="E242" s="16">
        <v>3507</v>
      </c>
      <c r="F242" s="81">
        <v>42.5</v>
      </c>
    </row>
    <row r="243" spans="1:8" ht="11.25" customHeight="1" x14ac:dyDescent="0.2">
      <c r="C243" s="1" t="s">
        <v>480</v>
      </c>
      <c r="D243" s="4" t="s">
        <v>486</v>
      </c>
      <c r="E243" s="16">
        <v>51</v>
      </c>
      <c r="F243" s="81">
        <v>0.6</v>
      </c>
    </row>
    <row r="244" spans="1:8" ht="11.25" customHeight="1" x14ac:dyDescent="0.2">
      <c r="C244" s="1" t="s">
        <v>2993</v>
      </c>
      <c r="D244" s="4" t="s">
        <v>484</v>
      </c>
      <c r="E244" s="16">
        <v>83</v>
      </c>
      <c r="F244" s="81">
        <v>1</v>
      </c>
    </row>
    <row r="245" spans="1:8" ht="11.25" customHeight="1" x14ac:dyDescent="0.2">
      <c r="C245" s="1" t="s">
        <v>2318</v>
      </c>
      <c r="E245" s="155" t="s">
        <v>1454</v>
      </c>
      <c r="F245" s="158">
        <v>100</v>
      </c>
      <c r="G245" s="155">
        <v>16290</v>
      </c>
      <c r="H245" s="164">
        <v>50.81</v>
      </c>
    </row>
    <row r="246" spans="1:8" ht="11.25" customHeight="1" x14ac:dyDescent="0.2">
      <c r="C246" s="1" t="s">
        <v>2318</v>
      </c>
    </row>
    <row r="247" spans="1:8" ht="11.25" customHeight="1" x14ac:dyDescent="0.2">
      <c r="A247" s="1" t="s">
        <v>772</v>
      </c>
      <c r="C247" s="1" t="s">
        <v>2994</v>
      </c>
      <c r="D247" s="4" t="s">
        <v>484</v>
      </c>
      <c r="E247" s="16">
        <v>157</v>
      </c>
      <c r="F247" s="81">
        <v>1.5</v>
      </c>
    </row>
    <row r="248" spans="1:8" ht="11.25" customHeight="1" x14ac:dyDescent="0.2">
      <c r="C248" s="1" t="s">
        <v>2995</v>
      </c>
      <c r="D248" s="4" t="s">
        <v>655</v>
      </c>
      <c r="E248" s="16">
        <v>4286</v>
      </c>
      <c r="F248" s="81">
        <v>39.4</v>
      </c>
    </row>
    <row r="249" spans="1:8" ht="11.25" customHeight="1" x14ac:dyDescent="0.2">
      <c r="C249" s="1" t="s">
        <v>1120</v>
      </c>
      <c r="D249" s="4" t="s">
        <v>1072</v>
      </c>
      <c r="E249" s="16">
        <v>1947</v>
      </c>
      <c r="F249" s="81">
        <v>17.899999999999999</v>
      </c>
    </row>
    <row r="250" spans="1:8" ht="11.25" customHeight="1" x14ac:dyDescent="0.2">
      <c r="C250" s="1" t="s">
        <v>2996</v>
      </c>
      <c r="D250" s="4" t="s">
        <v>1737</v>
      </c>
      <c r="E250" s="16">
        <v>122</v>
      </c>
      <c r="F250" s="81">
        <v>1.1000000000000001</v>
      </c>
    </row>
    <row r="251" spans="1:8" ht="11.25" customHeight="1" x14ac:dyDescent="0.2">
      <c r="C251" s="2" t="s">
        <v>1917</v>
      </c>
      <c r="D251" s="4" t="s">
        <v>1736</v>
      </c>
      <c r="E251" s="16">
        <v>4357</v>
      </c>
      <c r="F251" s="81">
        <v>40.1</v>
      </c>
    </row>
    <row r="252" spans="1:8" ht="11.25" customHeight="1" x14ac:dyDescent="0.2">
      <c r="C252" s="1" t="s">
        <v>2318</v>
      </c>
      <c r="E252" s="155" t="s">
        <v>1455</v>
      </c>
      <c r="F252" s="158">
        <v>100</v>
      </c>
      <c r="G252" s="155">
        <v>25169</v>
      </c>
      <c r="H252" s="164">
        <v>43.27</v>
      </c>
    </row>
    <row r="253" spans="1:8" ht="11.25" customHeight="1" x14ac:dyDescent="0.2">
      <c r="C253" s="1" t="s">
        <v>2318</v>
      </c>
    </row>
    <row r="254" spans="1:8" ht="11.25" customHeight="1" x14ac:dyDescent="0.2">
      <c r="A254" s="1" t="s">
        <v>742</v>
      </c>
      <c r="C254" s="2" t="s">
        <v>3163</v>
      </c>
      <c r="D254" s="4" t="s">
        <v>655</v>
      </c>
      <c r="E254" s="16">
        <v>4669</v>
      </c>
      <c r="F254" s="81">
        <v>51.1</v>
      </c>
    </row>
    <row r="255" spans="1:8" ht="11.25" customHeight="1" x14ac:dyDescent="0.2">
      <c r="C255" s="1" t="s">
        <v>2997</v>
      </c>
      <c r="D255" s="4" t="s">
        <v>1072</v>
      </c>
      <c r="E255" s="16">
        <v>896</v>
      </c>
      <c r="F255" s="81">
        <v>9.8000000000000007</v>
      </c>
    </row>
    <row r="256" spans="1:8" ht="11.25" customHeight="1" x14ac:dyDescent="0.2">
      <c r="C256" s="1" t="s">
        <v>2473</v>
      </c>
      <c r="D256" s="4" t="s">
        <v>1736</v>
      </c>
      <c r="E256" s="16">
        <v>3491</v>
      </c>
      <c r="F256" s="81">
        <v>38.200000000000003</v>
      </c>
    </row>
    <row r="257" spans="1:8" ht="11.25" customHeight="1" x14ac:dyDescent="0.2">
      <c r="C257" s="1" t="s">
        <v>2998</v>
      </c>
      <c r="D257" s="4" t="s">
        <v>485</v>
      </c>
      <c r="E257" s="16">
        <v>78</v>
      </c>
      <c r="F257" s="81">
        <v>0.9</v>
      </c>
    </row>
    <row r="258" spans="1:8" ht="11.25" customHeight="1" x14ac:dyDescent="0.2">
      <c r="C258" s="2" t="s">
        <v>2318</v>
      </c>
      <c r="E258" s="155" t="s">
        <v>1456</v>
      </c>
      <c r="F258" s="158">
        <v>100</v>
      </c>
      <c r="G258" s="155">
        <v>17591</v>
      </c>
      <c r="H258" s="164">
        <v>52.02</v>
      </c>
    </row>
    <row r="259" spans="1:8" ht="11.25" customHeight="1" x14ac:dyDescent="0.2">
      <c r="C259" s="1" t="s">
        <v>2318</v>
      </c>
    </row>
    <row r="260" spans="1:8" ht="11.25" customHeight="1" x14ac:dyDescent="0.2">
      <c r="A260" s="1" t="s">
        <v>1118</v>
      </c>
      <c r="C260" s="1" t="s">
        <v>491</v>
      </c>
      <c r="D260" s="4" t="s">
        <v>1736</v>
      </c>
      <c r="E260" s="16">
        <v>4222</v>
      </c>
      <c r="F260" s="81">
        <v>36.6</v>
      </c>
    </row>
    <row r="261" spans="1:8" ht="11.25" customHeight="1" x14ac:dyDescent="0.2">
      <c r="C261" s="1" t="s">
        <v>2999</v>
      </c>
      <c r="D261" s="4" t="s">
        <v>484</v>
      </c>
      <c r="E261" s="16">
        <v>176</v>
      </c>
      <c r="F261" s="81">
        <v>1.5</v>
      </c>
    </row>
    <row r="262" spans="1:8" ht="11.25" customHeight="1" x14ac:dyDescent="0.2">
      <c r="C262" s="1" t="s">
        <v>3000</v>
      </c>
      <c r="D262" s="4" t="s">
        <v>1737</v>
      </c>
      <c r="E262" s="16">
        <v>90</v>
      </c>
      <c r="F262" s="81">
        <v>0.8</v>
      </c>
    </row>
    <row r="263" spans="1:8" ht="11.25" customHeight="1" x14ac:dyDescent="0.2">
      <c r="C263" s="2" t="s">
        <v>919</v>
      </c>
      <c r="D263" s="4" t="s">
        <v>1072</v>
      </c>
      <c r="E263" s="16">
        <v>4913</v>
      </c>
      <c r="F263" s="81">
        <v>42.6</v>
      </c>
    </row>
    <row r="264" spans="1:8" ht="11.25" customHeight="1" x14ac:dyDescent="0.2">
      <c r="C264" s="1" t="s">
        <v>3001</v>
      </c>
      <c r="D264" s="4" t="s">
        <v>655</v>
      </c>
      <c r="E264" s="16">
        <v>2135</v>
      </c>
      <c r="F264" s="81">
        <v>18.5</v>
      </c>
    </row>
    <row r="265" spans="1:8" ht="11.25" customHeight="1" x14ac:dyDescent="0.2">
      <c r="C265" s="1" t="s">
        <v>2318</v>
      </c>
      <c r="E265" s="155" t="s">
        <v>1457</v>
      </c>
      <c r="F265" s="158">
        <v>100</v>
      </c>
      <c r="G265" s="155">
        <v>23485</v>
      </c>
      <c r="H265" s="164">
        <v>49.18</v>
      </c>
    </row>
    <row r="266" spans="1:8" ht="11.25" customHeight="1" x14ac:dyDescent="0.2">
      <c r="C266" s="1" t="s">
        <v>2318</v>
      </c>
    </row>
    <row r="267" spans="1:8" ht="11.25" customHeight="1" x14ac:dyDescent="0.2">
      <c r="A267" s="1" t="s">
        <v>977</v>
      </c>
      <c r="C267" s="2" t="s">
        <v>2476</v>
      </c>
      <c r="D267" s="4" t="s">
        <v>655</v>
      </c>
      <c r="E267" s="16">
        <v>4103</v>
      </c>
      <c r="F267" s="81">
        <v>43</v>
      </c>
    </row>
    <row r="268" spans="1:8" ht="11.25" customHeight="1" x14ac:dyDescent="0.2">
      <c r="C268" s="1" t="s">
        <v>3002</v>
      </c>
      <c r="D268" s="4" t="s">
        <v>1072</v>
      </c>
      <c r="E268" s="16">
        <v>861</v>
      </c>
      <c r="F268" s="81">
        <v>9</v>
      </c>
    </row>
    <row r="269" spans="1:8" ht="11.25" customHeight="1" x14ac:dyDescent="0.2">
      <c r="C269" s="1" t="s">
        <v>3003</v>
      </c>
      <c r="D269" s="4" t="s">
        <v>484</v>
      </c>
      <c r="E269" s="16">
        <v>445</v>
      </c>
      <c r="F269" s="81">
        <v>4.7</v>
      </c>
    </row>
    <row r="270" spans="1:8" ht="11.25" customHeight="1" x14ac:dyDescent="0.2">
      <c r="C270" s="1" t="s">
        <v>492</v>
      </c>
      <c r="D270" s="4" t="s">
        <v>1736</v>
      </c>
      <c r="E270" s="16">
        <v>4004</v>
      </c>
      <c r="F270" s="81">
        <v>41.9</v>
      </c>
    </row>
    <row r="271" spans="1:8" ht="11.25" customHeight="1" x14ac:dyDescent="0.2">
      <c r="C271" s="1" t="s">
        <v>3004</v>
      </c>
      <c r="D271" s="4" t="s">
        <v>485</v>
      </c>
      <c r="E271" s="16">
        <v>132</v>
      </c>
      <c r="F271" s="81">
        <v>1.4</v>
      </c>
    </row>
    <row r="272" spans="1:8" ht="11.25" customHeight="1" x14ac:dyDescent="0.2">
      <c r="C272" s="1" t="s">
        <v>2318</v>
      </c>
      <c r="E272" s="155" t="s">
        <v>1458</v>
      </c>
      <c r="F272" s="158">
        <v>100</v>
      </c>
      <c r="G272" s="162">
        <v>22823</v>
      </c>
      <c r="H272" s="164">
        <v>41.9</v>
      </c>
    </row>
    <row r="273" spans="1:8" ht="11.25" customHeight="1" x14ac:dyDescent="0.2">
      <c r="C273" s="1" t="s">
        <v>2318</v>
      </c>
    </row>
    <row r="274" spans="1:8" ht="11.25" customHeight="1" x14ac:dyDescent="0.2">
      <c r="A274" s="1" t="s">
        <v>981</v>
      </c>
      <c r="C274" s="1" t="s">
        <v>493</v>
      </c>
      <c r="D274" s="4" t="s">
        <v>1736</v>
      </c>
      <c r="E274" s="16">
        <v>1942</v>
      </c>
      <c r="F274" s="81">
        <v>25.7</v>
      </c>
    </row>
    <row r="275" spans="1:8" ht="11.25" customHeight="1" x14ac:dyDescent="0.2">
      <c r="C275" s="1" t="s">
        <v>3005</v>
      </c>
      <c r="D275" s="4" t="s">
        <v>1072</v>
      </c>
      <c r="E275" s="16">
        <v>359</v>
      </c>
      <c r="F275" s="81">
        <v>4.7</v>
      </c>
    </row>
    <row r="276" spans="1:8" ht="11.25" customHeight="1" x14ac:dyDescent="0.2">
      <c r="C276" s="2" t="s">
        <v>1196</v>
      </c>
      <c r="D276" s="4" t="s">
        <v>655</v>
      </c>
      <c r="E276" s="16">
        <v>5272</v>
      </c>
      <c r="F276" s="81">
        <v>69.599999999999994</v>
      </c>
    </row>
    <row r="277" spans="1:8" ht="11.25" customHeight="1" x14ac:dyDescent="0.2">
      <c r="C277" s="1" t="s">
        <v>2318</v>
      </c>
      <c r="E277" s="155" t="s">
        <v>2035</v>
      </c>
      <c r="F277" s="158">
        <v>100</v>
      </c>
      <c r="G277" s="155">
        <v>15632</v>
      </c>
      <c r="H277" s="164">
        <v>48.61</v>
      </c>
    </row>
    <row r="278" spans="1:8" ht="11.25" customHeight="1" x14ac:dyDescent="0.2">
      <c r="C278" s="1" t="s">
        <v>2318</v>
      </c>
    </row>
    <row r="279" spans="1:8" ht="11.25" customHeight="1" x14ac:dyDescent="0.2">
      <c r="A279" s="1" t="s">
        <v>3119</v>
      </c>
      <c r="C279" s="1" t="s">
        <v>3006</v>
      </c>
      <c r="D279" s="4" t="s">
        <v>484</v>
      </c>
      <c r="E279" s="16">
        <v>593</v>
      </c>
      <c r="F279" s="81">
        <v>4.7</v>
      </c>
    </row>
    <row r="280" spans="1:8" ht="11.25" customHeight="1" x14ac:dyDescent="0.2">
      <c r="C280" s="2" t="s">
        <v>1511</v>
      </c>
      <c r="D280" s="4" t="s">
        <v>1736</v>
      </c>
      <c r="E280" s="16">
        <v>5612</v>
      </c>
      <c r="F280" s="81">
        <v>44.5</v>
      </c>
    </row>
    <row r="281" spans="1:8" ht="11.25" customHeight="1" x14ac:dyDescent="0.2">
      <c r="C281" s="1" t="s">
        <v>988</v>
      </c>
      <c r="D281" s="4" t="s">
        <v>1072</v>
      </c>
      <c r="E281" s="16">
        <v>1100</v>
      </c>
      <c r="F281" s="81">
        <v>8.6999999999999993</v>
      </c>
    </row>
    <row r="282" spans="1:8" ht="11.25" customHeight="1" x14ac:dyDescent="0.2">
      <c r="C282" s="1" t="s">
        <v>1197</v>
      </c>
      <c r="D282" s="4" t="s">
        <v>655</v>
      </c>
      <c r="E282" s="16">
        <v>5310</v>
      </c>
      <c r="F282" s="81">
        <v>42.1</v>
      </c>
    </row>
    <row r="283" spans="1:8" ht="11.25" customHeight="1" x14ac:dyDescent="0.2">
      <c r="C283" s="1" t="s">
        <v>2318</v>
      </c>
      <c r="E283" s="155" t="s">
        <v>1671</v>
      </c>
      <c r="F283" s="158">
        <v>100</v>
      </c>
      <c r="G283" s="155">
        <v>23675</v>
      </c>
      <c r="H283" s="164">
        <v>53.35</v>
      </c>
    </row>
    <row r="284" spans="1:8" ht="11.25" customHeight="1" x14ac:dyDescent="0.2">
      <c r="C284" s="1" t="s">
        <v>2318</v>
      </c>
    </row>
    <row r="285" spans="1:8" ht="11.25" customHeight="1" x14ac:dyDescent="0.2">
      <c r="A285" s="1" t="s">
        <v>994</v>
      </c>
      <c r="C285" s="1" t="s">
        <v>2463</v>
      </c>
      <c r="D285" s="4" t="s">
        <v>486</v>
      </c>
      <c r="E285" s="16">
        <v>26</v>
      </c>
      <c r="F285" s="81">
        <v>0.2</v>
      </c>
    </row>
    <row r="286" spans="1:8" ht="11.25" customHeight="1" x14ac:dyDescent="0.2">
      <c r="C286" s="1" t="s">
        <v>3007</v>
      </c>
      <c r="D286" s="4" t="s">
        <v>1737</v>
      </c>
      <c r="E286" s="16">
        <v>72</v>
      </c>
      <c r="F286" s="81">
        <v>0.6</v>
      </c>
    </row>
    <row r="287" spans="1:8" ht="11.25" customHeight="1" x14ac:dyDescent="0.2">
      <c r="C287" s="1" t="s">
        <v>1513</v>
      </c>
      <c r="D287" s="4" t="s">
        <v>1736</v>
      </c>
      <c r="E287" s="16">
        <v>4467</v>
      </c>
      <c r="F287" s="81">
        <v>37.5</v>
      </c>
    </row>
    <row r="288" spans="1:8" ht="11.25" customHeight="1" x14ac:dyDescent="0.2">
      <c r="C288" s="1" t="s">
        <v>3008</v>
      </c>
      <c r="D288" s="4" t="s">
        <v>1072</v>
      </c>
      <c r="E288" s="16">
        <v>788</v>
      </c>
      <c r="F288" s="81">
        <v>6.6</v>
      </c>
    </row>
    <row r="289" spans="1:8" ht="11.25" customHeight="1" x14ac:dyDescent="0.2">
      <c r="C289" s="1" t="s">
        <v>3009</v>
      </c>
      <c r="D289" s="4" t="s">
        <v>484</v>
      </c>
      <c r="E289" s="16">
        <v>102</v>
      </c>
      <c r="F289" s="81">
        <v>0.9</v>
      </c>
    </row>
    <row r="290" spans="1:8" ht="11.25" customHeight="1" x14ac:dyDescent="0.2">
      <c r="C290" s="2" t="s">
        <v>3252</v>
      </c>
      <c r="D290" s="4" t="s">
        <v>655</v>
      </c>
      <c r="E290" s="16">
        <v>6443</v>
      </c>
      <c r="F290" s="81">
        <v>54.2</v>
      </c>
    </row>
    <row r="291" spans="1:8" ht="11.25" customHeight="1" x14ac:dyDescent="0.2">
      <c r="C291" s="1" t="s">
        <v>2318</v>
      </c>
      <c r="E291" s="155" t="s">
        <v>1672</v>
      </c>
      <c r="F291" s="158">
        <v>100</v>
      </c>
      <c r="G291" s="155">
        <v>20815</v>
      </c>
      <c r="H291" s="164">
        <v>57.28</v>
      </c>
    </row>
    <row r="292" spans="1:8" ht="11.25" customHeight="1" x14ac:dyDescent="0.2">
      <c r="C292" s="1" t="s">
        <v>2318</v>
      </c>
    </row>
    <row r="293" spans="1:8" ht="11.25" customHeight="1" x14ac:dyDescent="0.2">
      <c r="A293" s="1" t="s">
        <v>999</v>
      </c>
      <c r="C293" s="1" t="s">
        <v>3010</v>
      </c>
      <c r="D293" s="4" t="s">
        <v>484</v>
      </c>
      <c r="E293" s="16">
        <v>366</v>
      </c>
      <c r="F293" s="81">
        <v>2.9</v>
      </c>
    </row>
    <row r="294" spans="1:8" ht="11.25" customHeight="1" x14ac:dyDescent="0.2">
      <c r="C294" s="2" t="s">
        <v>1283</v>
      </c>
      <c r="D294" s="4" t="s">
        <v>1736</v>
      </c>
      <c r="E294" s="16">
        <v>7436</v>
      </c>
      <c r="F294" s="81">
        <v>57.6</v>
      </c>
    </row>
    <row r="295" spans="1:8" ht="11.25" customHeight="1" x14ac:dyDescent="0.2">
      <c r="C295" s="1" t="s">
        <v>3011</v>
      </c>
      <c r="D295" s="4" t="s">
        <v>655</v>
      </c>
      <c r="E295" s="16">
        <v>3875</v>
      </c>
      <c r="F295" s="81">
        <v>30</v>
      </c>
    </row>
    <row r="296" spans="1:8" ht="11.25" customHeight="1" x14ac:dyDescent="0.2">
      <c r="C296" s="1" t="s">
        <v>3012</v>
      </c>
      <c r="D296" s="4" t="s">
        <v>1737</v>
      </c>
      <c r="E296" s="16">
        <v>92</v>
      </c>
      <c r="F296" s="81">
        <v>0.7</v>
      </c>
    </row>
    <row r="297" spans="1:8" ht="11.25" customHeight="1" x14ac:dyDescent="0.2">
      <c r="C297" s="1" t="s">
        <v>3013</v>
      </c>
      <c r="D297" s="4" t="s">
        <v>1072</v>
      </c>
      <c r="E297" s="16">
        <v>1135</v>
      </c>
      <c r="F297" s="81">
        <v>8.8000000000000007</v>
      </c>
    </row>
    <row r="298" spans="1:8" ht="11.25" customHeight="1" x14ac:dyDescent="0.2">
      <c r="C298" s="1" t="s">
        <v>2318</v>
      </c>
      <c r="E298" s="155" t="s">
        <v>1673</v>
      </c>
      <c r="F298" s="158">
        <v>100</v>
      </c>
      <c r="G298" s="155">
        <v>27348</v>
      </c>
      <c r="H298" s="164">
        <v>47.22</v>
      </c>
    </row>
    <row r="299" spans="1:8" ht="11.25" customHeight="1" x14ac:dyDescent="0.2">
      <c r="C299" s="1" t="s">
        <v>2318</v>
      </c>
    </row>
    <row r="300" spans="1:8" ht="11.25" customHeight="1" x14ac:dyDescent="0.2">
      <c r="A300" s="1" t="s">
        <v>1356</v>
      </c>
      <c r="C300" s="1" t="s">
        <v>3014</v>
      </c>
      <c r="D300" s="4" t="s">
        <v>1072</v>
      </c>
      <c r="E300" s="16">
        <v>1010</v>
      </c>
      <c r="F300" s="81">
        <v>11.8</v>
      </c>
    </row>
    <row r="301" spans="1:8" ht="11.25" customHeight="1" x14ac:dyDescent="0.2">
      <c r="C301" s="1" t="s">
        <v>1253</v>
      </c>
      <c r="D301" s="4" t="s">
        <v>655</v>
      </c>
      <c r="E301" s="16">
        <v>3391</v>
      </c>
      <c r="F301" s="81">
        <v>39.700000000000003</v>
      </c>
    </row>
    <row r="302" spans="1:8" ht="11.25" customHeight="1" x14ac:dyDescent="0.2">
      <c r="C302" s="2" t="s">
        <v>3015</v>
      </c>
      <c r="D302" s="4" t="s">
        <v>1736</v>
      </c>
      <c r="E302" s="16">
        <v>4152</v>
      </c>
      <c r="F302" s="81">
        <v>48.5</v>
      </c>
    </row>
    <row r="303" spans="1:8" ht="11.25" customHeight="1" x14ac:dyDescent="0.2">
      <c r="C303" s="1" t="s">
        <v>2318</v>
      </c>
      <c r="E303" s="155" t="s">
        <v>1674</v>
      </c>
      <c r="F303" s="158">
        <v>100</v>
      </c>
      <c r="G303" s="155">
        <v>22467</v>
      </c>
      <c r="H303" s="164">
        <v>38.11</v>
      </c>
    </row>
    <row r="304" spans="1:8" ht="11.25" customHeight="1" x14ac:dyDescent="0.2">
      <c r="C304" s="1" t="s">
        <v>2318</v>
      </c>
    </row>
    <row r="305" spans="1:8" ht="11.25" customHeight="1" x14ac:dyDescent="0.2">
      <c r="A305" s="1" t="s">
        <v>1920</v>
      </c>
      <c r="C305" s="1" t="s">
        <v>3016</v>
      </c>
      <c r="D305" s="4" t="s">
        <v>655</v>
      </c>
      <c r="E305" s="16">
        <v>3095</v>
      </c>
      <c r="F305" s="81">
        <v>30.5</v>
      </c>
    </row>
    <row r="306" spans="1:8" ht="11.25" customHeight="1" x14ac:dyDescent="0.2">
      <c r="C306" s="2" t="s">
        <v>2488</v>
      </c>
      <c r="D306" s="4" t="s">
        <v>1736</v>
      </c>
      <c r="E306" s="16">
        <v>6239</v>
      </c>
      <c r="F306" s="81">
        <v>61.6</v>
      </c>
    </row>
    <row r="307" spans="1:8" ht="11.25" customHeight="1" x14ac:dyDescent="0.2">
      <c r="C307" s="1" t="s">
        <v>3017</v>
      </c>
      <c r="D307" s="4" t="s">
        <v>484</v>
      </c>
      <c r="E307" s="16">
        <v>557</v>
      </c>
      <c r="F307" s="81">
        <v>5.5</v>
      </c>
    </row>
    <row r="308" spans="1:8" ht="11.25" customHeight="1" x14ac:dyDescent="0.2">
      <c r="C308" s="1" t="s">
        <v>2538</v>
      </c>
      <c r="D308" s="4" t="s">
        <v>653</v>
      </c>
      <c r="E308" s="16">
        <v>240</v>
      </c>
      <c r="F308" s="81">
        <v>2.4</v>
      </c>
    </row>
    <row r="309" spans="1:8" ht="11.25" customHeight="1" x14ac:dyDescent="0.2">
      <c r="C309" s="1" t="s">
        <v>2318</v>
      </c>
      <c r="E309" s="155" t="s">
        <v>1980</v>
      </c>
      <c r="F309" s="158">
        <v>100</v>
      </c>
      <c r="G309" s="155">
        <v>22209</v>
      </c>
      <c r="H309" s="164">
        <v>45.73</v>
      </c>
    </row>
    <row r="310" spans="1:8" ht="11.25" customHeight="1" x14ac:dyDescent="0.2">
      <c r="C310" s="1" t="s">
        <v>2318</v>
      </c>
    </row>
    <row r="311" spans="1:8" ht="11.25" customHeight="1" x14ac:dyDescent="0.2">
      <c r="A311" s="1" t="s">
        <v>1740</v>
      </c>
      <c r="C311" s="2" t="s">
        <v>3018</v>
      </c>
      <c r="D311" s="4" t="s">
        <v>1736</v>
      </c>
      <c r="E311" s="16">
        <v>5336</v>
      </c>
      <c r="F311" s="81">
        <v>66.5</v>
      </c>
    </row>
    <row r="312" spans="1:8" ht="11.25" customHeight="1" x14ac:dyDescent="0.2">
      <c r="C312" s="1" t="s">
        <v>3019</v>
      </c>
      <c r="D312" s="4" t="s">
        <v>653</v>
      </c>
      <c r="E312" s="16">
        <v>52</v>
      </c>
      <c r="F312" s="81">
        <v>0.6</v>
      </c>
    </row>
    <row r="313" spans="1:8" ht="11.25" customHeight="1" x14ac:dyDescent="0.2">
      <c r="C313" s="1" t="s">
        <v>3020</v>
      </c>
      <c r="D313" s="4" t="s">
        <v>653</v>
      </c>
      <c r="E313" s="16">
        <v>142</v>
      </c>
      <c r="F313" s="81">
        <v>1.8</v>
      </c>
    </row>
    <row r="314" spans="1:8" ht="11.25" customHeight="1" x14ac:dyDescent="0.2">
      <c r="C314" s="1" t="s">
        <v>1254</v>
      </c>
      <c r="D314" s="4" t="s">
        <v>655</v>
      </c>
      <c r="E314" s="16">
        <v>1054</v>
      </c>
      <c r="F314" s="81">
        <v>13.1</v>
      </c>
    </row>
    <row r="315" spans="1:8" ht="11.25" customHeight="1" x14ac:dyDescent="0.2">
      <c r="C315" s="1" t="s">
        <v>1260</v>
      </c>
      <c r="D315" s="4" t="s">
        <v>653</v>
      </c>
      <c r="E315" s="16">
        <v>633</v>
      </c>
      <c r="F315" s="81">
        <v>7.9</v>
      </c>
    </row>
    <row r="316" spans="1:8" ht="11.25" customHeight="1" x14ac:dyDescent="0.2">
      <c r="C316" s="1" t="s">
        <v>3021</v>
      </c>
      <c r="D316" s="4" t="s">
        <v>484</v>
      </c>
      <c r="E316" s="16">
        <v>811</v>
      </c>
      <c r="F316" s="81">
        <v>10.1</v>
      </c>
    </row>
    <row r="317" spans="1:8" ht="11.25" customHeight="1" x14ac:dyDescent="0.2">
      <c r="C317" s="1" t="s">
        <v>2318</v>
      </c>
      <c r="E317" s="155" t="s">
        <v>1675</v>
      </c>
      <c r="F317" s="158">
        <v>100</v>
      </c>
      <c r="G317" s="155">
        <v>15080</v>
      </c>
      <c r="H317" s="164">
        <v>53.36</v>
      </c>
    </row>
    <row r="318" spans="1:8" ht="11.25" customHeight="1" x14ac:dyDescent="0.2">
      <c r="C318" s="1" t="s">
        <v>2318</v>
      </c>
    </row>
    <row r="319" spans="1:8" ht="11.25" customHeight="1" x14ac:dyDescent="0.2">
      <c r="A319" s="1" t="s">
        <v>1742</v>
      </c>
      <c r="C319" s="1" t="s">
        <v>3022</v>
      </c>
      <c r="D319" s="4" t="s">
        <v>1737</v>
      </c>
      <c r="E319" s="16">
        <v>472</v>
      </c>
      <c r="F319" s="81">
        <v>7.2</v>
      </c>
    </row>
    <row r="320" spans="1:8" ht="11.25" customHeight="1" x14ac:dyDescent="0.2">
      <c r="C320" s="1" t="s">
        <v>3023</v>
      </c>
      <c r="D320" s="4" t="s">
        <v>487</v>
      </c>
      <c r="E320" s="16">
        <v>303</v>
      </c>
      <c r="F320" s="81">
        <v>4.7</v>
      </c>
    </row>
    <row r="321" spans="1:8" ht="11.25" customHeight="1" x14ac:dyDescent="0.2">
      <c r="C321" s="1" t="s">
        <v>3024</v>
      </c>
      <c r="D321" s="4" t="s">
        <v>655</v>
      </c>
      <c r="E321" s="16">
        <v>1033</v>
      </c>
      <c r="F321" s="81">
        <v>15.8</v>
      </c>
    </row>
    <row r="322" spans="1:8" ht="11.25" customHeight="1" x14ac:dyDescent="0.2">
      <c r="C322" s="2" t="s">
        <v>1515</v>
      </c>
      <c r="D322" s="4" t="s">
        <v>1736</v>
      </c>
      <c r="E322" s="16">
        <v>4309</v>
      </c>
      <c r="F322" s="81">
        <v>66</v>
      </c>
    </row>
    <row r="323" spans="1:8" ht="11.25" customHeight="1" x14ac:dyDescent="0.2">
      <c r="C323" s="1" t="s">
        <v>3025</v>
      </c>
      <c r="D323" s="4" t="s">
        <v>484</v>
      </c>
      <c r="E323" s="16">
        <v>411</v>
      </c>
      <c r="F323" s="81">
        <v>6.3</v>
      </c>
    </row>
    <row r="324" spans="1:8" ht="11.25" customHeight="1" x14ac:dyDescent="0.2">
      <c r="C324" s="1" t="s">
        <v>2318</v>
      </c>
      <c r="E324" s="155" t="s">
        <v>1676</v>
      </c>
      <c r="F324" s="158">
        <v>100</v>
      </c>
      <c r="G324" s="155">
        <v>12097</v>
      </c>
      <c r="H324" s="164">
        <v>54.11</v>
      </c>
    </row>
    <row r="325" spans="1:8" ht="11.25" customHeight="1" x14ac:dyDescent="0.2">
      <c r="C325" s="1" t="s">
        <v>2318</v>
      </c>
    </row>
    <row r="326" spans="1:8" ht="11.25" customHeight="1" x14ac:dyDescent="0.2">
      <c r="A326" s="1" t="s">
        <v>1744</v>
      </c>
      <c r="C326" s="1" t="s">
        <v>3026</v>
      </c>
      <c r="D326" s="4" t="s">
        <v>655</v>
      </c>
      <c r="E326" s="16">
        <v>1151</v>
      </c>
      <c r="F326" s="81">
        <v>22</v>
      </c>
    </row>
    <row r="327" spans="1:8" ht="11.25" customHeight="1" x14ac:dyDescent="0.2">
      <c r="C327" s="2" t="s">
        <v>3027</v>
      </c>
      <c r="D327" s="4" t="s">
        <v>1736</v>
      </c>
      <c r="E327" s="16">
        <v>4079</v>
      </c>
      <c r="F327" s="81">
        <v>78</v>
      </c>
    </row>
    <row r="328" spans="1:8" ht="11.25" customHeight="1" x14ac:dyDescent="0.2">
      <c r="C328" s="1" t="s">
        <v>2318</v>
      </c>
      <c r="E328" s="155" t="s">
        <v>1677</v>
      </c>
      <c r="F328" s="158">
        <v>100</v>
      </c>
      <c r="G328" s="155">
        <v>11699</v>
      </c>
      <c r="H328" s="164">
        <v>44.87</v>
      </c>
    </row>
    <row r="329" spans="1:8" ht="11.25" customHeight="1" x14ac:dyDescent="0.2">
      <c r="C329" s="1" t="s">
        <v>2318</v>
      </c>
    </row>
    <row r="330" spans="1:8" ht="11.25" customHeight="1" x14ac:dyDescent="0.2">
      <c r="A330" s="1" t="s">
        <v>2350</v>
      </c>
      <c r="C330" s="1" t="s">
        <v>3028</v>
      </c>
      <c r="D330" s="4" t="s">
        <v>655</v>
      </c>
      <c r="E330" s="16">
        <v>1892</v>
      </c>
      <c r="F330" s="81">
        <v>42.8</v>
      </c>
    </row>
    <row r="331" spans="1:8" ht="11.25" customHeight="1" x14ac:dyDescent="0.2">
      <c r="C331" s="2" t="s">
        <v>1517</v>
      </c>
      <c r="D331" s="4" t="s">
        <v>1736</v>
      </c>
      <c r="E331" s="16">
        <v>2529</v>
      </c>
      <c r="F331" s="81">
        <v>57.2</v>
      </c>
    </row>
    <row r="332" spans="1:8" ht="11.25" customHeight="1" x14ac:dyDescent="0.2">
      <c r="C332" s="1" t="s">
        <v>2318</v>
      </c>
      <c r="E332" s="155" t="s">
        <v>1678</v>
      </c>
      <c r="F332" s="158">
        <v>100</v>
      </c>
      <c r="G332" s="155">
        <v>11326</v>
      </c>
      <c r="H332" s="164">
        <v>39.25</v>
      </c>
    </row>
    <row r="333" spans="1:8" ht="11.25" customHeight="1" x14ac:dyDescent="0.2">
      <c r="C333" s="1" t="s">
        <v>2318</v>
      </c>
    </row>
    <row r="334" spans="1:8" ht="11.25" customHeight="1" x14ac:dyDescent="0.2">
      <c r="A334" s="1" t="s">
        <v>1935</v>
      </c>
      <c r="C334" s="1" t="s">
        <v>2502</v>
      </c>
      <c r="D334" s="4" t="s">
        <v>1072</v>
      </c>
      <c r="E334" s="16">
        <v>2009</v>
      </c>
      <c r="F334" s="81">
        <v>22.9</v>
      </c>
    </row>
    <row r="335" spans="1:8" ht="11.25" customHeight="1" x14ac:dyDescent="0.2">
      <c r="C335" s="1" t="s">
        <v>3029</v>
      </c>
      <c r="D335" s="4" t="s">
        <v>655</v>
      </c>
      <c r="E335" s="16">
        <v>2188</v>
      </c>
      <c r="F335" s="81">
        <v>25</v>
      </c>
    </row>
    <row r="336" spans="1:8" ht="11.25" customHeight="1" x14ac:dyDescent="0.2">
      <c r="C336" s="2" t="s">
        <v>1518</v>
      </c>
      <c r="D336" s="4" t="s">
        <v>1736</v>
      </c>
      <c r="E336" s="16">
        <v>4567</v>
      </c>
      <c r="F336" s="81">
        <v>52.1</v>
      </c>
    </row>
    <row r="337" spans="1:8" ht="11.25" customHeight="1" x14ac:dyDescent="0.2">
      <c r="C337" s="1" t="s">
        <v>2318</v>
      </c>
      <c r="E337" s="155" t="s">
        <v>1679</v>
      </c>
      <c r="F337" s="158">
        <v>100</v>
      </c>
      <c r="G337" s="155">
        <v>19024</v>
      </c>
      <c r="H337" s="164">
        <v>46.18</v>
      </c>
    </row>
    <row r="338" spans="1:8" ht="11.25" customHeight="1" x14ac:dyDescent="0.2">
      <c r="C338" s="1" t="s">
        <v>2318</v>
      </c>
    </row>
    <row r="339" spans="1:8" ht="11.25" customHeight="1" x14ac:dyDescent="0.2">
      <c r="A339" s="1" t="s">
        <v>3180</v>
      </c>
      <c r="C339" s="1" t="s">
        <v>3270</v>
      </c>
      <c r="D339" s="4" t="s">
        <v>1072</v>
      </c>
      <c r="E339" s="16">
        <v>1579</v>
      </c>
      <c r="F339" s="81">
        <v>19.2</v>
      </c>
    </row>
    <row r="340" spans="1:8" ht="11.25" customHeight="1" x14ac:dyDescent="0.2">
      <c r="C340" s="1" t="s">
        <v>3030</v>
      </c>
      <c r="D340" s="4" t="s">
        <v>487</v>
      </c>
      <c r="E340" s="16">
        <v>106</v>
      </c>
      <c r="F340" s="81">
        <v>1.3</v>
      </c>
    </row>
    <row r="341" spans="1:8" ht="11.25" customHeight="1" x14ac:dyDescent="0.2">
      <c r="C341" s="2" t="s">
        <v>1519</v>
      </c>
      <c r="D341" s="4" t="s">
        <v>1736</v>
      </c>
      <c r="E341" s="16">
        <v>3999</v>
      </c>
      <c r="F341" s="81">
        <v>48.6</v>
      </c>
    </row>
    <row r="342" spans="1:8" ht="11.25" customHeight="1" x14ac:dyDescent="0.2">
      <c r="C342" s="1" t="s">
        <v>3031</v>
      </c>
      <c r="D342" s="4" t="s">
        <v>484</v>
      </c>
      <c r="E342" s="16">
        <v>532</v>
      </c>
      <c r="F342" s="81">
        <v>6.5</v>
      </c>
    </row>
    <row r="343" spans="1:8" ht="11.25" customHeight="1" x14ac:dyDescent="0.2">
      <c r="C343" s="1" t="s">
        <v>3032</v>
      </c>
      <c r="D343" s="4" t="s">
        <v>655</v>
      </c>
      <c r="E343" s="16">
        <v>2006</v>
      </c>
      <c r="F343" s="81">
        <v>24.4</v>
      </c>
    </row>
    <row r="344" spans="1:8" ht="11.25" customHeight="1" x14ac:dyDescent="0.2">
      <c r="C344" s="1" t="s">
        <v>2318</v>
      </c>
      <c r="E344" s="155" t="s">
        <v>1680</v>
      </c>
      <c r="F344" s="158">
        <v>100</v>
      </c>
      <c r="G344" s="155">
        <v>21535</v>
      </c>
      <c r="H344" s="164">
        <v>38.29</v>
      </c>
    </row>
    <row r="345" spans="1:8" ht="11.25" customHeight="1" x14ac:dyDescent="0.2">
      <c r="C345" s="1" t="s">
        <v>2318</v>
      </c>
    </row>
    <row r="346" spans="1:8" ht="11.25" customHeight="1" x14ac:dyDescent="0.2">
      <c r="A346" s="1" t="s">
        <v>3185</v>
      </c>
      <c r="C346" s="1" t="s">
        <v>1168</v>
      </c>
      <c r="D346" s="4" t="s">
        <v>1072</v>
      </c>
      <c r="E346" s="16">
        <v>65</v>
      </c>
      <c r="F346" s="81">
        <v>1.1000000000000001</v>
      </c>
    </row>
    <row r="347" spans="1:8" ht="11.25" customHeight="1" x14ac:dyDescent="0.2">
      <c r="C347" s="1" t="s">
        <v>3033</v>
      </c>
      <c r="D347" s="4" t="s">
        <v>487</v>
      </c>
      <c r="E347" s="16">
        <v>158</v>
      </c>
      <c r="F347" s="81">
        <v>2.7</v>
      </c>
    </row>
    <row r="348" spans="1:8" ht="11.25" customHeight="1" x14ac:dyDescent="0.2">
      <c r="C348" s="2" t="s">
        <v>812</v>
      </c>
      <c r="D348" s="4" t="s">
        <v>484</v>
      </c>
      <c r="E348" s="16">
        <v>3791</v>
      </c>
      <c r="F348" s="81">
        <v>63.6</v>
      </c>
    </row>
    <row r="349" spans="1:8" ht="11.25" customHeight="1" x14ac:dyDescent="0.2">
      <c r="C349" s="1" t="s">
        <v>3034</v>
      </c>
      <c r="D349" s="4" t="s">
        <v>655</v>
      </c>
      <c r="E349" s="16">
        <v>137</v>
      </c>
      <c r="F349" s="81">
        <v>2.2999999999999998</v>
      </c>
    </row>
    <row r="350" spans="1:8" ht="11.25" customHeight="1" x14ac:dyDescent="0.2">
      <c r="C350" s="1" t="s">
        <v>3035</v>
      </c>
      <c r="D350" s="4" t="s">
        <v>1736</v>
      </c>
      <c r="E350" s="16">
        <v>1805</v>
      </c>
      <c r="F350" s="81">
        <v>30.3</v>
      </c>
    </row>
    <row r="351" spans="1:8" ht="11.25" customHeight="1" x14ac:dyDescent="0.2">
      <c r="C351" s="1" t="s">
        <v>2318</v>
      </c>
      <c r="E351" s="155" t="s">
        <v>1681</v>
      </c>
      <c r="F351" s="158">
        <v>100</v>
      </c>
      <c r="G351" s="155">
        <v>9604</v>
      </c>
      <c r="H351" s="164">
        <v>62.12</v>
      </c>
    </row>
    <row r="352" spans="1:8" ht="11.25" customHeight="1" x14ac:dyDescent="0.2">
      <c r="C352" s="1" t="s">
        <v>2318</v>
      </c>
    </row>
    <row r="353" spans="1:8" ht="11.25" customHeight="1" x14ac:dyDescent="0.2">
      <c r="A353" s="1" t="s">
        <v>3088</v>
      </c>
      <c r="C353" s="2" t="s">
        <v>3036</v>
      </c>
      <c r="D353" s="4" t="s">
        <v>1736</v>
      </c>
      <c r="E353" s="16">
        <v>3580</v>
      </c>
      <c r="F353" s="81">
        <v>69.599999999999994</v>
      </c>
    </row>
    <row r="354" spans="1:8" ht="11.25" customHeight="1" x14ac:dyDescent="0.2">
      <c r="C354" s="1" t="s">
        <v>1255</v>
      </c>
      <c r="D354" s="4" t="s">
        <v>655</v>
      </c>
      <c r="E354" s="16">
        <v>1567</v>
      </c>
      <c r="F354" s="81">
        <v>30.4</v>
      </c>
    </row>
    <row r="355" spans="1:8" ht="11.25" customHeight="1" x14ac:dyDescent="0.2">
      <c r="C355" s="1" t="s">
        <v>2318</v>
      </c>
      <c r="E355" s="155" t="s">
        <v>1682</v>
      </c>
      <c r="F355" s="158">
        <v>100</v>
      </c>
      <c r="G355" s="155">
        <v>12767</v>
      </c>
      <c r="H355" s="164">
        <v>40.5</v>
      </c>
    </row>
    <row r="356" spans="1:8" ht="11.25" customHeight="1" x14ac:dyDescent="0.2">
      <c r="C356" s="1" t="s">
        <v>2318</v>
      </c>
    </row>
    <row r="357" spans="1:8" ht="11.25" customHeight="1" x14ac:dyDescent="0.2">
      <c r="A357" s="1" t="s">
        <v>1752</v>
      </c>
      <c r="C357" s="1" t="s">
        <v>3037</v>
      </c>
      <c r="D357" s="4" t="s">
        <v>655</v>
      </c>
      <c r="E357" s="16">
        <v>759</v>
      </c>
      <c r="F357" s="81">
        <v>12.4</v>
      </c>
    </row>
    <row r="358" spans="1:8" ht="11.25" customHeight="1" x14ac:dyDescent="0.2">
      <c r="C358" s="2" t="s">
        <v>2512</v>
      </c>
      <c r="D358" s="4" t="s">
        <v>1736</v>
      </c>
      <c r="E358" s="16">
        <v>4054</v>
      </c>
      <c r="F358" s="81">
        <v>66.3</v>
      </c>
    </row>
    <row r="359" spans="1:8" ht="11.25" customHeight="1" x14ac:dyDescent="0.2">
      <c r="C359" s="1" t="s">
        <v>3038</v>
      </c>
      <c r="D359" s="4" t="s">
        <v>484</v>
      </c>
      <c r="E359" s="16">
        <v>1303</v>
      </c>
      <c r="F359" s="81">
        <v>21.3</v>
      </c>
    </row>
    <row r="360" spans="1:8" ht="11.25" customHeight="1" x14ac:dyDescent="0.2">
      <c r="C360" s="1" t="s">
        <v>2318</v>
      </c>
      <c r="E360" s="155" t="s">
        <v>1683</v>
      </c>
      <c r="F360" s="158">
        <v>100</v>
      </c>
      <c r="G360" s="155">
        <v>11624</v>
      </c>
      <c r="H360" s="164">
        <v>52.9</v>
      </c>
    </row>
    <row r="361" spans="1:8" ht="11.25" customHeight="1" x14ac:dyDescent="0.2">
      <c r="C361" s="1" t="s">
        <v>2318</v>
      </c>
    </row>
    <row r="362" spans="1:8" ht="11.25" customHeight="1" x14ac:dyDescent="0.2">
      <c r="A362" s="1" t="s">
        <v>3195</v>
      </c>
      <c r="C362" s="1" t="s">
        <v>3039</v>
      </c>
      <c r="D362" s="4" t="s">
        <v>1072</v>
      </c>
      <c r="E362" s="16">
        <v>2624</v>
      </c>
      <c r="F362" s="81">
        <v>22.4</v>
      </c>
    </row>
    <row r="363" spans="1:8" ht="11.25" customHeight="1" x14ac:dyDescent="0.2">
      <c r="C363" s="1" t="s">
        <v>3040</v>
      </c>
      <c r="D363" s="4" t="s">
        <v>655</v>
      </c>
      <c r="E363" s="16">
        <v>1373</v>
      </c>
      <c r="F363" s="81">
        <v>11.7</v>
      </c>
    </row>
    <row r="364" spans="1:8" ht="11.25" customHeight="1" x14ac:dyDescent="0.2">
      <c r="C364" s="2" t="s">
        <v>1521</v>
      </c>
      <c r="D364" s="4" t="s">
        <v>1736</v>
      </c>
      <c r="E364" s="16">
        <v>7717</v>
      </c>
      <c r="F364" s="81">
        <v>65.900000000000006</v>
      </c>
    </row>
    <row r="365" spans="1:8" ht="11.25" customHeight="1" x14ac:dyDescent="0.2">
      <c r="C365" s="1" t="s">
        <v>2318</v>
      </c>
      <c r="E365" s="155" t="s">
        <v>1684</v>
      </c>
      <c r="F365" s="158">
        <v>100</v>
      </c>
      <c r="G365" s="155">
        <v>28185</v>
      </c>
      <c r="H365" s="164">
        <v>41.66</v>
      </c>
    </row>
    <row r="366" spans="1:8" ht="11.25" customHeight="1" x14ac:dyDescent="0.2">
      <c r="C366" s="1" t="s">
        <v>2318</v>
      </c>
    </row>
    <row r="367" spans="1:8" ht="11.25" customHeight="1" x14ac:dyDescent="0.2">
      <c r="A367" s="1" t="s">
        <v>1978</v>
      </c>
      <c r="C367" s="2" t="s">
        <v>2516</v>
      </c>
      <c r="D367" s="4" t="s">
        <v>1736</v>
      </c>
      <c r="E367" s="16">
        <v>5204</v>
      </c>
      <c r="F367" s="81">
        <v>66.599999999999994</v>
      </c>
    </row>
    <row r="368" spans="1:8" ht="11.25" customHeight="1" x14ac:dyDescent="0.2">
      <c r="C368" s="1" t="s">
        <v>3041</v>
      </c>
      <c r="D368" s="4" t="s">
        <v>487</v>
      </c>
      <c r="E368" s="16">
        <v>1785</v>
      </c>
      <c r="F368" s="81">
        <v>22.9</v>
      </c>
    </row>
    <row r="369" spans="1:8" ht="11.25" customHeight="1" x14ac:dyDescent="0.2">
      <c r="C369" s="1" t="s">
        <v>2517</v>
      </c>
      <c r="D369" s="4" t="s">
        <v>655</v>
      </c>
      <c r="E369" s="16">
        <v>823</v>
      </c>
      <c r="F369" s="81">
        <v>10.5</v>
      </c>
    </row>
    <row r="370" spans="1:8" ht="11.25" customHeight="1" x14ac:dyDescent="0.2">
      <c r="C370" s="1" t="s">
        <v>2318</v>
      </c>
      <c r="E370" s="155" t="s">
        <v>1685</v>
      </c>
      <c r="F370" s="158">
        <v>100</v>
      </c>
      <c r="G370" s="155">
        <v>14322</v>
      </c>
      <c r="H370" s="164">
        <v>54.76</v>
      </c>
    </row>
    <row r="371" spans="1:8" ht="11.25" customHeight="1" x14ac:dyDescent="0.2">
      <c r="C371" s="1" t="s">
        <v>2318</v>
      </c>
    </row>
    <row r="372" spans="1:8" ht="11.25" customHeight="1" x14ac:dyDescent="0.2">
      <c r="A372" s="1" t="s">
        <v>415</v>
      </c>
      <c r="C372" s="2" t="s">
        <v>1522</v>
      </c>
      <c r="D372" s="4" t="s">
        <v>1736</v>
      </c>
      <c r="E372" s="16">
        <v>3775</v>
      </c>
      <c r="F372" s="81">
        <v>60</v>
      </c>
    </row>
    <row r="373" spans="1:8" ht="11.25" customHeight="1" x14ac:dyDescent="0.2">
      <c r="C373" s="1" t="s">
        <v>2519</v>
      </c>
      <c r="D373" s="4" t="s">
        <v>655</v>
      </c>
      <c r="E373" s="16">
        <v>2057</v>
      </c>
      <c r="F373" s="81">
        <v>32.6</v>
      </c>
    </row>
    <row r="374" spans="1:8" ht="11.25" customHeight="1" x14ac:dyDescent="0.2">
      <c r="C374" s="1" t="s">
        <v>3042</v>
      </c>
      <c r="D374" s="4" t="s">
        <v>484</v>
      </c>
      <c r="E374" s="16">
        <v>291</v>
      </c>
      <c r="F374" s="81">
        <v>4.5999999999999996</v>
      </c>
    </row>
    <row r="375" spans="1:8" ht="11.25" customHeight="1" x14ac:dyDescent="0.2">
      <c r="C375" s="1" t="s">
        <v>3043</v>
      </c>
      <c r="D375" s="4" t="s">
        <v>653</v>
      </c>
      <c r="E375" s="16">
        <v>174</v>
      </c>
      <c r="F375" s="81">
        <v>2.8</v>
      </c>
    </row>
    <row r="376" spans="1:8" ht="11.25" customHeight="1" x14ac:dyDescent="0.2">
      <c r="C376" s="1" t="s">
        <v>2318</v>
      </c>
      <c r="E376" s="155" t="s">
        <v>1686</v>
      </c>
      <c r="F376" s="158">
        <v>100</v>
      </c>
      <c r="G376" s="155">
        <v>15069</v>
      </c>
      <c r="H376" s="164">
        <v>41.89</v>
      </c>
    </row>
    <row r="377" spans="1:8" ht="11.25" customHeight="1" x14ac:dyDescent="0.2">
      <c r="C377" s="1" t="s">
        <v>2318</v>
      </c>
    </row>
    <row r="378" spans="1:8" ht="11.25" customHeight="1" x14ac:dyDescent="0.2">
      <c r="A378" s="1" t="s">
        <v>584</v>
      </c>
      <c r="C378" s="2" t="s">
        <v>1523</v>
      </c>
      <c r="D378" s="4" t="s">
        <v>1736</v>
      </c>
      <c r="E378" s="16">
        <v>3134</v>
      </c>
      <c r="F378" s="81">
        <v>51.5</v>
      </c>
    </row>
    <row r="379" spans="1:8" ht="11.25" customHeight="1" x14ac:dyDescent="0.2">
      <c r="C379" s="1" t="s">
        <v>2521</v>
      </c>
      <c r="D379" s="4" t="s">
        <v>655</v>
      </c>
      <c r="E379" s="16">
        <v>2948</v>
      </c>
      <c r="F379" s="81">
        <v>48.5</v>
      </c>
    </row>
    <row r="380" spans="1:8" ht="11.25" customHeight="1" x14ac:dyDescent="0.2">
      <c r="C380" s="1" t="s">
        <v>2318</v>
      </c>
      <c r="E380" s="155" t="s">
        <v>1687</v>
      </c>
      <c r="F380" s="158">
        <v>100</v>
      </c>
      <c r="G380" s="155">
        <v>9251</v>
      </c>
      <c r="H380" s="164">
        <v>65.97</v>
      </c>
    </row>
    <row r="381" spans="1:8" ht="11.25" customHeight="1" x14ac:dyDescent="0.2">
      <c r="C381" s="1" t="s">
        <v>2318</v>
      </c>
    </row>
    <row r="382" spans="1:8" ht="11.25" customHeight="1" x14ac:dyDescent="0.2">
      <c r="A382" s="1" t="s">
        <v>420</v>
      </c>
      <c r="C382" s="1" t="s">
        <v>3044</v>
      </c>
      <c r="D382" s="4" t="s">
        <v>1737</v>
      </c>
      <c r="E382" s="16">
        <v>701</v>
      </c>
      <c r="F382" s="81">
        <v>12.1</v>
      </c>
    </row>
    <row r="383" spans="1:8" ht="11.25" customHeight="1" x14ac:dyDescent="0.2">
      <c r="C383" s="1" t="s">
        <v>979</v>
      </c>
      <c r="D383" s="4" t="s">
        <v>1072</v>
      </c>
      <c r="E383" s="16">
        <v>349</v>
      </c>
      <c r="F383" s="81">
        <v>6</v>
      </c>
    </row>
    <row r="384" spans="1:8" ht="11.25" customHeight="1" x14ac:dyDescent="0.2">
      <c r="C384" s="1" t="s">
        <v>3045</v>
      </c>
      <c r="D384" s="4" t="s">
        <v>655</v>
      </c>
      <c r="E384" s="16">
        <v>1138</v>
      </c>
      <c r="F384" s="81">
        <v>19.7</v>
      </c>
    </row>
    <row r="385" spans="1:8" ht="11.25" customHeight="1" x14ac:dyDescent="0.2">
      <c r="C385" s="2" t="s">
        <v>899</v>
      </c>
      <c r="D385" s="4" t="s">
        <v>1736</v>
      </c>
      <c r="E385" s="16">
        <v>3601</v>
      </c>
      <c r="F385" s="81">
        <v>62.2</v>
      </c>
    </row>
    <row r="386" spans="1:8" ht="11.25" customHeight="1" x14ac:dyDescent="0.2">
      <c r="C386" s="1" t="s">
        <v>2318</v>
      </c>
      <c r="E386" s="155" t="s">
        <v>1688</v>
      </c>
      <c r="F386" s="158">
        <v>100</v>
      </c>
      <c r="G386" s="155">
        <v>12334</v>
      </c>
      <c r="H386" s="164">
        <v>47.14</v>
      </c>
    </row>
    <row r="387" spans="1:8" ht="11.25" customHeight="1" x14ac:dyDescent="0.2">
      <c r="C387" s="1" t="s">
        <v>2318</v>
      </c>
    </row>
    <row r="388" spans="1:8" ht="11.25" customHeight="1" x14ac:dyDescent="0.2">
      <c r="A388" s="1" t="s">
        <v>425</v>
      </c>
      <c r="C388" s="1" t="s">
        <v>3046</v>
      </c>
      <c r="D388" s="4" t="s">
        <v>655</v>
      </c>
      <c r="E388" s="16">
        <v>1279</v>
      </c>
      <c r="F388" s="81">
        <v>18.899999999999999</v>
      </c>
    </row>
    <row r="389" spans="1:8" ht="11.25" customHeight="1" x14ac:dyDescent="0.2">
      <c r="C389" s="1" t="s">
        <v>3047</v>
      </c>
      <c r="D389" s="4" t="s">
        <v>1072</v>
      </c>
      <c r="E389" s="16">
        <v>2372</v>
      </c>
      <c r="F389" s="81">
        <v>35.1</v>
      </c>
    </row>
    <row r="390" spans="1:8" ht="11.25" customHeight="1" x14ac:dyDescent="0.2">
      <c r="C390" s="2" t="s">
        <v>1030</v>
      </c>
      <c r="D390" s="4" t="s">
        <v>1736</v>
      </c>
      <c r="E390" s="16">
        <v>2808</v>
      </c>
      <c r="F390" s="81">
        <v>41.5</v>
      </c>
    </row>
    <row r="391" spans="1:8" ht="11.25" customHeight="1" x14ac:dyDescent="0.2">
      <c r="C391" s="1" t="s">
        <v>3048</v>
      </c>
      <c r="D391" s="4" t="s">
        <v>653</v>
      </c>
      <c r="E391" s="16">
        <v>146</v>
      </c>
      <c r="F391" s="81">
        <v>2.2000000000000002</v>
      </c>
    </row>
    <row r="392" spans="1:8" ht="11.25" customHeight="1" x14ac:dyDescent="0.2">
      <c r="C392" s="1" t="s">
        <v>3049</v>
      </c>
      <c r="D392" s="4" t="s">
        <v>484</v>
      </c>
      <c r="E392" s="16">
        <v>153</v>
      </c>
      <c r="F392" s="81">
        <v>2.2999999999999998</v>
      </c>
    </row>
    <row r="393" spans="1:8" ht="11.25" customHeight="1" x14ac:dyDescent="0.2">
      <c r="C393" s="1" t="s">
        <v>2318</v>
      </c>
      <c r="E393" s="155" t="s">
        <v>736</v>
      </c>
      <c r="F393" s="158">
        <v>100</v>
      </c>
      <c r="G393" s="155">
        <v>17949</v>
      </c>
      <c r="H393" s="164">
        <v>37.71</v>
      </c>
    </row>
    <row r="394" spans="1:8" ht="11.25" customHeight="1" x14ac:dyDescent="0.2">
      <c r="C394" s="1" t="s">
        <v>2318</v>
      </c>
    </row>
    <row r="395" spans="1:8" ht="11.25" customHeight="1" x14ac:dyDescent="0.2">
      <c r="A395" s="1" t="s">
        <v>430</v>
      </c>
      <c r="C395" s="1" t="s">
        <v>3050</v>
      </c>
      <c r="D395" s="4" t="s">
        <v>655</v>
      </c>
      <c r="E395" s="17">
        <v>1667</v>
      </c>
      <c r="F395" s="81">
        <v>23.3</v>
      </c>
    </row>
    <row r="396" spans="1:8" ht="11.25" customHeight="1" x14ac:dyDescent="0.2">
      <c r="C396" s="1" t="s">
        <v>2337</v>
      </c>
      <c r="D396" s="4" t="s">
        <v>1072</v>
      </c>
      <c r="E396" s="16">
        <v>1455</v>
      </c>
      <c r="F396" s="81">
        <v>20.399999999999999</v>
      </c>
    </row>
    <row r="397" spans="1:8" ht="11.25" customHeight="1" x14ac:dyDescent="0.2">
      <c r="C397" s="2" t="s">
        <v>3051</v>
      </c>
      <c r="D397" s="4" t="s">
        <v>1736</v>
      </c>
      <c r="E397" s="16">
        <v>4023</v>
      </c>
      <c r="F397" s="81">
        <v>56.3</v>
      </c>
    </row>
    <row r="398" spans="1:8" ht="11.25" customHeight="1" x14ac:dyDescent="0.2">
      <c r="C398" s="1" t="s">
        <v>2318</v>
      </c>
      <c r="E398" s="155" t="s">
        <v>1279</v>
      </c>
      <c r="F398" s="158">
        <v>100</v>
      </c>
      <c r="G398" s="155">
        <v>17339</v>
      </c>
      <c r="H398" s="164">
        <v>41.36</v>
      </c>
    </row>
    <row r="399" spans="1:8" ht="11.25" customHeight="1" x14ac:dyDescent="0.2">
      <c r="C399" s="1" t="s">
        <v>2318</v>
      </c>
    </row>
    <row r="400" spans="1:8" ht="11.25" customHeight="1" x14ac:dyDescent="0.2">
      <c r="A400" s="1" t="s">
        <v>588</v>
      </c>
      <c r="C400" s="1" t="s">
        <v>3052</v>
      </c>
      <c r="D400" s="4" t="s">
        <v>655</v>
      </c>
      <c r="E400" s="16">
        <v>2761</v>
      </c>
      <c r="F400" s="81">
        <v>36.4</v>
      </c>
    </row>
    <row r="401" spans="1:8" ht="11.25" customHeight="1" x14ac:dyDescent="0.2">
      <c r="C401" s="1" t="s">
        <v>379</v>
      </c>
      <c r="D401" s="4" t="s">
        <v>1072</v>
      </c>
      <c r="E401" s="16">
        <v>309</v>
      </c>
      <c r="F401" s="81">
        <v>4.0999999999999996</v>
      </c>
    </row>
    <row r="402" spans="1:8" ht="11.25" customHeight="1" x14ac:dyDescent="0.2">
      <c r="C402" s="1" t="s">
        <v>813</v>
      </c>
      <c r="D402" s="4" t="s">
        <v>484</v>
      </c>
      <c r="E402" s="16">
        <v>981</v>
      </c>
      <c r="F402" s="81">
        <v>12.9</v>
      </c>
    </row>
    <row r="403" spans="1:8" ht="11.25" customHeight="1" x14ac:dyDescent="0.2">
      <c r="C403" s="2" t="s">
        <v>2532</v>
      </c>
      <c r="D403" s="4" t="s">
        <v>1736</v>
      </c>
      <c r="E403" s="16">
        <v>3539</v>
      </c>
      <c r="F403" s="81">
        <v>46.6</v>
      </c>
    </row>
    <row r="404" spans="1:8" ht="11.25" customHeight="1" x14ac:dyDescent="0.2">
      <c r="C404" s="1" t="s">
        <v>2318</v>
      </c>
      <c r="E404" s="155" t="s">
        <v>1280</v>
      </c>
      <c r="F404" s="158">
        <v>100</v>
      </c>
      <c r="G404" s="155">
        <v>12820</v>
      </c>
      <c r="H404" s="164">
        <v>59.31</v>
      </c>
    </row>
    <row r="405" spans="1:8" ht="11.25" customHeight="1" x14ac:dyDescent="0.2">
      <c r="C405" s="1" t="s">
        <v>2318</v>
      </c>
    </row>
    <row r="406" spans="1:8" ht="11.25" customHeight="1" x14ac:dyDescent="0.2">
      <c r="A406" s="1" t="s">
        <v>441</v>
      </c>
      <c r="C406" s="1" t="s">
        <v>380</v>
      </c>
      <c r="D406" s="4" t="s">
        <v>484</v>
      </c>
      <c r="E406" s="16">
        <v>1042</v>
      </c>
      <c r="F406" s="81">
        <v>14.5</v>
      </c>
    </row>
    <row r="407" spans="1:8" ht="11.25" customHeight="1" x14ac:dyDescent="0.2">
      <c r="C407" s="1" t="s">
        <v>2533</v>
      </c>
      <c r="D407" s="4" t="s">
        <v>655</v>
      </c>
      <c r="E407" s="16">
        <v>1266</v>
      </c>
      <c r="F407" s="81">
        <v>17.600000000000001</v>
      </c>
    </row>
    <row r="408" spans="1:8" ht="11.25" customHeight="1" x14ac:dyDescent="0.2">
      <c r="C408" s="2" t="s">
        <v>1524</v>
      </c>
      <c r="D408" s="4" t="s">
        <v>1736</v>
      </c>
      <c r="E408" s="16">
        <v>3844</v>
      </c>
      <c r="F408" s="81">
        <v>53.3</v>
      </c>
    </row>
    <row r="409" spans="1:8" ht="11.25" customHeight="1" x14ac:dyDescent="0.2">
      <c r="C409" s="1" t="s">
        <v>381</v>
      </c>
      <c r="D409" s="4" t="s">
        <v>487</v>
      </c>
      <c r="E409" s="16">
        <v>436</v>
      </c>
      <c r="F409" s="81">
        <v>6</v>
      </c>
    </row>
    <row r="410" spans="1:8" ht="11.25" customHeight="1" x14ac:dyDescent="0.2">
      <c r="C410" s="1" t="s">
        <v>2534</v>
      </c>
      <c r="D410" s="4" t="s">
        <v>1072</v>
      </c>
      <c r="E410" s="16">
        <v>622</v>
      </c>
      <c r="F410" s="81">
        <v>8.6</v>
      </c>
    </row>
    <row r="411" spans="1:8" ht="11.25" customHeight="1" x14ac:dyDescent="0.2">
      <c r="C411" s="1" t="s">
        <v>2318</v>
      </c>
      <c r="E411" s="155" t="s">
        <v>1281</v>
      </c>
      <c r="F411" s="158">
        <v>100</v>
      </c>
      <c r="G411" s="155">
        <v>13662</v>
      </c>
      <c r="H411" s="164">
        <v>52.9</v>
      </c>
    </row>
    <row r="412" spans="1:8" ht="11.25" customHeight="1" x14ac:dyDescent="0.2">
      <c r="C412" s="1" t="s">
        <v>2318</v>
      </c>
    </row>
    <row r="413" spans="1:8" ht="11.25" customHeight="1" x14ac:dyDescent="0.2">
      <c r="A413" s="1" t="s">
        <v>905</v>
      </c>
      <c r="C413" s="2" t="s">
        <v>2536</v>
      </c>
      <c r="D413" s="4" t="s">
        <v>1736</v>
      </c>
      <c r="E413" s="16">
        <v>6377</v>
      </c>
      <c r="F413" s="81">
        <v>56.5</v>
      </c>
    </row>
    <row r="414" spans="1:8" ht="11.25" customHeight="1" x14ac:dyDescent="0.2">
      <c r="C414" s="1" t="s">
        <v>382</v>
      </c>
      <c r="D414" s="4" t="s">
        <v>1072</v>
      </c>
      <c r="E414" s="16">
        <v>1541</v>
      </c>
      <c r="F414" s="81">
        <v>13.6</v>
      </c>
    </row>
    <row r="415" spans="1:8" ht="11.25" customHeight="1" x14ac:dyDescent="0.2">
      <c r="C415" s="1" t="s">
        <v>2935</v>
      </c>
      <c r="D415" s="4" t="s">
        <v>655</v>
      </c>
      <c r="E415" s="16">
        <v>3183</v>
      </c>
      <c r="F415" s="81">
        <v>28.2</v>
      </c>
    </row>
    <row r="416" spans="1:8" ht="11.25" customHeight="1" x14ac:dyDescent="0.2">
      <c r="C416" s="1" t="s">
        <v>383</v>
      </c>
      <c r="D416" s="4" t="s">
        <v>484</v>
      </c>
      <c r="E416" s="16">
        <v>196</v>
      </c>
      <c r="F416" s="81">
        <v>1.7</v>
      </c>
    </row>
    <row r="417" spans="1:8" ht="11.25" customHeight="1" x14ac:dyDescent="0.2">
      <c r="C417" s="1" t="s">
        <v>2318</v>
      </c>
      <c r="E417" s="155" t="s">
        <v>1282</v>
      </c>
      <c r="F417" s="158">
        <v>100</v>
      </c>
      <c r="G417" s="155">
        <v>20713</v>
      </c>
      <c r="H417" s="164">
        <v>54.58</v>
      </c>
    </row>
    <row r="418" spans="1:8" ht="11.25" customHeight="1" x14ac:dyDescent="0.2">
      <c r="C418" s="1" t="s">
        <v>2318</v>
      </c>
    </row>
    <row r="419" spans="1:8" ht="11.25" customHeight="1" x14ac:dyDescent="0.2">
      <c r="A419" s="1" t="s">
        <v>3259</v>
      </c>
      <c r="C419" s="1" t="s">
        <v>384</v>
      </c>
      <c r="D419" s="4" t="s">
        <v>655</v>
      </c>
      <c r="E419" s="16">
        <v>1546</v>
      </c>
      <c r="F419" s="81">
        <v>20.9</v>
      </c>
    </row>
    <row r="420" spans="1:8" ht="11.25" customHeight="1" x14ac:dyDescent="0.2">
      <c r="C420" s="1" t="s">
        <v>385</v>
      </c>
      <c r="D420" s="4" t="s">
        <v>484</v>
      </c>
      <c r="E420" s="16">
        <v>773</v>
      </c>
      <c r="F420" s="81">
        <v>10.5</v>
      </c>
    </row>
    <row r="421" spans="1:8" ht="11.25" customHeight="1" x14ac:dyDescent="0.2">
      <c r="C421" s="2" t="s">
        <v>1525</v>
      </c>
      <c r="D421" s="4" t="s">
        <v>1736</v>
      </c>
      <c r="E421" s="16">
        <v>4793</v>
      </c>
      <c r="F421" s="81">
        <v>64.900000000000006</v>
      </c>
    </row>
    <row r="422" spans="1:8" ht="11.25" customHeight="1" x14ac:dyDescent="0.2">
      <c r="C422" s="1" t="s">
        <v>386</v>
      </c>
      <c r="D422" s="4" t="s">
        <v>1072</v>
      </c>
      <c r="E422" s="16">
        <v>272</v>
      </c>
      <c r="F422" s="81">
        <v>3.7</v>
      </c>
    </row>
    <row r="423" spans="1:8" ht="11.25" customHeight="1" x14ac:dyDescent="0.2">
      <c r="C423" s="1" t="s">
        <v>2318</v>
      </c>
      <c r="E423" s="155" t="s">
        <v>3197</v>
      </c>
      <c r="F423" s="158">
        <v>100</v>
      </c>
      <c r="G423" s="155">
        <v>12291</v>
      </c>
      <c r="H423" s="164">
        <v>60.29</v>
      </c>
    </row>
    <row r="424" spans="1:8" ht="11.25" customHeight="1" x14ac:dyDescent="0.2">
      <c r="C424" s="1" t="s">
        <v>2318</v>
      </c>
    </row>
    <row r="425" spans="1:8" ht="11.25" customHeight="1" x14ac:dyDescent="0.2">
      <c r="A425" s="1" t="s">
        <v>446</v>
      </c>
      <c r="C425" s="1" t="s">
        <v>387</v>
      </c>
      <c r="D425" s="4" t="s">
        <v>1072</v>
      </c>
      <c r="E425" s="16">
        <v>745</v>
      </c>
      <c r="F425" s="81">
        <v>6.6</v>
      </c>
    </row>
    <row r="426" spans="1:8" ht="11.25" customHeight="1" x14ac:dyDescent="0.2">
      <c r="C426" s="1" t="s">
        <v>1526</v>
      </c>
      <c r="D426" s="4" t="s">
        <v>1736</v>
      </c>
      <c r="E426" s="16">
        <v>4580</v>
      </c>
      <c r="F426" s="81">
        <v>40.799999999999997</v>
      </c>
    </row>
    <row r="427" spans="1:8" ht="11.25" customHeight="1" x14ac:dyDescent="0.2">
      <c r="C427" s="1" t="s">
        <v>3080</v>
      </c>
      <c r="D427" s="4" t="s">
        <v>484</v>
      </c>
      <c r="E427" s="16">
        <v>1215</v>
      </c>
      <c r="F427" s="81">
        <v>10.8</v>
      </c>
    </row>
    <row r="428" spans="1:8" ht="11.25" customHeight="1" x14ac:dyDescent="0.2">
      <c r="C428" s="2" t="s">
        <v>388</v>
      </c>
      <c r="D428" s="4" t="s">
        <v>655</v>
      </c>
      <c r="E428" s="16">
        <v>4700</v>
      </c>
      <c r="F428" s="81">
        <v>41.8</v>
      </c>
    </row>
    <row r="429" spans="1:8" ht="11.25" customHeight="1" x14ac:dyDescent="0.2">
      <c r="C429" s="1" t="s">
        <v>2318</v>
      </c>
      <c r="E429" s="155" t="s">
        <v>3198</v>
      </c>
      <c r="F429" s="158">
        <v>100</v>
      </c>
      <c r="G429" s="155">
        <v>22429</v>
      </c>
      <c r="H429" s="164">
        <v>50.17</v>
      </c>
    </row>
    <row r="430" spans="1:8" ht="11.25" customHeight="1" x14ac:dyDescent="0.2">
      <c r="C430" s="1" t="s">
        <v>2318</v>
      </c>
    </row>
    <row r="431" spans="1:8" ht="11.25" customHeight="1" x14ac:dyDescent="0.2">
      <c r="A431" s="1" t="s">
        <v>3262</v>
      </c>
      <c r="C431" s="2" t="s">
        <v>2369</v>
      </c>
      <c r="D431" s="4" t="s">
        <v>1736</v>
      </c>
      <c r="E431" s="16">
        <v>3018</v>
      </c>
      <c r="F431" s="81">
        <v>48</v>
      </c>
    </row>
    <row r="432" spans="1:8" ht="11.25" customHeight="1" x14ac:dyDescent="0.2">
      <c r="C432" s="1" t="s">
        <v>389</v>
      </c>
      <c r="D432" s="4" t="s">
        <v>1072</v>
      </c>
      <c r="E432" s="16">
        <v>463</v>
      </c>
      <c r="F432" s="81">
        <v>7.4</v>
      </c>
    </row>
    <row r="433" spans="1:8" ht="11.25" customHeight="1" x14ac:dyDescent="0.2">
      <c r="C433" s="1" t="s">
        <v>390</v>
      </c>
      <c r="D433" s="4" t="s">
        <v>655</v>
      </c>
      <c r="E433" s="16">
        <v>1429</v>
      </c>
      <c r="F433" s="81">
        <v>22.7</v>
      </c>
    </row>
    <row r="434" spans="1:8" ht="11.25" customHeight="1" x14ac:dyDescent="0.2">
      <c r="C434" s="1" t="s">
        <v>391</v>
      </c>
      <c r="D434" s="4" t="s">
        <v>484</v>
      </c>
      <c r="E434" s="16">
        <v>1380</v>
      </c>
      <c r="F434" s="81">
        <v>21.9</v>
      </c>
    </row>
    <row r="435" spans="1:8" ht="11.25" customHeight="1" x14ac:dyDescent="0.2">
      <c r="C435" s="1" t="s">
        <v>2318</v>
      </c>
      <c r="E435" s="155" t="s">
        <v>3199</v>
      </c>
      <c r="F435" s="158">
        <v>100</v>
      </c>
      <c r="G435" s="155">
        <v>10760</v>
      </c>
      <c r="H435" s="164">
        <v>58.65</v>
      </c>
    </row>
    <row r="436" spans="1:8" ht="11.25" customHeight="1" x14ac:dyDescent="0.2">
      <c r="C436" s="1" t="s">
        <v>2318</v>
      </c>
    </row>
    <row r="437" spans="1:8" ht="11.25" customHeight="1" x14ac:dyDescent="0.2">
      <c r="A437" s="1" t="s">
        <v>1552</v>
      </c>
      <c r="C437" s="1" t="s">
        <v>392</v>
      </c>
      <c r="D437" s="4" t="s">
        <v>1737</v>
      </c>
      <c r="E437" s="16">
        <v>308</v>
      </c>
      <c r="F437" s="81">
        <v>4.5</v>
      </c>
    </row>
    <row r="438" spans="1:8" ht="11.25" customHeight="1" x14ac:dyDescent="0.2">
      <c r="C438" s="2" t="s">
        <v>393</v>
      </c>
      <c r="D438" s="4" t="s">
        <v>1736</v>
      </c>
      <c r="E438" s="16">
        <v>3938</v>
      </c>
      <c r="F438" s="81">
        <v>57.8</v>
      </c>
    </row>
    <row r="439" spans="1:8" ht="11.25" customHeight="1" x14ac:dyDescent="0.2">
      <c r="A439" s="128"/>
      <c r="C439" s="1" t="s">
        <v>394</v>
      </c>
      <c r="D439" s="4" t="s">
        <v>1072</v>
      </c>
      <c r="E439" s="16">
        <v>1508</v>
      </c>
      <c r="F439" s="81">
        <v>22.2</v>
      </c>
    </row>
    <row r="440" spans="1:8" ht="11.25" customHeight="1" x14ac:dyDescent="0.2">
      <c r="C440" s="1" t="s">
        <v>395</v>
      </c>
      <c r="D440" s="4" t="s">
        <v>655</v>
      </c>
      <c r="E440" s="16">
        <v>1058</v>
      </c>
      <c r="F440" s="81">
        <v>15.5</v>
      </c>
    </row>
    <row r="441" spans="1:8" ht="11.25" customHeight="1" x14ac:dyDescent="0.2">
      <c r="C441" s="1" t="s">
        <v>2318</v>
      </c>
      <c r="E441" s="155" t="s">
        <v>3200</v>
      </c>
      <c r="F441" s="158">
        <v>100</v>
      </c>
      <c r="G441" s="155">
        <v>11888</v>
      </c>
      <c r="H441" s="164">
        <v>57.43</v>
      </c>
    </row>
    <row r="442" spans="1:8" ht="11.25" customHeight="1" x14ac:dyDescent="0.2">
      <c r="C442" s="1" t="s">
        <v>2318</v>
      </c>
    </row>
    <row r="443" spans="1:8" ht="11.25" customHeight="1" x14ac:dyDescent="0.2">
      <c r="A443" s="1" t="s">
        <v>2545</v>
      </c>
      <c r="C443" s="1" t="s">
        <v>396</v>
      </c>
      <c r="D443" s="4" t="s">
        <v>484</v>
      </c>
      <c r="E443" s="16">
        <v>1343</v>
      </c>
      <c r="F443" s="81">
        <v>12.9</v>
      </c>
    </row>
    <row r="444" spans="1:8" ht="11.25" customHeight="1" x14ac:dyDescent="0.2">
      <c r="C444" s="1" t="s">
        <v>397</v>
      </c>
      <c r="D444" s="4" t="s">
        <v>1737</v>
      </c>
      <c r="E444" s="16">
        <v>186</v>
      </c>
      <c r="F444" s="81">
        <v>1.8</v>
      </c>
    </row>
    <row r="445" spans="1:8" ht="11.25" customHeight="1" x14ac:dyDescent="0.2">
      <c r="C445" s="1" t="s">
        <v>398</v>
      </c>
      <c r="D445" s="4" t="s">
        <v>655</v>
      </c>
      <c r="E445" s="16">
        <v>3046</v>
      </c>
      <c r="F445" s="81">
        <v>29.3</v>
      </c>
    </row>
    <row r="446" spans="1:8" ht="11.25" customHeight="1" x14ac:dyDescent="0.2">
      <c r="C446" s="2" t="s">
        <v>2373</v>
      </c>
      <c r="D446" s="4" t="s">
        <v>1736</v>
      </c>
      <c r="E446" s="16">
        <v>4535</v>
      </c>
      <c r="F446" s="81">
        <v>43.6</v>
      </c>
    </row>
    <row r="447" spans="1:8" ht="11.25" customHeight="1" x14ac:dyDescent="0.2">
      <c r="C447" s="1" t="s">
        <v>399</v>
      </c>
      <c r="D447" s="4" t="s">
        <v>1072</v>
      </c>
      <c r="E447" s="16">
        <v>1285</v>
      </c>
      <c r="F447" s="81">
        <v>12.4</v>
      </c>
    </row>
    <row r="448" spans="1:8" ht="11.25" customHeight="1" x14ac:dyDescent="0.2">
      <c r="C448" s="1" t="s">
        <v>2318</v>
      </c>
      <c r="E448" s="155" t="s">
        <v>3201</v>
      </c>
      <c r="F448" s="158">
        <v>100</v>
      </c>
      <c r="G448" s="155">
        <v>21923</v>
      </c>
      <c r="H448" s="164">
        <v>47.47</v>
      </c>
    </row>
    <row r="449" spans="1:8" ht="11.25" customHeight="1" x14ac:dyDescent="0.2">
      <c r="C449" s="1" t="s">
        <v>2318</v>
      </c>
    </row>
    <row r="450" spans="1:8" ht="11.25" customHeight="1" x14ac:dyDescent="0.2">
      <c r="A450" s="1" t="s">
        <v>1979</v>
      </c>
      <c r="C450" s="2" t="s">
        <v>1527</v>
      </c>
      <c r="D450" s="4" t="s">
        <v>1736</v>
      </c>
      <c r="E450" s="16">
        <v>4483</v>
      </c>
      <c r="F450" s="81">
        <v>67.099999999999994</v>
      </c>
    </row>
    <row r="451" spans="1:8" ht="11.25" customHeight="1" x14ac:dyDescent="0.2">
      <c r="C451" s="1" t="s">
        <v>400</v>
      </c>
      <c r="D451" s="4" t="s">
        <v>655</v>
      </c>
      <c r="E451" s="16">
        <v>756</v>
      </c>
      <c r="F451" s="81">
        <v>11.3</v>
      </c>
    </row>
    <row r="452" spans="1:8" ht="11.25" customHeight="1" x14ac:dyDescent="0.2">
      <c r="C452" s="1" t="s">
        <v>401</v>
      </c>
      <c r="D452" s="4" t="s">
        <v>484</v>
      </c>
      <c r="E452" s="16">
        <v>1442</v>
      </c>
      <c r="F452" s="81">
        <v>21.6</v>
      </c>
    </row>
    <row r="453" spans="1:8" ht="11.25" customHeight="1" x14ac:dyDescent="0.2">
      <c r="C453" s="1" t="s">
        <v>2318</v>
      </c>
      <c r="E453" s="155" t="s">
        <v>3202</v>
      </c>
      <c r="F453" s="158">
        <v>100</v>
      </c>
      <c r="G453" s="155">
        <v>13334</v>
      </c>
      <c r="H453" s="164">
        <v>50.37</v>
      </c>
    </row>
    <row r="454" spans="1:8" ht="11.25" customHeight="1" x14ac:dyDescent="0.2">
      <c r="C454" s="1" t="s">
        <v>2318</v>
      </c>
    </row>
    <row r="455" spans="1:8" ht="11.25" customHeight="1" x14ac:dyDescent="0.2">
      <c r="A455" s="1" t="s">
        <v>3087</v>
      </c>
      <c r="C455" s="2" t="s">
        <v>1528</v>
      </c>
      <c r="D455" s="4" t="s">
        <v>1736</v>
      </c>
      <c r="E455" s="16">
        <v>5924</v>
      </c>
      <c r="F455" s="81">
        <v>83.5</v>
      </c>
    </row>
    <row r="456" spans="1:8" ht="11.25" customHeight="1" x14ac:dyDescent="0.2">
      <c r="C456" s="1" t="s">
        <v>402</v>
      </c>
      <c r="D456" s="4" t="s">
        <v>655</v>
      </c>
      <c r="E456" s="16">
        <v>1169</v>
      </c>
      <c r="F456" s="81">
        <v>16.5</v>
      </c>
    </row>
    <row r="457" spans="1:8" ht="11.25" customHeight="1" x14ac:dyDescent="0.2">
      <c r="C457" s="1" t="s">
        <v>2318</v>
      </c>
      <c r="E457" s="155" t="s">
        <v>3203</v>
      </c>
      <c r="F457" s="158">
        <v>100</v>
      </c>
      <c r="G457" s="155">
        <v>14547</v>
      </c>
      <c r="H457" s="164">
        <v>48.94</v>
      </c>
    </row>
    <row r="458" spans="1:8" ht="11.25" customHeight="1" x14ac:dyDescent="0.2">
      <c r="C458" s="1" t="s">
        <v>2318</v>
      </c>
    </row>
    <row r="459" spans="1:8" ht="11.25" customHeight="1" x14ac:dyDescent="0.2">
      <c r="A459" s="1" t="s">
        <v>1557</v>
      </c>
      <c r="C459" s="1" t="s">
        <v>403</v>
      </c>
      <c r="D459" s="4" t="s">
        <v>484</v>
      </c>
      <c r="E459" s="16">
        <v>1150</v>
      </c>
      <c r="F459" s="81">
        <v>13.4</v>
      </c>
    </row>
    <row r="460" spans="1:8" ht="11.25" customHeight="1" x14ac:dyDescent="0.2">
      <c r="C460" s="2" t="s">
        <v>2380</v>
      </c>
      <c r="D460" s="4" t="s">
        <v>655</v>
      </c>
      <c r="E460" s="16">
        <v>3903</v>
      </c>
      <c r="F460" s="81">
        <v>45.6</v>
      </c>
    </row>
    <row r="461" spans="1:8" ht="11.25" customHeight="1" x14ac:dyDescent="0.2">
      <c r="C461" s="1" t="s">
        <v>404</v>
      </c>
      <c r="D461" s="4" t="s">
        <v>1736</v>
      </c>
      <c r="E461" s="16">
        <v>3328</v>
      </c>
      <c r="F461" s="81">
        <v>38.9</v>
      </c>
    </row>
    <row r="462" spans="1:8" ht="11.25" customHeight="1" x14ac:dyDescent="0.2">
      <c r="C462" s="1" t="s">
        <v>405</v>
      </c>
      <c r="D462" s="4" t="s">
        <v>1072</v>
      </c>
      <c r="E462" s="16">
        <v>174</v>
      </c>
      <c r="F462" s="81">
        <v>2.1</v>
      </c>
    </row>
    <row r="463" spans="1:8" ht="11.25" customHeight="1" x14ac:dyDescent="0.2">
      <c r="C463" s="1" t="s">
        <v>2318</v>
      </c>
      <c r="E463" s="155" t="s">
        <v>3204</v>
      </c>
      <c r="F463" s="158">
        <v>100</v>
      </c>
      <c r="G463" s="155">
        <v>12598</v>
      </c>
      <c r="H463" s="164">
        <v>68.040000000000006</v>
      </c>
    </row>
    <row r="464" spans="1:8" ht="11.25" customHeight="1" x14ac:dyDescent="0.2">
      <c r="C464" s="1" t="s">
        <v>2318</v>
      </c>
    </row>
    <row r="465" spans="1:8" ht="11.25" customHeight="1" x14ac:dyDescent="0.2">
      <c r="A465" s="1" t="s">
        <v>1559</v>
      </c>
      <c r="C465" s="1" t="s">
        <v>176</v>
      </c>
      <c r="D465" s="4" t="s">
        <v>655</v>
      </c>
      <c r="E465" s="16">
        <v>1671</v>
      </c>
      <c r="F465" s="81">
        <v>28.3</v>
      </c>
    </row>
    <row r="466" spans="1:8" ht="11.25" customHeight="1" x14ac:dyDescent="0.2">
      <c r="C466" s="2" t="s">
        <v>1057</v>
      </c>
      <c r="D466" s="4" t="s">
        <v>1736</v>
      </c>
      <c r="E466" s="16">
        <v>4228</v>
      </c>
      <c r="F466" s="81">
        <v>71.7</v>
      </c>
    </row>
    <row r="467" spans="1:8" ht="11.25" customHeight="1" x14ac:dyDescent="0.2">
      <c r="C467" s="1" t="s">
        <v>2318</v>
      </c>
      <c r="E467" s="155" t="s">
        <v>3205</v>
      </c>
      <c r="F467" s="158">
        <v>100</v>
      </c>
      <c r="G467" s="155">
        <v>10963</v>
      </c>
      <c r="H467" s="164">
        <v>54.05</v>
      </c>
    </row>
    <row r="468" spans="1:8" ht="11.25" customHeight="1" x14ac:dyDescent="0.2">
      <c r="C468" s="1" t="s">
        <v>2318</v>
      </c>
    </row>
    <row r="469" spans="1:8" ht="11.25" customHeight="1" x14ac:dyDescent="0.2">
      <c r="A469" s="1" t="s">
        <v>2564</v>
      </c>
      <c r="C469" s="1" t="s">
        <v>177</v>
      </c>
      <c r="D469" s="4" t="s">
        <v>1737</v>
      </c>
      <c r="E469" s="16">
        <v>475</v>
      </c>
      <c r="F469" s="81">
        <v>7.7</v>
      </c>
    </row>
    <row r="470" spans="1:8" ht="11.25" customHeight="1" x14ac:dyDescent="0.2">
      <c r="C470" s="2" t="s">
        <v>178</v>
      </c>
      <c r="D470" s="4" t="s">
        <v>1736</v>
      </c>
      <c r="E470" s="16">
        <v>4244</v>
      </c>
      <c r="F470" s="81">
        <v>68.5</v>
      </c>
    </row>
    <row r="471" spans="1:8" ht="11.25" customHeight="1" x14ac:dyDescent="0.2">
      <c r="C471" s="1" t="s">
        <v>2384</v>
      </c>
      <c r="D471" s="4" t="s">
        <v>655</v>
      </c>
      <c r="E471" s="16">
        <v>1106</v>
      </c>
      <c r="F471" s="81">
        <v>17.899999999999999</v>
      </c>
    </row>
    <row r="472" spans="1:8" ht="11.25" customHeight="1" x14ac:dyDescent="0.2">
      <c r="C472" s="1" t="s">
        <v>179</v>
      </c>
      <c r="D472" s="4" t="s">
        <v>1072</v>
      </c>
      <c r="E472" s="16">
        <v>365</v>
      </c>
      <c r="F472" s="81">
        <v>5.9</v>
      </c>
    </row>
    <row r="473" spans="1:8" ht="11.25" customHeight="1" x14ac:dyDescent="0.2">
      <c r="C473" s="1" t="s">
        <v>2318</v>
      </c>
      <c r="E473" s="155" t="s">
        <v>3206</v>
      </c>
      <c r="F473" s="158">
        <v>100</v>
      </c>
      <c r="G473" s="155">
        <v>11100</v>
      </c>
      <c r="H473" s="164">
        <v>55.86</v>
      </c>
    </row>
    <row r="474" spans="1:8" ht="11.25" customHeight="1" x14ac:dyDescent="0.2">
      <c r="C474" s="1" t="s">
        <v>2318</v>
      </c>
    </row>
    <row r="475" spans="1:8" ht="11.25" customHeight="1" x14ac:dyDescent="0.2">
      <c r="A475" s="1" t="s">
        <v>1278</v>
      </c>
      <c r="C475" s="1" t="s">
        <v>180</v>
      </c>
      <c r="D475" s="4" t="s">
        <v>484</v>
      </c>
      <c r="E475" s="16">
        <v>911</v>
      </c>
      <c r="F475" s="81">
        <v>7.8</v>
      </c>
    </row>
    <row r="476" spans="1:8" ht="11.25" customHeight="1" x14ac:dyDescent="0.2">
      <c r="C476" s="1" t="s">
        <v>181</v>
      </c>
      <c r="D476" s="4" t="s">
        <v>487</v>
      </c>
      <c r="E476" s="16">
        <v>78</v>
      </c>
      <c r="F476" s="81">
        <v>0.7</v>
      </c>
    </row>
    <row r="477" spans="1:8" ht="11.25" customHeight="1" x14ac:dyDescent="0.2">
      <c r="C477" s="1" t="s">
        <v>182</v>
      </c>
      <c r="D477" s="4" t="s">
        <v>1736</v>
      </c>
      <c r="E477" s="16">
        <v>4049</v>
      </c>
      <c r="F477" s="81">
        <v>34.9</v>
      </c>
    </row>
    <row r="478" spans="1:8" ht="11.25" customHeight="1" x14ac:dyDescent="0.2">
      <c r="C478" s="1" t="s">
        <v>183</v>
      </c>
      <c r="D478" s="4" t="s">
        <v>655</v>
      </c>
      <c r="E478" s="16">
        <v>1996</v>
      </c>
      <c r="F478" s="81">
        <v>17.2</v>
      </c>
    </row>
    <row r="479" spans="1:8" ht="11.25" customHeight="1" x14ac:dyDescent="0.2">
      <c r="C479" s="1" t="s">
        <v>184</v>
      </c>
      <c r="D479" s="4" t="s">
        <v>485</v>
      </c>
      <c r="E479" s="16">
        <v>25</v>
      </c>
      <c r="F479" s="81">
        <v>0.2</v>
      </c>
    </row>
    <row r="480" spans="1:8" ht="11.25" customHeight="1" x14ac:dyDescent="0.2">
      <c r="C480" s="1" t="s">
        <v>185</v>
      </c>
      <c r="D480" s="4" t="s">
        <v>486</v>
      </c>
      <c r="E480" s="16">
        <v>29</v>
      </c>
      <c r="F480" s="81">
        <v>0.2</v>
      </c>
    </row>
    <row r="481" spans="1:8" ht="11.25" customHeight="1" x14ac:dyDescent="0.2">
      <c r="C481" s="2" t="s">
        <v>3121</v>
      </c>
      <c r="D481" s="4" t="s">
        <v>1072</v>
      </c>
      <c r="E481" s="16">
        <v>4523</v>
      </c>
      <c r="F481" s="81">
        <v>39</v>
      </c>
    </row>
    <row r="482" spans="1:8" ht="11.25" customHeight="1" x14ac:dyDescent="0.2">
      <c r="C482" s="1" t="s">
        <v>2318</v>
      </c>
      <c r="E482" s="155" t="s">
        <v>3207</v>
      </c>
      <c r="F482" s="158">
        <v>100</v>
      </c>
      <c r="G482" s="155">
        <v>18572</v>
      </c>
      <c r="H482" s="164">
        <v>62.58</v>
      </c>
    </row>
    <row r="483" spans="1:8" ht="11.25" customHeight="1" x14ac:dyDescent="0.2">
      <c r="C483" s="1" t="s">
        <v>2318</v>
      </c>
    </row>
    <row r="484" spans="1:8" ht="11.25" customHeight="1" x14ac:dyDescent="0.2">
      <c r="A484" s="1" t="s">
        <v>1534</v>
      </c>
      <c r="C484" s="1" t="s">
        <v>186</v>
      </c>
      <c r="D484" s="4" t="s">
        <v>655</v>
      </c>
      <c r="E484" s="16">
        <v>3005</v>
      </c>
      <c r="F484" s="81">
        <v>42</v>
      </c>
    </row>
    <row r="485" spans="1:8" ht="11.25" customHeight="1" x14ac:dyDescent="0.2">
      <c r="C485" s="1" t="s">
        <v>187</v>
      </c>
      <c r="D485" s="4" t="s">
        <v>1737</v>
      </c>
      <c r="E485" s="16">
        <v>187</v>
      </c>
      <c r="F485" s="81">
        <v>2.6</v>
      </c>
    </row>
    <row r="486" spans="1:8" ht="11.25" customHeight="1" x14ac:dyDescent="0.2">
      <c r="C486" s="2" t="s">
        <v>1514</v>
      </c>
      <c r="D486" s="4" t="s">
        <v>1736</v>
      </c>
      <c r="E486" s="16">
        <v>3207</v>
      </c>
      <c r="F486" s="81">
        <v>44.9</v>
      </c>
    </row>
    <row r="487" spans="1:8" ht="11.25" customHeight="1" x14ac:dyDescent="0.2">
      <c r="C487" s="1" t="s">
        <v>1195</v>
      </c>
      <c r="D487" s="4" t="s">
        <v>1072</v>
      </c>
      <c r="E487" s="16">
        <v>749</v>
      </c>
      <c r="F487" s="81">
        <v>10.5</v>
      </c>
    </row>
    <row r="488" spans="1:8" ht="11.25" customHeight="1" x14ac:dyDescent="0.2">
      <c r="C488" s="1" t="s">
        <v>2318</v>
      </c>
      <c r="E488" s="155" t="s">
        <v>3208</v>
      </c>
      <c r="F488" s="158">
        <v>100</v>
      </c>
      <c r="G488" s="155">
        <v>15863</v>
      </c>
      <c r="H488" s="164">
        <v>45.19</v>
      </c>
    </row>
    <row r="489" spans="1:8" ht="11.25" customHeight="1" x14ac:dyDescent="0.2">
      <c r="C489" s="1" t="s">
        <v>2318</v>
      </c>
      <c r="F489" s="82"/>
    </row>
    <row r="490" spans="1:8" ht="11.25" customHeight="1" x14ac:dyDescent="0.2">
      <c r="A490" s="1" t="s">
        <v>1565</v>
      </c>
      <c r="C490" s="1" t="s">
        <v>188</v>
      </c>
      <c r="D490" s="3" t="s">
        <v>1072</v>
      </c>
      <c r="E490" s="17">
        <v>740</v>
      </c>
      <c r="F490" s="83">
        <v>7.1</v>
      </c>
      <c r="G490" s="17"/>
    </row>
    <row r="491" spans="1:8" ht="11.25" customHeight="1" x14ac:dyDescent="0.2">
      <c r="C491" s="1" t="s">
        <v>189</v>
      </c>
      <c r="D491" s="4" t="s">
        <v>655</v>
      </c>
      <c r="E491" s="16">
        <v>3061</v>
      </c>
      <c r="F491" s="82">
        <v>29.3</v>
      </c>
    </row>
    <row r="492" spans="1:8" ht="11.25" customHeight="1" x14ac:dyDescent="0.2">
      <c r="C492" s="1" t="s">
        <v>190</v>
      </c>
      <c r="D492" s="4" t="s">
        <v>1737</v>
      </c>
      <c r="E492" s="16">
        <v>208</v>
      </c>
      <c r="F492" s="81">
        <v>2</v>
      </c>
    </row>
    <row r="493" spans="1:8" ht="11.25" customHeight="1" x14ac:dyDescent="0.2">
      <c r="C493" s="4" t="s">
        <v>191</v>
      </c>
      <c r="D493" s="4" t="s">
        <v>484</v>
      </c>
      <c r="E493" s="19">
        <v>488</v>
      </c>
      <c r="F493" s="82">
        <v>4.7</v>
      </c>
      <c r="G493" s="19"/>
    </row>
    <row r="494" spans="1:8" ht="11.25" customHeight="1" x14ac:dyDescent="0.2">
      <c r="A494" s="77"/>
      <c r="B494" s="77"/>
      <c r="C494" s="127" t="s">
        <v>2391</v>
      </c>
      <c r="D494" s="78" t="s">
        <v>1736</v>
      </c>
      <c r="E494" s="88">
        <v>5823</v>
      </c>
      <c r="F494" s="84">
        <v>55.7</v>
      </c>
      <c r="G494" s="88"/>
      <c r="H494" s="84"/>
    </row>
    <row r="495" spans="1:8" ht="11.25" customHeight="1" x14ac:dyDescent="0.2">
      <c r="A495" s="5"/>
      <c r="B495" s="5"/>
      <c r="C495" s="5" t="s">
        <v>192</v>
      </c>
      <c r="D495" s="67" t="s">
        <v>653</v>
      </c>
      <c r="E495" s="27">
        <v>130</v>
      </c>
      <c r="F495" s="85">
        <v>1.2</v>
      </c>
      <c r="G495" s="27"/>
      <c r="H495" s="85"/>
    </row>
    <row r="496" spans="1:8" ht="11.25" customHeight="1" x14ac:dyDescent="0.2">
      <c r="A496" s="5"/>
      <c r="B496" s="5"/>
      <c r="C496" s="5" t="s">
        <v>2318</v>
      </c>
      <c r="D496" s="67"/>
      <c r="E496" s="155" t="s">
        <v>3209</v>
      </c>
      <c r="F496" s="158">
        <v>100</v>
      </c>
      <c r="G496" s="155">
        <v>21768</v>
      </c>
      <c r="H496" s="158">
        <v>48.13</v>
      </c>
    </row>
    <row r="497" spans="1:9" ht="11.25" customHeight="1" x14ac:dyDescent="0.2">
      <c r="C497" s="1" t="s">
        <v>2318</v>
      </c>
    </row>
    <row r="498" spans="1:9" ht="11.25" customHeight="1" x14ac:dyDescent="0.2">
      <c r="A498" s="4" t="s">
        <v>1567</v>
      </c>
      <c r="B498" s="4"/>
      <c r="C498" s="1" t="s">
        <v>193</v>
      </c>
      <c r="D498" s="4" t="s">
        <v>1072</v>
      </c>
      <c r="E498" s="16">
        <v>459</v>
      </c>
      <c r="F498" s="81">
        <v>6.2</v>
      </c>
    </row>
    <row r="499" spans="1:9" ht="11.25" customHeight="1" x14ac:dyDescent="0.2">
      <c r="A499" s="79"/>
      <c r="B499" s="79"/>
      <c r="C499" s="79" t="s">
        <v>194</v>
      </c>
      <c r="D499" s="79" t="s">
        <v>655</v>
      </c>
      <c r="E499" s="90">
        <v>1349</v>
      </c>
      <c r="F499" s="91">
        <v>18.100000000000001</v>
      </c>
      <c r="G499" s="90"/>
      <c r="H499" s="91"/>
    </row>
    <row r="500" spans="1:9" ht="11.25" customHeight="1" x14ac:dyDescent="0.2">
      <c r="A500" s="18"/>
      <c r="B500" s="18"/>
      <c r="C500" s="20" t="s">
        <v>3266</v>
      </c>
      <c r="D500" s="18" t="s">
        <v>1736</v>
      </c>
      <c r="E500" s="90">
        <v>4038</v>
      </c>
      <c r="F500" s="91">
        <v>54.1</v>
      </c>
      <c r="G500" s="90"/>
      <c r="H500" s="91"/>
    </row>
    <row r="501" spans="1:9" ht="11.25" customHeight="1" x14ac:dyDescent="0.2">
      <c r="C501" s="1" t="s">
        <v>195</v>
      </c>
      <c r="D501" s="4" t="s">
        <v>484</v>
      </c>
      <c r="E501" s="16">
        <v>1611</v>
      </c>
      <c r="F501" s="81">
        <v>21.6</v>
      </c>
    </row>
    <row r="502" spans="1:9" ht="11.25" customHeight="1" x14ac:dyDescent="0.2">
      <c r="C502" s="1" t="s">
        <v>2318</v>
      </c>
      <c r="E502" s="155" t="s">
        <v>3210</v>
      </c>
      <c r="F502" s="158">
        <v>100</v>
      </c>
      <c r="G502" s="155">
        <v>13254</v>
      </c>
      <c r="H502" s="164">
        <v>56.35</v>
      </c>
    </row>
    <row r="503" spans="1:9" ht="11.25" customHeight="1" x14ac:dyDescent="0.2"/>
    <row r="504" spans="1:9" ht="11.25" customHeight="1" x14ac:dyDescent="0.2"/>
    <row r="505" spans="1:9" s="26" customFormat="1" ht="11.25" customHeight="1" x14ac:dyDescent="0.2">
      <c r="A505" s="145" t="s">
        <v>1131</v>
      </c>
      <c r="B505" s="145"/>
      <c r="C505" s="145"/>
      <c r="D505" s="149"/>
      <c r="E505" s="147" t="s">
        <v>760</v>
      </c>
      <c r="F505" s="148"/>
      <c r="G505" s="147">
        <f>SUM(G5:G504)</f>
        <v>1505351</v>
      </c>
      <c r="H505" s="150">
        <f>(713654+1722)/G505*100</f>
        <v>47.522205784564534</v>
      </c>
    </row>
    <row r="506" spans="1:9" ht="11.25" customHeight="1" x14ac:dyDescent="0.2">
      <c r="G506" s="31"/>
      <c r="I506" s="21"/>
    </row>
    <row r="507" spans="1:9" s="5" customFormat="1" ht="11.25" customHeight="1" x14ac:dyDescent="0.2">
      <c r="A507" s="6" t="s">
        <v>1289</v>
      </c>
      <c r="B507" s="6"/>
      <c r="C507" s="8"/>
      <c r="D507" s="8"/>
      <c r="E507" s="93"/>
      <c r="F507" s="108"/>
      <c r="G507" s="99"/>
      <c r="H507" s="82"/>
    </row>
    <row r="508" spans="1:9" ht="11.25" customHeight="1" x14ac:dyDescent="0.2">
      <c r="A508" s="273" t="s">
        <v>2934</v>
      </c>
      <c r="B508" s="273"/>
      <c r="C508" s="273"/>
      <c r="D508" s="273"/>
      <c r="E508" s="273"/>
      <c r="F508" s="273"/>
      <c r="G508" s="273"/>
      <c r="H508" s="273"/>
    </row>
    <row r="509" spans="1:9" s="26" customFormat="1" ht="11.25" customHeight="1" x14ac:dyDescent="0.2">
      <c r="A509" s="274" t="s">
        <v>1303</v>
      </c>
      <c r="B509" s="274"/>
      <c r="C509" s="274"/>
      <c r="D509" s="274"/>
      <c r="E509" s="274"/>
      <c r="F509" s="274"/>
      <c r="G509" s="274"/>
      <c r="H509" s="274"/>
    </row>
    <row r="510" spans="1:9" s="26" customFormat="1" ht="11.25" customHeight="1" x14ac:dyDescent="0.2">
      <c r="A510" s="273" t="s">
        <v>2932</v>
      </c>
      <c r="B510" s="273"/>
      <c r="C510" s="273"/>
      <c r="D510" s="273"/>
      <c r="E510" s="273"/>
      <c r="F510" s="273"/>
      <c r="G510" s="273"/>
      <c r="H510" s="273"/>
    </row>
    <row r="511" spans="1:9" ht="11.25" customHeight="1" x14ac:dyDescent="0.2"/>
  </sheetData>
  <mergeCells count="5">
    <mergeCell ref="A510:H510"/>
    <mergeCell ref="A509:H509"/>
    <mergeCell ref="A1:H1"/>
    <mergeCell ref="F2:H2"/>
    <mergeCell ref="A508:H508"/>
  </mergeCells>
  <phoneticPr fontId="0" type="noConversion"/>
  <pageMargins left="0.5" right="0.16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4"/>
  <sheetViews>
    <sheetView zoomScaleNormal="100" workbookViewId="0">
      <pane ySplit="3" topLeftCell="A412" activePane="bottomLeft" state="frozen"/>
      <selection activeCell="G3" sqref="G3"/>
      <selection pane="bottomLeft" activeCell="A432" sqref="A432:IV432"/>
    </sheetView>
  </sheetViews>
  <sheetFormatPr defaultRowHeight="11.25" x14ac:dyDescent="0.2"/>
  <cols>
    <col min="1" max="1" width="20.7109375" style="1" customWidth="1"/>
    <col min="2" max="2" width="2.7109375" style="1" customWidth="1"/>
    <col min="3" max="3" width="20.7109375" style="1" customWidth="1"/>
    <col min="4" max="4" width="18.7109375" style="4" customWidth="1"/>
    <col min="5" max="5" width="9.7109375" style="16" customWidth="1"/>
    <col min="6" max="6" width="9.7109375" style="81" customWidth="1"/>
    <col min="7" max="7" width="8.7109375" style="16" customWidth="1"/>
    <col min="8" max="8" width="7.7109375" style="82" customWidth="1"/>
    <col min="9" max="16384" width="9.140625" style="1"/>
  </cols>
  <sheetData>
    <row r="1" spans="1:8" s="71" customFormat="1" ht="24" customHeight="1" x14ac:dyDescent="0.2">
      <c r="A1" s="270" t="s">
        <v>2332</v>
      </c>
      <c r="B1" s="270"/>
      <c r="C1" s="270"/>
      <c r="D1" s="270"/>
      <c r="E1" s="270"/>
      <c r="F1" s="270"/>
      <c r="G1" s="270"/>
      <c r="H1" s="270"/>
    </row>
    <row r="2" spans="1:8" s="48" customFormat="1" ht="42" customHeight="1" thickBot="1" x14ac:dyDescent="0.25">
      <c r="A2" s="36" t="s">
        <v>2241</v>
      </c>
      <c r="B2" s="36"/>
      <c r="C2" s="126"/>
      <c r="D2" s="75" t="s">
        <v>3254</v>
      </c>
      <c r="E2" s="89"/>
      <c r="F2" s="271" t="s">
        <v>2933</v>
      </c>
      <c r="G2" s="271"/>
      <c r="H2" s="271"/>
    </row>
    <row r="3" spans="1:8" s="57" customFormat="1" ht="52.5" customHeight="1" thickBot="1" x14ac:dyDescent="0.25">
      <c r="A3" s="58" t="s">
        <v>1284</v>
      </c>
      <c r="B3" s="59"/>
      <c r="C3" s="59" t="s">
        <v>1300</v>
      </c>
      <c r="D3" s="59" t="s">
        <v>2652</v>
      </c>
      <c r="E3" s="73" t="s">
        <v>1301</v>
      </c>
      <c r="F3" s="74" t="s">
        <v>1286</v>
      </c>
      <c r="G3" s="73" t="s">
        <v>1287</v>
      </c>
      <c r="H3" s="74" t="s">
        <v>1302</v>
      </c>
    </row>
    <row r="4" spans="1:8" s="45" customFormat="1" ht="11.25" customHeight="1" x14ac:dyDescent="0.2">
      <c r="A4" s="60"/>
      <c r="B4" s="60"/>
      <c r="C4" s="76"/>
      <c r="D4" s="66"/>
      <c r="E4" s="87"/>
      <c r="F4" s="80"/>
      <c r="G4" s="87"/>
      <c r="H4" s="80"/>
    </row>
    <row r="5" spans="1:8" ht="11.25" customHeight="1" x14ac:dyDescent="0.2">
      <c r="A5" s="1" t="s">
        <v>1126</v>
      </c>
      <c r="C5" s="2" t="s">
        <v>2314</v>
      </c>
      <c r="D5" s="4" t="s">
        <v>1736</v>
      </c>
      <c r="E5" s="16">
        <v>4237</v>
      </c>
      <c r="F5" s="81">
        <v>45.2</v>
      </c>
    </row>
    <row r="6" spans="1:8" ht="11.25" customHeight="1" x14ac:dyDescent="0.2">
      <c r="C6" s="1" t="s">
        <v>1291</v>
      </c>
      <c r="D6" s="4" t="s">
        <v>1072</v>
      </c>
      <c r="E6" s="16">
        <v>1791</v>
      </c>
      <c r="F6" s="81">
        <v>19.100000000000001</v>
      </c>
    </row>
    <row r="7" spans="1:8" ht="11.25" customHeight="1" x14ac:dyDescent="0.2">
      <c r="C7" s="1" t="s">
        <v>2228</v>
      </c>
      <c r="D7" s="4" t="s">
        <v>655</v>
      </c>
      <c r="E7" s="16">
        <v>3342</v>
      </c>
      <c r="F7" s="81">
        <v>35.700000000000003</v>
      </c>
    </row>
    <row r="8" spans="1:8" ht="11.25" customHeight="1" x14ac:dyDescent="0.2">
      <c r="C8" s="1" t="s">
        <v>2318</v>
      </c>
      <c r="E8" s="155" t="s">
        <v>3054</v>
      </c>
      <c r="F8" s="158">
        <v>100</v>
      </c>
      <c r="G8" s="155">
        <v>13933</v>
      </c>
      <c r="H8" s="164">
        <v>67.47</v>
      </c>
    </row>
    <row r="9" spans="1:8" ht="11.25" customHeight="1" x14ac:dyDescent="0.2">
      <c r="C9" s="1" t="s">
        <v>2318</v>
      </c>
    </row>
    <row r="10" spans="1:8" ht="11.25" customHeight="1" x14ac:dyDescent="0.2">
      <c r="A10" s="1" t="s">
        <v>1008</v>
      </c>
      <c r="C10" s="2" t="s">
        <v>1292</v>
      </c>
      <c r="D10" s="4" t="s">
        <v>1736</v>
      </c>
      <c r="E10" s="16">
        <v>4389</v>
      </c>
      <c r="F10" s="81">
        <v>51</v>
      </c>
    </row>
    <row r="11" spans="1:8" ht="11.25" customHeight="1" x14ac:dyDescent="0.2">
      <c r="C11" s="1" t="s">
        <v>1293</v>
      </c>
      <c r="D11" s="4" t="s">
        <v>655</v>
      </c>
      <c r="E11" s="16">
        <v>1802</v>
      </c>
      <c r="F11" s="81">
        <v>21</v>
      </c>
    </row>
    <row r="12" spans="1:8" ht="11.25" customHeight="1" x14ac:dyDescent="0.2">
      <c r="C12" s="1" t="s">
        <v>1294</v>
      </c>
      <c r="D12" s="4" t="s">
        <v>1072</v>
      </c>
      <c r="E12" s="16">
        <v>2411</v>
      </c>
      <c r="F12" s="81">
        <v>28</v>
      </c>
    </row>
    <row r="13" spans="1:8" ht="11.25" customHeight="1" x14ac:dyDescent="0.2">
      <c r="C13" s="1" t="s">
        <v>2318</v>
      </c>
      <c r="E13" s="155" t="s">
        <v>1423</v>
      </c>
      <c r="F13" s="158">
        <v>100</v>
      </c>
      <c r="G13" s="155">
        <v>17665</v>
      </c>
      <c r="H13" s="164">
        <v>48.89</v>
      </c>
    </row>
    <row r="14" spans="1:8" ht="11.25" customHeight="1" x14ac:dyDescent="0.2">
      <c r="C14" s="1" t="s">
        <v>2318</v>
      </c>
    </row>
    <row r="15" spans="1:8" ht="11.25" customHeight="1" x14ac:dyDescent="0.2">
      <c r="A15" s="1" t="s">
        <v>1127</v>
      </c>
      <c r="C15" s="2" t="s">
        <v>1016</v>
      </c>
      <c r="D15" s="4" t="s">
        <v>1736</v>
      </c>
      <c r="E15" s="16">
        <v>5294</v>
      </c>
      <c r="F15" s="81">
        <v>57.5</v>
      </c>
    </row>
    <row r="16" spans="1:8" ht="11.25" customHeight="1" x14ac:dyDescent="0.2">
      <c r="C16" s="1" t="s">
        <v>1295</v>
      </c>
      <c r="D16" s="4" t="s">
        <v>1072</v>
      </c>
      <c r="E16" s="16">
        <v>1660</v>
      </c>
      <c r="F16" s="81">
        <v>18</v>
      </c>
    </row>
    <row r="17" spans="1:8" ht="11.25" customHeight="1" x14ac:dyDescent="0.2">
      <c r="C17" s="1" t="s">
        <v>1296</v>
      </c>
      <c r="D17" s="4" t="s">
        <v>655</v>
      </c>
      <c r="E17" s="16">
        <v>1673</v>
      </c>
      <c r="F17" s="81">
        <v>18.2</v>
      </c>
    </row>
    <row r="18" spans="1:8" ht="11.25" customHeight="1" x14ac:dyDescent="0.2">
      <c r="C18" s="1" t="s">
        <v>838</v>
      </c>
      <c r="D18" s="4" t="s">
        <v>1071</v>
      </c>
      <c r="E18" s="16">
        <v>578</v>
      </c>
      <c r="F18" s="81">
        <v>6.3</v>
      </c>
    </row>
    <row r="19" spans="1:8" ht="11.25" customHeight="1" x14ac:dyDescent="0.2">
      <c r="C19" s="1" t="s">
        <v>2318</v>
      </c>
      <c r="E19" s="155" t="s">
        <v>1424</v>
      </c>
      <c r="F19" s="158">
        <v>100</v>
      </c>
      <c r="G19" s="155">
        <v>14426</v>
      </c>
      <c r="H19" s="164">
        <v>63.92</v>
      </c>
    </row>
    <row r="20" spans="1:8" ht="11.25" customHeight="1" x14ac:dyDescent="0.2">
      <c r="C20" s="1" t="s">
        <v>2318</v>
      </c>
    </row>
    <row r="21" spans="1:8" ht="11.25" customHeight="1" x14ac:dyDescent="0.2">
      <c r="A21" s="1" t="s">
        <v>1974</v>
      </c>
      <c r="C21" s="1" t="s">
        <v>1297</v>
      </c>
      <c r="D21" s="4" t="s">
        <v>655</v>
      </c>
      <c r="E21" s="16">
        <v>1553</v>
      </c>
      <c r="F21" s="81">
        <v>23.2</v>
      </c>
    </row>
    <row r="22" spans="1:8" ht="11.25" customHeight="1" x14ac:dyDescent="0.2">
      <c r="C22" s="2" t="s">
        <v>1879</v>
      </c>
      <c r="D22" s="4" t="s">
        <v>1736</v>
      </c>
      <c r="E22" s="16">
        <v>3362</v>
      </c>
      <c r="F22" s="81">
        <v>50.3</v>
      </c>
    </row>
    <row r="23" spans="1:8" ht="11.25" customHeight="1" x14ac:dyDescent="0.2">
      <c r="C23" s="1" t="s">
        <v>1298</v>
      </c>
      <c r="D23" s="4" t="s">
        <v>1072</v>
      </c>
      <c r="E23" s="16">
        <v>1769</v>
      </c>
      <c r="F23" s="81">
        <v>26.5</v>
      </c>
    </row>
    <row r="24" spans="1:8" ht="11.25" customHeight="1" x14ac:dyDescent="0.2">
      <c r="C24" s="1" t="s">
        <v>2318</v>
      </c>
      <c r="E24" s="155" t="s">
        <v>1128</v>
      </c>
      <c r="F24" s="158">
        <v>100</v>
      </c>
      <c r="G24" s="155">
        <v>15127</v>
      </c>
      <c r="H24" s="164">
        <v>44.27</v>
      </c>
    </row>
    <row r="25" spans="1:8" ht="11.25" customHeight="1" x14ac:dyDescent="0.2">
      <c r="C25" s="1" t="s">
        <v>2318</v>
      </c>
    </row>
    <row r="26" spans="1:8" ht="11.25" customHeight="1" x14ac:dyDescent="0.2">
      <c r="A26" s="1" t="s">
        <v>1975</v>
      </c>
      <c r="C26" s="1" t="s">
        <v>1299</v>
      </c>
      <c r="D26" s="4" t="s">
        <v>655</v>
      </c>
      <c r="E26" s="16">
        <v>666</v>
      </c>
      <c r="F26" s="81">
        <v>11.8</v>
      </c>
    </row>
    <row r="27" spans="1:8" ht="11.25" customHeight="1" x14ac:dyDescent="0.2">
      <c r="C27" s="2" t="s">
        <v>38</v>
      </c>
      <c r="D27" s="4" t="s">
        <v>1736</v>
      </c>
      <c r="E27" s="16">
        <v>3405</v>
      </c>
      <c r="F27" s="81">
        <v>60.5</v>
      </c>
    </row>
    <row r="28" spans="1:8" ht="11.25" customHeight="1" x14ac:dyDescent="0.2">
      <c r="C28" s="1" t="s">
        <v>1238</v>
      </c>
      <c r="D28" s="4" t="s">
        <v>1072</v>
      </c>
      <c r="E28" s="16">
        <v>1561</v>
      </c>
      <c r="F28" s="81">
        <v>27.7</v>
      </c>
    </row>
    <row r="29" spans="1:8" ht="11.25" customHeight="1" x14ac:dyDescent="0.2">
      <c r="C29" s="1" t="s">
        <v>2318</v>
      </c>
      <c r="E29" s="155" t="s">
        <v>1129</v>
      </c>
      <c r="F29" s="158">
        <v>100</v>
      </c>
      <c r="G29" s="155">
        <v>11486</v>
      </c>
      <c r="H29" s="164">
        <v>49.14</v>
      </c>
    </row>
    <row r="30" spans="1:8" ht="11.25" customHeight="1" x14ac:dyDescent="0.2">
      <c r="C30" s="1" t="s">
        <v>2318</v>
      </c>
    </row>
    <row r="31" spans="1:8" ht="11.25" customHeight="1" x14ac:dyDescent="0.2">
      <c r="A31" s="1" t="s">
        <v>2354</v>
      </c>
      <c r="C31" s="1" t="s">
        <v>39</v>
      </c>
      <c r="D31" s="4" t="s">
        <v>1072</v>
      </c>
      <c r="E31" s="16">
        <v>3892</v>
      </c>
      <c r="F31" s="81">
        <v>34.200000000000003</v>
      </c>
    </row>
    <row r="32" spans="1:8" ht="11.25" customHeight="1" x14ac:dyDescent="0.2">
      <c r="C32" s="1" t="s">
        <v>40</v>
      </c>
      <c r="D32" s="4" t="s">
        <v>655</v>
      </c>
      <c r="E32" s="16">
        <v>3513</v>
      </c>
      <c r="F32" s="81">
        <v>30.9</v>
      </c>
    </row>
    <row r="33" spans="1:8" ht="11.25" customHeight="1" x14ac:dyDescent="0.2">
      <c r="C33" s="2" t="s">
        <v>2325</v>
      </c>
      <c r="D33" s="4" t="s">
        <v>1736</v>
      </c>
      <c r="E33" s="16">
        <v>3968</v>
      </c>
      <c r="F33" s="81">
        <v>34.9</v>
      </c>
    </row>
    <row r="34" spans="1:8" ht="11.25" customHeight="1" x14ac:dyDescent="0.2">
      <c r="C34" s="1" t="s">
        <v>2318</v>
      </c>
      <c r="E34" s="155" t="s">
        <v>3055</v>
      </c>
      <c r="F34" s="158">
        <v>100</v>
      </c>
      <c r="G34" s="155">
        <v>21907</v>
      </c>
      <c r="H34" s="164">
        <v>52.12</v>
      </c>
    </row>
    <row r="35" spans="1:8" ht="11.25" customHeight="1" x14ac:dyDescent="0.2">
      <c r="C35" s="1" t="s">
        <v>2318</v>
      </c>
    </row>
    <row r="36" spans="1:8" ht="11.25" customHeight="1" x14ac:dyDescent="0.2">
      <c r="A36" s="1" t="s">
        <v>2360</v>
      </c>
      <c r="C36" s="2" t="s">
        <v>41</v>
      </c>
      <c r="D36" s="4" t="s">
        <v>1072</v>
      </c>
      <c r="E36" s="16">
        <v>7014</v>
      </c>
      <c r="F36" s="81">
        <v>61.1</v>
      </c>
    </row>
    <row r="37" spans="1:8" ht="11.25" customHeight="1" x14ac:dyDescent="0.2">
      <c r="C37" s="1" t="s">
        <v>42</v>
      </c>
      <c r="D37" s="4" t="s">
        <v>655</v>
      </c>
      <c r="E37" s="16">
        <v>877</v>
      </c>
      <c r="F37" s="81">
        <v>7.6</v>
      </c>
    </row>
    <row r="38" spans="1:8" ht="11.25" customHeight="1" x14ac:dyDescent="0.2">
      <c r="C38" s="1" t="s">
        <v>43</v>
      </c>
      <c r="D38" s="4" t="s">
        <v>1736</v>
      </c>
      <c r="E38" s="16">
        <v>3601</v>
      </c>
      <c r="F38" s="81">
        <v>31.3</v>
      </c>
    </row>
    <row r="39" spans="1:8" ht="11.25" customHeight="1" x14ac:dyDescent="0.2">
      <c r="C39" s="1" t="s">
        <v>2318</v>
      </c>
      <c r="E39" s="155" t="s">
        <v>713</v>
      </c>
      <c r="F39" s="158">
        <v>100</v>
      </c>
      <c r="G39" s="155">
        <v>26433</v>
      </c>
      <c r="H39" s="164">
        <v>43.6</v>
      </c>
    </row>
    <row r="40" spans="1:8" ht="11.25" customHeight="1" x14ac:dyDescent="0.2">
      <c r="C40" s="1" t="s">
        <v>2318</v>
      </c>
    </row>
    <row r="41" spans="1:8" ht="11.25" customHeight="1" x14ac:dyDescent="0.2">
      <c r="A41" s="1" t="s">
        <v>1963</v>
      </c>
      <c r="C41" s="2" t="s">
        <v>1882</v>
      </c>
      <c r="D41" s="4" t="s">
        <v>1736</v>
      </c>
      <c r="E41" s="16">
        <v>5072</v>
      </c>
      <c r="F41" s="81">
        <v>49.6</v>
      </c>
    </row>
    <row r="42" spans="1:8" ht="11.25" customHeight="1" x14ac:dyDescent="0.2">
      <c r="C42" s="1" t="s">
        <v>1136</v>
      </c>
      <c r="D42" s="4" t="s">
        <v>1072</v>
      </c>
      <c r="E42" s="16">
        <v>3434</v>
      </c>
      <c r="F42" s="81">
        <v>33.6</v>
      </c>
    </row>
    <row r="43" spans="1:8" ht="11.25" customHeight="1" x14ac:dyDescent="0.2">
      <c r="C43" s="1" t="s">
        <v>1261</v>
      </c>
      <c r="D43" s="4" t="s">
        <v>655</v>
      </c>
      <c r="E43" s="16">
        <v>1716</v>
      </c>
      <c r="F43" s="81">
        <v>16.8</v>
      </c>
    </row>
    <row r="44" spans="1:8" ht="11.25" customHeight="1" x14ac:dyDescent="0.2">
      <c r="C44" s="1" t="s">
        <v>2318</v>
      </c>
      <c r="E44" s="155" t="s">
        <v>714</v>
      </c>
      <c r="F44" s="158">
        <v>100</v>
      </c>
      <c r="G44" s="155">
        <v>19824</v>
      </c>
      <c r="H44" s="164">
        <v>51.74</v>
      </c>
    </row>
    <row r="45" spans="1:8" ht="11.25" customHeight="1" x14ac:dyDescent="0.2">
      <c r="C45" s="1" t="s">
        <v>2318</v>
      </c>
    </row>
    <row r="46" spans="1:8" ht="11.25" customHeight="1" x14ac:dyDescent="0.2">
      <c r="A46" s="1" t="s">
        <v>1855</v>
      </c>
      <c r="C46" s="2" t="s">
        <v>1887</v>
      </c>
      <c r="D46" s="4" t="s">
        <v>1736</v>
      </c>
      <c r="E46" s="16">
        <v>5272</v>
      </c>
      <c r="F46" s="81">
        <v>52.5</v>
      </c>
    </row>
    <row r="47" spans="1:8" ht="11.25" customHeight="1" x14ac:dyDescent="0.2">
      <c r="C47" s="1" t="s">
        <v>2342</v>
      </c>
      <c r="D47" s="4" t="s">
        <v>655</v>
      </c>
      <c r="E47" s="16">
        <v>1864</v>
      </c>
      <c r="F47" s="81">
        <v>18.600000000000001</v>
      </c>
    </row>
    <row r="48" spans="1:8" ht="11.25" customHeight="1" x14ac:dyDescent="0.2">
      <c r="C48" s="1" t="s">
        <v>44</v>
      </c>
      <c r="D48" s="4" t="s">
        <v>1072</v>
      </c>
      <c r="E48" s="16">
        <v>2907</v>
      </c>
      <c r="F48" s="81">
        <v>28.9</v>
      </c>
    </row>
    <row r="49" spans="1:8" ht="11.25" customHeight="1" x14ac:dyDescent="0.2">
      <c r="C49" s="1" t="s">
        <v>2318</v>
      </c>
      <c r="E49" s="155" t="s">
        <v>963</v>
      </c>
      <c r="F49" s="158">
        <v>100</v>
      </c>
      <c r="G49" s="155">
        <v>20494</v>
      </c>
      <c r="H49" s="164">
        <v>49.14</v>
      </c>
    </row>
    <row r="50" spans="1:8" ht="11.25" customHeight="1" x14ac:dyDescent="0.2">
      <c r="C50" s="1" t="s">
        <v>2318</v>
      </c>
    </row>
    <row r="51" spans="1:8" ht="11.25" customHeight="1" x14ac:dyDescent="0.2">
      <c r="A51" s="1" t="s">
        <v>1860</v>
      </c>
      <c r="C51" s="1" t="s">
        <v>45</v>
      </c>
      <c r="D51" s="4" t="s">
        <v>1072</v>
      </c>
      <c r="E51" s="16">
        <v>3682</v>
      </c>
      <c r="F51" s="81">
        <v>40.6</v>
      </c>
    </row>
    <row r="52" spans="1:8" ht="11.25" customHeight="1" x14ac:dyDescent="0.2">
      <c r="C52" s="1" t="s">
        <v>46</v>
      </c>
      <c r="D52" s="4" t="s">
        <v>653</v>
      </c>
      <c r="E52" s="16">
        <v>174</v>
      </c>
      <c r="F52" s="81">
        <v>1.9</v>
      </c>
    </row>
    <row r="53" spans="1:8" ht="11.25" customHeight="1" x14ac:dyDescent="0.2">
      <c r="C53" s="1" t="s">
        <v>47</v>
      </c>
      <c r="D53" s="4" t="s">
        <v>655</v>
      </c>
      <c r="E53" s="16">
        <v>719</v>
      </c>
      <c r="F53" s="81">
        <v>7.9</v>
      </c>
    </row>
    <row r="54" spans="1:8" ht="11.25" customHeight="1" x14ac:dyDescent="0.2">
      <c r="C54" s="2" t="s">
        <v>1861</v>
      </c>
      <c r="D54" s="4" t="s">
        <v>1736</v>
      </c>
      <c r="E54" s="16">
        <v>4505</v>
      </c>
      <c r="F54" s="81">
        <v>49.6</v>
      </c>
    </row>
    <row r="55" spans="1:8" ht="11.25" customHeight="1" x14ac:dyDescent="0.2">
      <c r="C55" s="1" t="s">
        <v>2318</v>
      </c>
      <c r="E55" s="155" t="s">
        <v>964</v>
      </c>
      <c r="F55" s="158">
        <v>100</v>
      </c>
      <c r="G55" s="155">
        <v>17794</v>
      </c>
      <c r="H55" s="164">
        <v>51.12</v>
      </c>
    </row>
    <row r="56" spans="1:8" ht="11.25" customHeight="1" x14ac:dyDescent="0.2">
      <c r="C56" s="1" t="s">
        <v>2318</v>
      </c>
    </row>
    <row r="57" spans="1:8" ht="11.25" customHeight="1" x14ac:dyDescent="0.2">
      <c r="A57" s="1" t="s">
        <v>1865</v>
      </c>
      <c r="C57" s="1" t="s">
        <v>48</v>
      </c>
      <c r="D57" s="4" t="s">
        <v>1072</v>
      </c>
      <c r="E57" s="16">
        <v>5517</v>
      </c>
      <c r="F57" s="81">
        <v>37.799999999999997</v>
      </c>
    </row>
    <row r="58" spans="1:8" ht="11.25" customHeight="1" x14ac:dyDescent="0.2">
      <c r="C58" s="2" t="s">
        <v>1883</v>
      </c>
      <c r="D58" s="4" t="s">
        <v>1736</v>
      </c>
      <c r="E58" s="16">
        <v>6996</v>
      </c>
      <c r="F58" s="81">
        <v>48</v>
      </c>
    </row>
    <row r="59" spans="1:8" ht="11.25" customHeight="1" x14ac:dyDescent="0.2">
      <c r="C59" s="1" t="s">
        <v>49</v>
      </c>
      <c r="D59" s="4" t="s">
        <v>655</v>
      </c>
      <c r="E59" s="16">
        <v>2071</v>
      </c>
      <c r="F59" s="81">
        <v>14.2</v>
      </c>
    </row>
    <row r="60" spans="1:8" ht="11.25" customHeight="1" x14ac:dyDescent="0.2">
      <c r="C60" s="1" t="s">
        <v>2318</v>
      </c>
      <c r="E60" s="155" t="s">
        <v>965</v>
      </c>
      <c r="F60" s="158">
        <v>100</v>
      </c>
      <c r="G60" s="155">
        <v>30831</v>
      </c>
      <c r="H60" s="164">
        <v>47.42</v>
      </c>
    </row>
    <row r="61" spans="1:8" ht="11.25" customHeight="1" x14ac:dyDescent="0.2">
      <c r="C61" s="1" t="s">
        <v>2318</v>
      </c>
    </row>
    <row r="62" spans="1:8" ht="11.25" customHeight="1" x14ac:dyDescent="0.2">
      <c r="A62" s="1" t="s">
        <v>1869</v>
      </c>
      <c r="C62" s="1" t="s">
        <v>50</v>
      </c>
      <c r="D62" s="4" t="s">
        <v>655</v>
      </c>
      <c r="E62" s="16">
        <v>4133</v>
      </c>
      <c r="F62" s="81">
        <v>28.8</v>
      </c>
    </row>
    <row r="63" spans="1:8" ht="11.25" customHeight="1" x14ac:dyDescent="0.2">
      <c r="C63" s="2" t="s">
        <v>1147</v>
      </c>
      <c r="D63" s="4" t="s">
        <v>1736</v>
      </c>
      <c r="E63" s="16">
        <v>5341</v>
      </c>
      <c r="F63" s="81">
        <v>37.299999999999997</v>
      </c>
    </row>
    <row r="64" spans="1:8" ht="11.25" customHeight="1" x14ac:dyDescent="0.2">
      <c r="C64" s="1" t="s">
        <v>51</v>
      </c>
      <c r="D64" s="4" t="s">
        <v>1072</v>
      </c>
      <c r="E64" s="16">
        <v>4866</v>
      </c>
      <c r="F64" s="81">
        <v>33.9</v>
      </c>
    </row>
    <row r="65" spans="1:8" ht="11.25" customHeight="1" x14ac:dyDescent="0.2">
      <c r="C65" s="1" t="s">
        <v>2318</v>
      </c>
      <c r="E65" s="155" t="s">
        <v>966</v>
      </c>
      <c r="F65" s="158">
        <v>100</v>
      </c>
      <c r="G65" s="155">
        <v>23779</v>
      </c>
      <c r="H65" s="164">
        <v>60.49</v>
      </c>
    </row>
    <row r="66" spans="1:8" ht="11.25" customHeight="1" x14ac:dyDescent="0.2">
      <c r="C66" s="1" t="s">
        <v>2318</v>
      </c>
    </row>
    <row r="67" spans="1:8" ht="11.25" customHeight="1" x14ac:dyDescent="0.2">
      <c r="A67" s="1" t="s">
        <v>967</v>
      </c>
      <c r="C67" s="1" t="s">
        <v>52</v>
      </c>
      <c r="D67" s="4" t="s">
        <v>1736</v>
      </c>
      <c r="E67" s="16">
        <v>3177</v>
      </c>
      <c r="F67" s="81">
        <v>35.1</v>
      </c>
    </row>
    <row r="68" spans="1:8" ht="11.25" customHeight="1" x14ac:dyDescent="0.2">
      <c r="C68" s="1" t="s">
        <v>53</v>
      </c>
      <c r="D68" s="4" t="s">
        <v>1072</v>
      </c>
      <c r="E68" s="16">
        <v>1584</v>
      </c>
      <c r="F68" s="81">
        <v>17.5</v>
      </c>
    </row>
    <row r="69" spans="1:8" ht="11.25" customHeight="1" x14ac:dyDescent="0.2">
      <c r="C69" s="1" t="s">
        <v>54</v>
      </c>
      <c r="D69" s="4" t="s">
        <v>653</v>
      </c>
      <c r="E69" s="16">
        <v>294</v>
      </c>
      <c r="F69" s="81">
        <v>3.3</v>
      </c>
    </row>
    <row r="70" spans="1:8" ht="11.25" customHeight="1" x14ac:dyDescent="0.2">
      <c r="C70" s="2" t="s">
        <v>2267</v>
      </c>
      <c r="D70" s="4" t="s">
        <v>655</v>
      </c>
      <c r="E70" s="16">
        <v>3994</v>
      </c>
      <c r="F70" s="81">
        <v>41.1</v>
      </c>
    </row>
    <row r="71" spans="1:8" ht="11.25" customHeight="1" x14ac:dyDescent="0.2">
      <c r="C71" s="1" t="s">
        <v>2318</v>
      </c>
      <c r="E71" s="155" t="s">
        <v>3056</v>
      </c>
      <c r="F71" s="158">
        <v>100</v>
      </c>
      <c r="G71" s="155">
        <v>23968</v>
      </c>
      <c r="H71" s="164">
        <v>37.86</v>
      </c>
    </row>
    <row r="72" spans="1:8" ht="11.25" customHeight="1" x14ac:dyDescent="0.2">
      <c r="C72" s="1" t="s">
        <v>2318</v>
      </c>
    </row>
    <row r="73" spans="1:8" ht="11.25" customHeight="1" x14ac:dyDescent="0.2">
      <c r="A73" s="1" t="s">
        <v>3211</v>
      </c>
      <c r="C73" s="1" t="s">
        <v>55</v>
      </c>
      <c r="D73" s="4" t="s">
        <v>655</v>
      </c>
      <c r="E73" s="16">
        <v>1197</v>
      </c>
      <c r="F73" s="81">
        <v>10.5</v>
      </c>
    </row>
    <row r="74" spans="1:8" ht="11.25" customHeight="1" x14ac:dyDescent="0.2">
      <c r="C74" s="1" t="s">
        <v>1853</v>
      </c>
      <c r="D74" s="4" t="s">
        <v>1072</v>
      </c>
      <c r="E74" s="16">
        <v>4587</v>
      </c>
      <c r="F74" s="81">
        <v>40.200000000000003</v>
      </c>
    </row>
    <row r="75" spans="1:8" ht="11.25" customHeight="1" x14ac:dyDescent="0.2">
      <c r="C75" s="2" t="s">
        <v>56</v>
      </c>
      <c r="D75" s="4" t="s">
        <v>1736</v>
      </c>
      <c r="E75" s="16">
        <v>5189</v>
      </c>
      <c r="F75" s="81">
        <v>45.5</v>
      </c>
    </row>
    <row r="76" spans="1:8" ht="11.25" customHeight="1" x14ac:dyDescent="0.2">
      <c r="C76" s="1" t="s">
        <v>57</v>
      </c>
      <c r="D76" s="4" t="s">
        <v>653</v>
      </c>
      <c r="E76" s="16">
        <v>437</v>
      </c>
      <c r="F76" s="81">
        <v>3.8</v>
      </c>
    </row>
    <row r="77" spans="1:8" ht="11.25" customHeight="1" x14ac:dyDescent="0.2">
      <c r="C77" s="1" t="s">
        <v>2318</v>
      </c>
      <c r="E77" s="155" t="s">
        <v>968</v>
      </c>
      <c r="F77" s="158">
        <v>100</v>
      </c>
      <c r="G77" s="155">
        <v>20902</v>
      </c>
      <c r="H77" s="164">
        <v>54.7</v>
      </c>
    </row>
    <row r="78" spans="1:8" ht="11.25" customHeight="1" x14ac:dyDescent="0.2">
      <c r="C78" s="1" t="s">
        <v>2318</v>
      </c>
    </row>
    <row r="79" spans="1:8" ht="11.25" customHeight="1" x14ac:dyDescent="0.2">
      <c r="A79" s="1" t="s">
        <v>3220</v>
      </c>
      <c r="C79" s="1" t="s">
        <v>58</v>
      </c>
      <c r="D79" s="4" t="s">
        <v>1072</v>
      </c>
      <c r="E79" s="16">
        <v>3032</v>
      </c>
      <c r="F79" s="81">
        <v>26.5</v>
      </c>
    </row>
    <row r="80" spans="1:8" ht="11.25" customHeight="1" x14ac:dyDescent="0.2">
      <c r="C80" s="2" t="s">
        <v>59</v>
      </c>
      <c r="D80" s="4" t="s">
        <v>1736</v>
      </c>
      <c r="E80" s="16">
        <v>5109</v>
      </c>
      <c r="F80" s="81">
        <v>44.6</v>
      </c>
    </row>
    <row r="81" spans="1:8" ht="11.25" customHeight="1" x14ac:dyDescent="0.2">
      <c r="C81" s="1" t="s">
        <v>3086</v>
      </c>
      <c r="D81" s="4" t="s">
        <v>655</v>
      </c>
      <c r="E81" s="16">
        <v>3311</v>
      </c>
      <c r="F81" s="81">
        <v>28.9</v>
      </c>
    </row>
    <row r="82" spans="1:8" ht="11.25" customHeight="1" x14ac:dyDescent="0.2">
      <c r="C82" s="1" t="s">
        <v>2318</v>
      </c>
      <c r="E82" s="155" t="s">
        <v>1413</v>
      </c>
      <c r="F82" s="158">
        <v>100</v>
      </c>
      <c r="G82" s="155">
        <v>29242</v>
      </c>
      <c r="H82" s="164">
        <v>39.24</v>
      </c>
    </row>
    <row r="83" spans="1:8" ht="11.25" customHeight="1" x14ac:dyDescent="0.2">
      <c r="C83" s="1" t="s">
        <v>2318</v>
      </c>
    </row>
    <row r="84" spans="1:8" ht="11.25" customHeight="1" x14ac:dyDescent="0.2">
      <c r="A84" s="1" t="s">
        <v>1414</v>
      </c>
      <c r="C84" s="1" t="s">
        <v>60</v>
      </c>
      <c r="D84" s="4" t="s">
        <v>655</v>
      </c>
      <c r="E84" s="16">
        <v>2371</v>
      </c>
      <c r="F84" s="81">
        <v>19.2</v>
      </c>
    </row>
    <row r="85" spans="1:8" ht="11.25" customHeight="1" x14ac:dyDescent="0.2">
      <c r="C85" s="2" t="s">
        <v>61</v>
      </c>
      <c r="D85" s="4" t="s">
        <v>1072</v>
      </c>
      <c r="E85" s="16">
        <v>5303</v>
      </c>
      <c r="F85" s="81">
        <v>42.8</v>
      </c>
    </row>
    <row r="86" spans="1:8" ht="11.25" customHeight="1" x14ac:dyDescent="0.2">
      <c r="C86" s="1" t="s">
        <v>62</v>
      </c>
      <c r="D86" s="4" t="s">
        <v>1736</v>
      </c>
      <c r="E86" s="16">
        <v>4704</v>
      </c>
      <c r="F86" s="81">
        <v>38</v>
      </c>
    </row>
    <row r="87" spans="1:8" ht="11.25" customHeight="1" x14ac:dyDescent="0.2">
      <c r="C87" s="1" t="s">
        <v>2318</v>
      </c>
      <c r="E87" s="155" t="s">
        <v>1415</v>
      </c>
      <c r="F87" s="158">
        <v>100</v>
      </c>
      <c r="G87" s="155">
        <v>26617</v>
      </c>
      <c r="H87" s="164">
        <v>46.61</v>
      </c>
    </row>
    <row r="88" spans="1:8" ht="11.25" customHeight="1" x14ac:dyDescent="0.2">
      <c r="C88" s="1" t="s">
        <v>2318</v>
      </c>
    </row>
    <row r="89" spans="1:8" ht="11.25" customHeight="1" x14ac:dyDescent="0.2">
      <c r="A89" s="1" t="s">
        <v>1416</v>
      </c>
      <c r="C89" s="1" t="s">
        <v>63</v>
      </c>
      <c r="D89" s="4" t="s">
        <v>655</v>
      </c>
      <c r="E89" s="16">
        <v>3713</v>
      </c>
      <c r="F89" s="81">
        <v>41.6</v>
      </c>
    </row>
    <row r="90" spans="1:8" ht="11.25" customHeight="1" x14ac:dyDescent="0.2">
      <c r="C90" s="1" t="s">
        <v>64</v>
      </c>
      <c r="D90" s="4" t="s">
        <v>1072</v>
      </c>
      <c r="E90" s="16">
        <v>1366</v>
      </c>
      <c r="F90" s="81">
        <v>15.3</v>
      </c>
    </row>
    <row r="91" spans="1:8" ht="11.25" customHeight="1" x14ac:dyDescent="0.2">
      <c r="C91" s="2" t="s">
        <v>65</v>
      </c>
      <c r="D91" s="4" t="s">
        <v>1736</v>
      </c>
      <c r="E91" s="16">
        <v>3840</v>
      </c>
      <c r="F91" s="81">
        <v>43.1</v>
      </c>
    </row>
    <row r="92" spans="1:8" ht="11.25" customHeight="1" x14ac:dyDescent="0.2">
      <c r="C92" s="1" t="s">
        <v>2318</v>
      </c>
      <c r="E92" s="155" t="s">
        <v>1417</v>
      </c>
      <c r="F92" s="158">
        <v>100</v>
      </c>
      <c r="G92" s="155">
        <v>20329</v>
      </c>
      <c r="H92" s="164">
        <v>44</v>
      </c>
    </row>
    <row r="93" spans="1:8" ht="11.25" customHeight="1" x14ac:dyDescent="0.2">
      <c r="C93" s="1" t="s">
        <v>2318</v>
      </c>
    </row>
    <row r="94" spans="1:8" ht="11.25" customHeight="1" x14ac:dyDescent="0.2">
      <c r="A94" s="1" t="s">
        <v>3227</v>
      </c>
      <c r="C94" s="1" t="s">
        <v>66</v>
      </c>
      <c r="D94" s="4" t="s">
        <v>1072</v>
      </c>
      <c r="E94" s="16">
        <v>1605</v>
      </c>
      <c r="F94" s="81">
        <v>17.399999999999999</v>
      </c>
    </row>
    <row r="95" spans="1:8" ht="11.25" customHeight="1" x14ac:dyDescent="0.2">
      <c r="C95" s="1" t="s">
        <v>67</v>
      </c>
      <c r="D95" s="4" t="s">
        <v>655</v>
      </c>
      <c r="E95" s="16">
        <v>2585</v>
      </c>
      <c r="F95" s="81">
        <v>28</v>
      </c>
    </row>
    <row r="96" spans="1:8" ht="11.25" customHeight="1" x14ac:dyDescent="0.2">
      <c r="C96" s="2" t="s">
        <v>68</v>
      </c>
      <c r="D96" s="4" t="s">
        <v>1736</v>
      </c>
      <c r="E96" s="16">
        <v>5044</v>
      </c>
      <c r="F96" s="81">
        <v>54.6</v>
      </c>
    </row>
    <row r="97" spans="1:8" ht="11.25" customHeight="1" x14ac:dyDescent="0.2">
      <c r="C97" s="1" t="s">
        <v>2318</v>
      </c>
      <c r="E97" s="155" t="s">
        <v>1418</v>
      </c>
      <c r="F97" s="158">
        <v>100</v>
      </c>
      <c r="G97" s="155">
        <v>21545</v>
      </c>
      <c r="H97" s="164">
        <v>42.97</v>
      </c>
    </row>
    <row r="98" spans="1:8" ht="11.25" customHeight="1" x14ac:dyDescent="0.2">
      <c r="C98" s="1" t="s">
        <v>2318</v>
      </c>
    </row>
    <row r="99" spans="1:8" ht="11.25" customHeight="1" x14ac:dyDescent="0.2">
      <c r="A99" s="1" t="s">
        <v>3231</v>
      </c>
      <c r="C99" s="1" t="s">
        <v>69</v>
      </c>
      <c r="D99" s="4" t="s">
        <v>1736</v>
      </c>
      <c r="E99" s="16">
        <v>4171</v>
      </c>
      <c r="F99" s="81">
        <v>33.4</v>
      </c>
    </row>
    <row r="100" spans="1:8" ht="11.25" customHeight="1" x14ac:dyDescent="0.2">
      <c r="C100" s="2" t="s">
        <v>70</v>
      </c>
      <c r="D100" s="4" t="s">
        <v>655</v>
      </c>
      <c r="E100" s="16">
        <v>6469</v>
      </c>
      <c r="F100" s="81">
        <v>51.7</v>
      </c>
    </row>
    <row r="101" spans="1:8" ht="11.25" customHeight="1" x14ac:dyDescent="0.2">
      <c r="C101" s="1" t="s">
        <v>71</v>
      </c>
      <c r="D101" s="4" t="s">
        <v>1072</v>
      </c>
      <c r="E101" s="16">
        <v>1862</v>
      </c>
      <c r="F101" s="81">
        <v>14.9</v>
      </c>
    </row>
    <row r="102" spans="1:8" ht="11.25" customHeight="1" x14ac:dyDescent="0.2">
      <c r="C102" s="1" t="s">
        <v>2318</v>
      </c>
      <c r="E102" s="155" t="s">
        <v>1419</v>
      </c>
      <c r="F102" s="158">
        <v>100</v>
      </c>
      <c r="G102" s="155">
        <v>22831</v>
      </c>
      <c r="H102" s="164">
        <v>54.99</v>
      </c>
    </row>
    <row r="103" spans="1:8" ht="11.25" customHeight="1" x14ac:dyDescent="0.2">
      <c r="C103" s="1" t="s">
        <v>2318</v>
      </c>
    </row>
    <row r="104" spans="1:8" ht="11.25" customHeight="1" x14ac:dyDescent="0.2">
      <c r="A104" s="1" t="s">
        <v>3235</v>
      </c>
      <c r="C104" s="1" t="s">
        <v>72</v>
      </c>
      <c r="D104" s="4" t="s">
        <v>655</v>
      </c>
      <c r="E104" s="16">
        <v>2720</v>
      </c>
      <c r="F104" s="81">
        <v>24.7</v>
      </c>
    </row>
    <row r="105" spans="1:8" ht="11.25" customHeight="1" x14ac:dyDescent="0.2">
      <c r="C105" s="1" t="s">
        <v>73</v>
      </c>
      <c r="D105" s="4" t="s">
        <v>653</v>
      </c>
      <c r="E105" s="16">
        <v>328</v>
      </c>
      <c r="F105" s="81">
        <v>3</v>
      </c>
    </row>
    <row r="106" spans="1:8" ht="11.25" customHeight="1" x14ac:dyDescent="0.2">
      <c r="C106" s="1" t="s">
        <v>74</v>
      </c>
      <c r="D106" s="4" t="s">
        <v>1072</v>
      </c>
      <c r="E106" s="16">
        <v>3030</v>
      </c>
      <c r="F106" s="81">
        <v>27.6</v>
      </c>
    </row>
    <row r="107" spans="1:8" ht="11.25" customHeight="1" x14ac:dyDescent="0.2">
      <c r="C107" s="2" t="s">
        <v>75</v>
      </c>
      <c r="D107" s="4" t="s">
        <v>1736</v>
      </c>
      <c r="E107" s="16">
        <v>4918</v>
      </c>
      <c r="F107" s="81">
        <v>44.7</v>
      </c>
    </row>
    <row r="108" spans="1:8" ht="11.25" customHeight="1" x14ac:dyDescent="0.2">
      <c r="C108" s="1" t="s">
        <v>2318</v>
      </c>
      <c r="E108" s="155" t="s">
        <v>1420</v>
      </c>
      <c r="F108" s="158">
        <v>100</v>
      </c>
      <c r="G108" s="155">
        <v>22933</v>
      </c>
      <c r="H108" s="164">
        <v>48.09</v>
      </c>
    </row>
    <row r="109" spans="1:8" ht="11.25" customHeight="1" x14ac:dyDescent="0.2">
      <c r="C109" s="1" t="s">
        <v>2318</v>
      </c>
      <c r="D109" s="15"/>
    </row>
    <row r="110" spans="1:8" ht="11.25" customHeight="1" x14ac:dyDescent="0.2">
      <c r="A110" s="1" t="s">
        <v>3240</v>
      </c>
      <c r="C110" s="2" t="s">
        <v>3139</v>
      </c>
      <c r="D110" s="4" t="s">
        <v>1072</v>
      </c>
      <c r="E110" s="16">
        <v>7417</v>
      </c>
      <c r="F110" s="81">
        <v>44.5</v>
      </c>
    </row>
    <row r="111" spans="1:8" ht="11.25" customHeight="1" x14ac:dyDescent="0.2">
      <c r="C111" s="1" t="s">
        <v>76</v>
      </c>
      <c r="D111" s="4" t="s">
        <v>1736</v>
      </c>
      <c r="E111" s="16">
        <v>6985</v>
      </c>
      <c r="F111" s="81">
        <v>41.9</v>
      </c>
    </row>
    <row r="112" spans="1:8" ht="11.25" customHeight="1" x14ac:dyDescent="0.2">
      <c r="C112" s="1" t="s">
        <v>77</v>
      </c>
      <c r="D112" s="4" t="s">
        <v>655</v>
      </c>
      <c r="E112" s="16">
        <v>2281</v>
      </c>
      <c r="F112" s="81">
        <v>13.6</v>
      </c>
    </row>
    <row r="113" spans="1:8" ht="11.25" customHeight="1" x14ac:dyDescent="0.2">
      <c r="C113" s="1" t="s">
        <v>2318</v>
      </c>
      <c r="E113" s="155" t="s">
        <v>1421</v>
      </c>
      <c r="F113" s="158">
        <v>100</v>
      </c>
      <c r="G113" s="155">
        <v>30294</v>
      </c>
      <c r="H113" s="164">
        <v>55.16</v>
      </c>
    </row>
    <row r="114" spans="1:8" ht="11.25" customHeight="1" x14ac:dyDescent="0.2">
      <c r="C114" s="1" t="s">
        <v>2318</v>
      </c>
      <c r="D114" s="1"/>
    </row>
    <row r="115" spans="1:8" ht="11.25" customHeight="1" x14ac:dyDescent="0.2">
      <c r="A115" s="1" t="s">
        <v>1176</v>
      </c>
      <c r="C115" s="1" t="s">
        <v>78</v>
      </c>
      <c r="D115" s="1" t="s">
        <v>655</v>
      </c>
      <c r="E115" s="16">
        <v>1728</v>
      </c>
      <c r="F115" s="81">
        <v>12.3</v>
      </c>
    </row>
    <row r="116" spans="1:8" ht="11.25" customHeight="1" x14ac:dyDescent="0.2">
      <c r="C116" s="1" t="s">
        <v>79</v>
      </c>
      <c r="D116" s="4" t="s">
        <v>1072</v>
      </c>
      <c r="E116" s="16">
        <v>4865</v>
      </c>
      <c r="F116" s="81">
        <v>34.799999999999997</v>
      </c>
    </row>
    <row r="117" spans="1:8" ht="11.25" customHeight="1" x14ac:dyDescent="0.2">
      <c r="C117" s="2" t="s">
        <v>80</v>
      </c>
      <c r="D117" s="4" t="s">
        <v>1736</v>
      </c>
      <c r="E117" s="16">
        <v>7412</v>
      </c>
      <c r="F117" s="81">
        <v>52.9</v>
      </c>
    </row>
    <row r="118" spans="1:8" ht="11.25" customHeight="1" x14ac:dyDescent="0.2">
      <c r="C118" s="1" t="s">
        <v>2318</v>
      </c>
      <c r="E118" s="155" t="s">
        <v>1422</v>
      </c>
      <c r="F118" s="158">
        <v>100</v>
      </c>
      <c r="G118" s="155">
        <v>28037</v>
      </c>
      <c r="H118" s="164">
        <v>50.06</v>
      </c>
    </row>
    <row r="119" spans="1:8" ht="11.25" customHeight="1" x14ac:dyDescent="0.2">
      <c r="C119" s="1" t="s">
        <v>2318</v>
      </c>
    </row>
    <row r="120" spans="1:8" ht="11.25" customHeight="1" x14ac:dyDescent="0.2">
      <c r="A120" s="1" t="s">
        <v>1188</v>
      </c>
      <c r="C120" s="2" t="s">
        <v>1258</v>
      </c>
      <c r="D120" s="4" t="s">
        <v>1736</v>
      </c>
      <c r="E120" s="16">
        <v>6133</v>
      </c>
      <c r="F120" s="81">
        <v>46.3</v>
      </c>
    </row>
    <row r="121" spans="1:8" ht="11.25" customHeight="1" x14ac:dyDescent="0.2">
      <c r="C121" s="1" t="s">
        <v>81</v>
      </c>
      <c r="D121" s="4" t="s">
        <v>1072</v>
      </c>
      <c r="E121" s="16">
        <v>4550</v>
      </c>
      <c r="F121" s="81">
        <v>34.299999999999997</v>
      </c>
    </row>
    <row r="122" spans="1:8" ht="11.25" customHeight="1" x14ac:dyDescent="0.2">
      <c r="C122" s="1" t="s">
        <v>2333</v>
      </c>
      <c r="D122" s="4" t="s">
        <v>655</v>
      </c>
      <c r="E122" s="16">
        <v>2564</v>
      </c>
      <c r="F122" s="81">
        <v>19.399999999999999</v>
      </c>
    </row>
    <row r="123" spans="1:8" ht="11.25" customHeight="1" x14ac:dyDescent="0.2">
      <c r="C123" s="1" t="s">
        <v>2318</v>
      </c>
      <c r="E123" s="155" t="s">
        <v>1425</v>
      </c>
      <c r="F123" s="158">
        <v>100</v>
      </c>
      <c r="G123" s="155">
        <v>25551</v>
      </c>
      <c r="H123" s="164">
        <v>52.04</v>
      </c>
    </row>
    <row r="124" spans="1:8" ht="11.25" customHeight="1" x14ac:dyDescent="0.2">
      <c r="C124" s="1" t="s">
        <v>2318</v>
      </c>
    </row>
    <row r="125" spans="1:8" ht="11.25" customHeight="1" x14ac:dyDescent="0.2">
      <c r="A125" s="1" t="s">
        <v>1125</v>
      </c>
      <c r="C125" s="1" t="s">
        <v>82</v>
      </c>
      <c r="D125" s="4" t="s">
        <v>1072</v>
      </c>
      <c r="E125" s="16">
        <v>1605</v>
      </c>
      <c r="F125" s="81">
        <v>15.7</v>
      </c>
    </row>
    <row r="126" spans="1:8" ht="11.25" customHeight="1" x14ac:dyDescent="0.2">
      <c r="C126" s="2" t="s">
        <v>83</v>
      </c>
      <c r="D126" s="4" t="s">
        <v>1736</v>
      </c>
      <c r="E126" s="16">
        <v>6494</v>
      </c>
      <c r="F126" s="81">
        <v>63.4</v>
      </c>
    </row>
    <row r="127" spans="1:8" ht="11.25" customHeight="1" x14ac:dyDescent="0.2">
      <c r="C127" s="1" t="s">
        <v>84</v>
      </c>
      <c r="D127" s="4" t="s">
        <v>655</v>
      </c>
      <c r="E127" s="16">
        <v>2141</v>
      </c>
      <c r="F127" s="81">
        <v>20.9</v>
      </c>
    </row>
    <row r="128" spans="1:8" ht="11.25" customHeight="1" x14ac:dyDescent="0.2">
      <c r="C128" s="1" t="s">
        <v>2318</v>
      </c>
      <c r="E128" s="155" t="s">
        <v>1426</v>
      </c>
      <c r="F128" s="158">
        <v>100</v>
      </c>
      <c r="G128" s="155">
        <v>17632</v>
      </c>
      <c r="H128" s="164">
        <v>58.31</v>
      </c>
    </row>
    <row r="129" spans="1:8" ht="11.25" customHeight="1" x14ac:dyDescent="0.2">
      <c r="C129" s="1" t="s">
        <v>2318</v>
      </c>
    </row>
    <row r="130" spans="1:8" ht="11.25" customHeight="1" x14ac:dyDescent="0.2">
      <c r="A130" s="1" t="s">
        <v>1427</v>
      </c>
      <c r="C130" s="2" t="s">
        <v>85</v>
      </c>
      <c r="D130" s="4" t="s">
        <v>1736</v>
      </c>
      <c r="E130" s="16">
        <v>3483</v>
      </c>
      <c r="F130" s="81">
        <v>74.599999999999994</v>
      </c>
    </row>
    <row r="131" spans="1:8" ht="11.25" customHeight="1" x14ac:dyDescent="0.2">
      <c r="C131" s="1" t="s">
        <v>885</v>
      </c>
      <c r="D131" s="4" t="s">
        <v>655</v>
      </c>
      <c r="E131" s="16">
        <v>517</v>
      </c>
      <c r="F131" s="81">
        <v>11.1</v>
      </c>
    </row>
    <row r="132" spans="1:8" ht="11.25" customHeight="1" x14ac:dyDescent="0.2">
      <c r="C132" s="1" t="s">
        <v>86</v>
      </c>
      <c r="D132" s="4" t="s">
        <v>1072</v>
      </c>
      <c r="E132" s="16">
        <v>667</v>
      </c>
      <c r="F132" s="81">
        <v>14.3</v>
      </c>
    </row>
    <row r="133" spans="1:8" ht="11.25" customHeight="1" x14ac:dyDescent="0.2">
      <c r="C133" s="1" t="s">
        <v>2318</v>
      </c>
      <c r="E133" s="155" t="s">
        <v>1428</v>
      </c>
      <c r="F133" s="158">
        <v>100</v>
      </c>
      <c r="G133" s="155">
        <v>8105</v>
      </c>
      <c r="H133" s="164">
        <v>57.74</v>
      </c>
    </row>
    <row r="134" spans="1:8" ht="11.25" customHeight="1" x14ac:dyDescent="0.2">
      <c r="C134" s="1" t="s">
        <v>2318</v>
      </c>
    </row>
    <row r="135" spans="1:8" ht="11.25" customHeight="1" x14ac:dyDescent="0.2">
      <c r="A135" s="1" t="s">
        <v>1968</v>
      </c>
      <c r="C135" s="1" t="s">
        <v>979</v>
      </c>
      <c r="D135" s="4" t="s">
        <v>1072</v>
      </c>
      <c r="E135" s="16">
        <v>691</v>
      </c>
      <c r="F135" s="81">
        <v>13.7</v>
      </c>
    </row>
    <row r="136" spans="1:8" ht="11.25" customHeight="1" x14ac:dyDescent="0.2">
      <c r="C136" s="2" t="s">
        <v>1346</v>
      </c>
      <c r="D136" s="4" t="s">
        <v>1736</v>
      </c>
      <c r="E136" s="16">
        <v>3585</v>
      </c>
      <c r="F136" s="81">
        <v>71.099999999999994</v>
      </c>
    </row>
    <row r="137" spans="1:8" ht="11.25" customHeight="1" x14ac:dyDescent="0.2">
      <c r="C137" s="1" t="s">
        <v>87</v>
      </c>
      <c r="D137" s="4" t="s">
        <v>655</v>
      </c>
      <c r="E137" s="16">
        <v>765</v>
      </c>
      <c r="F137" s="81">
        <v>15.2</v>
      </c>
    </row>
    <row r="138" spans="1:8" ht="11.25" customHeight="1" x14ac:dyDescent="0.2">
      <c r="C138" s="1" t="s">
        <v>2318</v>
      </c>
      <c r="E138" s="155" t="s">
        <v>1429</v>
      </c>
      <c r="F138" s="158">
        <v>100</v>
      </c>
      <c r="G138" s="155">
        <v>9197</v>
      </c>
      <c r="H138" s="164">
        <v>54.92</v>
      </c>
    </row>
    <row r="139" spans="1:8" ht="11.25" customHeight="1" x14ac:dyDescent="0.2">
      <c r="C139" s="1" t="s">
        <v>2318</v>
      </c>
    </row>
    <row r="140" spans="1:8" ht="11.25" customHeight="1" x14ac:dyDescent="0.2">
      <c r="A140" s="1" t="s">
        <v>1430</v>
      </c>
      <c r="C140" s="2" t="s">
        <v>88</v>
      </c>
      <c r="D140" s="4" t="s">
        <v>1736</v>
      </c>
      <c r="E140" s="16">
        <v>3717</v>
      </c>
      <c r="F140" s="81">
        <v>34.6</v>
      </c>
    </row>
    <row r="141" spans="1:8" ht="11.25" customHeight="1" x14ac:dyDescent="0.2">
      <c r="C141" s="1" t="s">
        <v>89</v>
      </c>
      <c r="D141" s="4" t="s">
        <v>655</v>
      </c>
      <c r="E141" s="16">
        <v>3505</v>
      </c>
      <c r="F141" s="81">
        <v>32.6</v>
      </c>
    </row>
    <row r="142" spans="1:8" ht="11.25" customHeight="1" x14ac:dyDescent="0.2">
      <c r="C142" s="1" t="s">
        <v>2547</v>
      </c>
      <c r="D142" s="4" t="s">
        <v>1072</v>
      </c>
      <c r="E142" s="16">
        <v>3533</v>
      </c>
      <c r="F142" s="81">
        <v>32.799999999999997</v>
      </c>
    </row>
    <row r="143" spans="1:8" ht="11.25" customHeight="1" x14ac:dyDescent="0.2">
      <c r="C143" s="1" t="s">
        <v>2318</v>
      </c>
      <c r="E143" s="155" t="s">
        <v>1431</v>
      </c>
      <c r="F143" s="158">
        <v>100</v>
      </c>
      <c r="G143" s="155">
        <v>17175</v>
      </c>
      <c r="H143" s="164">
        <v>62.68</v>
      </c>
    </row>
    <row r="144" spans="1:8" ht="11.25" customHeight="1" x14ac:dyDescent="0.2">
      <c r="C144" s="1" t="s">
        <v>2318</v>
      </c>
    </row>
    <row r="145" spans="1:8" ht="11.25" customHeight="1" x14ac:dyDescent="0.2">
      <c r="A145" s="1" t="s">
        <v>1432</v>
      </c>
      <c r="C145" s="2" t="s">
        <v>1892</v>
      </c>
      <c r="D145" s="4" t="s">
        <v>1736</v>
      </c>
      <c r="E145" s="16">
        <v>2514</v>
      </c>
      <c r="F145" s="81">
        <v>48.9</v>
      </c>
    </row>
    <row r="146" spans="1:8" ht="11.25" customHeight="1" x14ac:dyDescent="0.2">
      <c r="C146" s="1" t="s">
        <v>90</v>
      </c>
      <c r="D146" s="4" t="s">
        <v>1072</v>
      </c>
      <c r="E146" s="16">
        <v>1968</v>
      </c>
      <c r="F146" s="81">
        <v>38.299999999999997</v>
      </c>
    </row>
    <row r="147" spans="1:8" ht="11.25" customHeight="1" x14ac:dyDescent="0.2">
      <c r="C147" s="1" t="s">
        <v>91</v>
      </c>
      <c r="D147" s="4" t="s">
        <v>655</v>
      </c>
      <c r="E147" s="16">
        <v>659</v>
      </c>
      <c r="F147" s="81">
        <v>12.8</v>
      </c>
    </row>
    <row r="148" spans="1:8" ht="11.25" customHeight="1" x14ac:dyDescent="0.2">
      <c r="C148" s="1" t="s">
        <v>2318</v>
      </c>
      <c r="E148" s="155" t="s">
        <v>1433</v>
      </c>
      <c r="F148" s="158">
        <v>100</v>
      </c>
      <c r="G148" s="155">
        <v>8935</v>
      </c>
      <c r="H148" s="164">
        <v>57.57</v>
      </c>
    </row>
    <row r="149" spans="1:8" ht="11.25" customHeight="1" x14ac:dyDescent="0.2">
      <c r="C149" s="1" t="s">
        <v>2318</v>
      </c>
    </row>
    <row r="150" spans="1:8" ht="11.25" customHeight="1" x14ac:dyDescent="0.2">
      <c r="A150" s="1" t="s">
        <v>1434</v>
      </c>
      <c r="C150" s="1" t="s">
        <v>92</v>
      </c>
      <c r="D150" s="4" t="s">
        <v>655</v>
      </c>
      <c r="E150" s="16">
        <v>2622</v>
      </c>
      <c r="F150" s="81">
        <v>26.2</v>
      </c>
    </row>
    <row r="151" spans="1:8" ht="11.25" customHeight="1" x14ac:dyDescent="0.2">
      <c r="C151" s="2" t="s">
        <v>852</v>
      </c>
      <c r="D151" s="4" t="s">
        <v>1736</v>
      </c>
      <c r="E151" s="16">
        <v>4563</v>
      </c>
      <c r="F151" s="81">
        <v>45.6</v>
      </c>
    </row>
    <row r="152" spans="1:8" ht="11.25" customHeight="1" x14ac:dyDescent="0.2">
      <c r="C152" s="1" t="s">
        <v>93</v>
      </c>
      <c r="D152" s="4" t="s">
        <v>1072</v>
      </c>
      <c r="E152" s="16">
        <v>2826</v>
      </c>
      <c r="F152" s="81">
        <v>28.2</v>
      </c>
    </row>
    <row r="153" spans="1:8" ht="11.25" customHeight="1" x14ac:dyDescent="0.2">
      <c r="C153" s="1" t="s">
        <v>2318</v>
      </c>
      <c r="E153" s="155" t="s">
        <v>1073</v>
      </c>
      <c r="F153" s="158">
        <v>100</v>
      </c>
      <c r="G153" s="155">
        <v>17990</v>
      </c>
      <c r="H153" s="164">
        <v>55.77</v>
      </c>
    </row>
    <row r="154" spans="1:8" ht="11.25" customHeight="1" x14ac:dyDescent="0.2">
      <c r="C154" s="1" t="s">
        <v>2318</v>
      </c>
    </row>
    <row r="155" spans="1:8" ht="11.25" customHeight="1" x14ac:dyDescent="0.2">
      <c r="A155" s="1" t="s">
        <v>1074</v>
      </c>
      <c r="C155" s="1" t="s">
        <v>94</v>
      </c>
      <c r="D155" s="4" t="s">
        <v>655</v>
      </c>
      <c r="E155" s="16">
        <v>1658</v>
      </c>
      <c r="F155" s="81">
        <v>19.5</v>
      </c>
    </row>
    <row r="156" spans="1:8" ht="11.25" customHeight="1" x14ac:dyDescent="0.2">
      <c r="C156" s="1" t="s">
        <v>1053</v>
      </c>
      <c r="D156" s="4" t="s">
        <v>1072</v>
      </c>
      <c r="E156" s="16">
        <v>1800</v>
      </c>
      <c r="F156" s="81">
        <v>21.2</v>
      </c>
    </row>
    <row r="157" spans="1:8" ht="11.25" customHeight="1" x14ac:dyDescent="0.2">
      <c r="C157" s="2" t="s">
        <v>767</v>
      </c>
      <c r="D157" s="4" t="s">
        <v>1736</v>
      </c>
      <c r="E157" s="16">
        <v>5049</v>
      </c>
      <c r="F157" s="81">
        <v>59.3</v>
      </c>
    </row>
    <row r="158" spans="1:8" ht="11.25" customHeight="1" x14ac:dyDescent="0.2">
      <c r="C158" s="1" t="s">
        <v>2318</v>
      </c>
      <c r="E158" s="155" t="s">
        <v>1159</v>
      </c>
      <c r="F158" s="158">
        <v>100</v>
      </c>
      <c r="G158" s="155">
        <v>15236</v>
      </c>
      <c r="H158" s="164">
        <v>56.1</v>
      </c>
    </row>
    <row r="159" spans="1:8" ht="11.25" customHeight="1" x14ac:dyDescent="0.2">
      <c r="C159" s="1" t="s">
        <v>2318</v>
      </c>
    </row>
    <row r="160" spans="1:8" ht="11.25" customHeight="1" x14ac:dyDescent="0.2">
      <c r="A160" s="1" t="s">
        <v>1350</v>
      </c>
      <c r="C160" s="2" t="s">
        <v>855</v>
      </c>
      <c r="D160" s="4" t="s">
        <v>1736</v>
      </c>
      <c r="E160" s="16">
        <v>4049</v>
      </c>
      <c r="F160" s="81">
        <v>56.2</v>
      </c>
    </row>
    <row r="161" spans="1:8" ht="11.25" customHeight="1" x14ac:dyDescent="0.2">
      <c r="C161" s="1" t="s">
        <v>2448</v>
      </c>
      <c r="D161" s="4" t="s">
        <v>1072</v>
      </c>
      <c r="E161" s="16">
        <v>550</v>
      </c>
      <c r="F161" s="81">
        <v>7.6</v>
      </c>
    </row>
    <row r="162" spans="1:8" ht="11.25" customHeight="1" x14ac:dyDescent="0.2">
      <c r="C162" s="1" t="s">
        <v>2449</v>
      </c>
      <c r="D162" s="4" t="s">
        <v>655</v>
      </c>
      <c r="E162" s="16">
        <v>2603</v>
      </c>
      <c r="F162" s="81">
        <v>36.200000000000003</v>
      </c>
    </row>
    <row r="163" spans="1:8" ht="11.25" customHeight="1" x14ac:dyDescent="0.2">
      <c r="C163" s="1" t="s">
        <v>2318</v>
      </c>
      <c r="E163" s="155" t="s">
        <v>1304</v>
      </c>
      <c r="F163" s="158">
        <v>100</v>
      </c>
      <c r="G163" s="155">
        <v>10507</v>
      </c>
      <c r="H163" s="164">
        <v>68.67</v>
      </c>
    </row>
    <row r="164" spans="1:8" ht="11.25" customHeight="1" x14ac:dyDescent="0.2">
      <c r="C164" s="1" t="s">
        <v>2318</v>
      </c>
    </row>
    <row r="165" spans="1:8" ht="11.25" customHeight="1" x14ac:dyDescent="0.2">
      <c r="A165" s="1" t="s">
        <v>1969</v>
      </c>
      <c r="C165" s="1" t="s">
        <v>2450</v>
      </c>
      <c r="D165" s="4" t="s">
        <v>1736</v>
      </c>
      <c r="E165" s="16">
        <v>3831</v>
      </c>
      <c r="F165" s="81">
        <v>30.2</v>
      </c>
    </row>
    <row r="166" spans="1:8" ht="11.25" customHeight="1" x14ac:dyDescent="0.2">
      <c r="C166" s="2" t="s">
        <v>2451</v>
      </c>
      <c r="D166" s="4" t="s">
        <v>655</v>
      </c>
      <c r="E166" s="16">
        <v>5290</v>
      </c>
      <c r="F166" s="81">
        <v>41.7</v>
      </c>
    </row>
    <row r="167" spans="1:8" ht="11.25" customHeight="1" x14ac:dyDescent="0.2">
      <c r="C167" s="1" t="s">
        <v>980</v>
      </c>
      <c r="D167" s="4" t="s">
        <v>1072</v>
      </c>
      <c r="E167" s="16">
        <v>3562</v>
      </c>
      <c r="F167" s="81">
        <v>28.1</v>
      </c>
    </row>
    <row r="168" spans="1:8" ht="11.25" customHeight="1" x14ac:dyDescent="0.2">
      <c r="C168" s="1" t="s">
        <v>2318</v>
      </c>
      <c r="E168" s="155" t="s">
        <v>1160</v>
      </c>
      <c r="F168" s="158">
        <v>100</v>
      </c>
      <c r="G168" s="155">
        <v>24345</v>
      </c>
      <c r="H168" s="164">
        <v>52.15</v>
      </c>
    </row>
    <row r="169" spans="1:8" ht="11.25" customHeight="1" x14ac:dyDescent="0.2">
      <c r="C169" s="1" t="s">
        <v>2318</v>
      </c>
    </row>
    <row r="170" spans="1:8" ht="11.25" customHeight="1" x14ac:dyDescent="0.2">
      <c r="A170" s="1" t="s">
        <v>1161</v>
      </c>
      <c r="C170" s="1" t="s">
        <v>2452</v>
      </c>
      <c r="D170" s="4" t="s">
        <v>1072</v>
      </c>
      <c r="E170" s="16">
        <v>4644</v>
      </c>
      <c r="F170" s="81">
        <v>35.6</v>
      </c>
    </row>
    <row r="171" spans="1:8" ht="11.25" customHeight="1" x14ac:dyDescent="0.2">
      <c r="C171" s="2" t="s">
        <v>2453</v>
      </c>
      <c r="D171" s="4" t="s">
        <v>655</v>
      </c>
      <c r="E171" s="16">
        <v>5319</v>
      </c>
      <c r="F171" s="81">
        <v>40.700000000000003</v>
      </c>
    </row>
    <row r="172" spans="1:8" ht="11.25" customHeight="1" x14ac:dyDescent="0.2">
      <c r="C172" s="1" t="s">
        <v>1075</v>
      </c>
      <c r="D172" s="4" t="s">
        <v>1736</v>
      </c>
      <c r="E172" s="16">
        <v>3093</v>
      </c>
      <c r="F172" s="81">
        <v>23.6</v>
      </c>
    </row>
    <row r="173" spans="1:8" ht="11.25" customHeight="1" x14ac:dyDescent="0.2">
      <c r="C173" s="1" t="s">
        <v>2318</v>
      </c>
      <c r="E173" s="155" t="s">
        <v>1162</v>
      </c>
      <c r="F173" s="158">
        <v>100</v>
      </c>
      <c r="G173" s="155">
        <v>22860</v>
      </c>
      <c r="H173" s="164">
        <v>57.21</v>
      </c>
    </row>
    <row r="174" spans="1:8" ht="11.25" customHeight="1" x14ac:dyDescent="0.2">
      <c r="C174" s="1" t="s">
        <v>2318</v>
      </c>
    </row>
    <row r="175" spans="1:8" ht="11.25" customHeight="1" x14ac:dyDescent="0.2">
      <c r="A175" s="1" t="s">
        <v>1163</v>
      </c>
      <c r="C175" s="2" t="s">
        <v>2454</v>
      </c>
      <c r="D175" s="4" t="s">
        <v>655</v>
      </c>
      <c r="E175" s="16">
        <v>6408</v>
      </c>
      <c r="F175" s="81">
        <v>49.5</v>
      </c>
    </row>
    <row r="176" spans="1:8" ht="11.25" customHeight="1" x14ac:dyDescent="0.2">
      <c r="C176" s="1" t="s">
        <v>2455</v>
      </c>
      <c r="D176" s="4" t="s">
        <v>1736</v>
      </c>
      <c r="E176" s="16">
        <v>3835</v>
      </c>
      <c r="F176" s="81">
        <v>29.6</v>
      </c>
    </row>
    <row r="177" spans="1:8" ht="11.25" customHeight="1" x14ac:dyDescent="0.2">
      <c r="C177" s="1" t="s">
        <v>2456</v>
      </c>
      <c r="D177" s="4" t="s">
        <v>1072</v>
      </c>
      <c r="E177" s="16">
        <v>2520</v>
      </c>
      <c r="F177" s="81">
        <v>19.5</v>
      </c>
    </row>
    <row r="178" spans="1:8" ht="11.25" customHeight="1" x14ac:dyDescent="0.2">
      <c r="C178" s="1" t="s">
        <v>2457</v>
      </c>
      <c r="D178" s="4" t="s">
        <v>653</v>
      </c>
      <c r="E178" s="16">
        <v>188</v>
      </c>
      <c r="F178" s="81">
        <v>1.4</v>
      </c>
    </row>
    <row r="179" spans="1:8" ht="11.25" customHeight="1" x14ac:dyDescent="0.2">
      <c r="C179" s="1" t="s">
        <v>2318</v>
      </c>
      <c r="E179" s="155" t="s">
        <v>1164</v>
      </c>
      <c r="F179" s="158">
        <v>100</v>
      </c>
      <c r="G179" s="155">
        <v>25874</v>
      </c>
      <c r="H179" s="164">
        <v>50.12</v>
      </c>
    </row>
    <row r="180" spans="1:8" ht="11.25" customHeight="1" x14ac:dyDescent="0.2">
      <c r="C180" s="1" t="s">
        <v>2318</v>
      </c>
    </row>
    <row r="181" spans="1:8" ht="11.25" customHeight="1" x14ac:dyDescent="0.2">
      <c r="A181" s="1" t="s">
        <v>469</v>
      </c>
      <c r="C181" s="1" t="s">
        <v>2458</v>
      </c>
      <c r="D181" s="4" t="s">
        <v>1736</v>
      </c>
      <c r="E181" s="16">
        <v>2709</v>
      </c>
      <c r="F181" s="81">
        <v>21.7</v>
      </c>
    </row>
    <row r="182" spans="1:8" ht="11.25" customHeight="1" x14ac:dyDescent="0.2">
      <c r="C182" s="2" t="s">
        <v>2459</v>
      </c>
      <c r="D182" s="4" t="s">
        <v>655</v>
      </c>
      <c r="E182" s="16">
        <v>5338</v>
      </c>
      <c r="F182" s="81">
        <v>42.8</v>
      </c>
    </row>
    <row r="183" spans="1:8" ht="11.25" customHeight="1" x14ac:dyDescent="0.2">
      <c r="C183" s="1" t="s">
        <v>472</v>
      </c>
      <c r="D183" s="4" t="s">
        <v>1072</v>
      </c>
      <c r="E183" s="16">
        <v>4435</v>
      </c>
      <c r="F183" s="81">
        <v>35.5</v>
      </c>
    </row>
    <row r="184" spans="1:8" ht="11.25" customHeight="1" x14ac:dyDescent="0.2">
      <c r="C184" s="1" t="s">
        <v>2318</v>
      </c>
      <c r="E184" s="155" t="s">
        <v>737</v>
      </c>
      <c r="F184" s="158">
        <v>100</v>
      </c>
      <c r="G184" s="155">
        <v>22714</v>
      </c>
      <c r="H184" s="164">
        <v>55.05</v>
      </c>
    </row>
    <row r="185" spans="1:8" ht="11.25" customHeight="1" x14ac:dyDescent="0.2">
      <c r="C185" s="1" t="s">
        <v>2318</v>
      </c>
    </row>
    <row r="186" spans="1:8" ht="11.25" customHeight="1" x14ac:dyDescent="0.2">
      <c r="A186" s="1" t="s">
        <v>477</v>
      </c>
      <c r="C186" s="1" t="s">
        <v>665</v>
      </c>
      <c r="D186" s="4" t="s">
        <v>1736</v>
      </c>
      <c r="E186" s="16">
        <v>3217</v>
      </c>
      <c r="F186" s="81">
        <v>30.3</v>
      </c>
    </row>
    <row r="187" spans="1:8" ht="11.25" customHeight="1" x14ac:dyDescent="0.2">
      <c r="C187" s="1" t="s">
        <v>2460</v>
      </c>
      <c r="D187" s="4" t="s">
        <v>1072</v>
      </c>
      <c r="E187" s="16">
        <v>2821</v>
      </c>
      <c r="F187" s="81">
        <v>26.6</v>
      </c>
    </row>
    <row r="188" spans="1:8" ht="11.25" customHeight="1" x14ac:dyDescent="0.2">
      <c r="C188" s="1" t="s">
        <v>1411</v>
      </c>
      <c r="D188" s="4" t="s">
        <v>653</v>
      </c>
      <c r="E188" s="16">
        <v>72</v>
      </c>
      <c r="F188" s="81">
        <v>0.7</v>
      </c>
    </row>
    <row r="189" spans="1:8" ht="11.25" customHeight="1" x14ac:dyDescent="0.2">
      <c r="C189" s="2" t="s">
        <v>2461</v>
      </c>
      <c r="D189" s="4" t="s">
        <v>655</v>
      </c>
      <c r="E189" s="16">
        <v>4440</v>
      </c>
      <c r="F189" s="81">
        <v>41.9</v>
      </c>
    </row>
    <row r="190" spans="1:8" ht="11.25" customHeight="1" x14ac:dyDescent="0.2">
      <c r="C190" s="1" t="s">
        <v>1194</v>
      </c>
      <c r="D190" s="4" t="s">
        <v>653</v>
      </c>
      <c r="E190" s="16">
        <v>51</v>
      </c>
      <c r="F190" s="81">
        <v>0.5</v>
      </c>
    </row>
    <row r="191" spans="1:8" ht="11.25" customHeight="1" x14ac:dyDescent="0.2">
      <c r="C191" s="1" t="s">
        <v>2318</v>
      </c>
      <c r="E191" s="155" t="s">
        <v>771</v>
      </c>
      <c r="F191" s="158">
        <v>100</v>
      </c>
      <c r="G191" s="155">
        <v>20344</v>
      </c>
      <c r="H191" s="164">
        <v>52.21</v>
      </c>
    </row>
    <row r="192" spans="1:8" ht="11.25" customHeight="1" x14ac:dyDescent="0.2">
      <c r="C192" s="1" t="s">
        <v>2318</v>
      </c>
    </row>
    <row r="193" spans="1:8" ht="11.25" customHeight="1" x14ac:dyDescent="0.2">
      <c r="A193" s="1" t="s">
        <v>1092</v>
      </c>
      <c r="C193" s="1" t="s">
        <v>2462</v>
      </c>
      <c r="D193" s="4" t="s">
        <v>1736</v>
      </c>
      <c r="E193" s="16">
        <v>3759</v>
      </c>
      <c r="F193" s="81">
        <v>24.8</v>
      </c>
    </row>
    <row r="194" spans="1:8" ht="11.25" customHeight="1" x14ac:dyDescent="0.2">
      <c r="C194" s="1" t="s">
        <v>2463</v>
      </c>
      <c r="D194" s="4" t="s">
        <v>486</v>
      </c>
      <c r="E194" s="16">
        <v>30</v>
      </c>
      <c r="F194" s="81">
        <v>0.2</v>
      </c>
    </row>
    <row r="195" spans="1:8" ht="11.25" customHeight="1" x14ac:dyDescent="0.2">
      <c r="C195" s="2" t="s">
        <v>2464</v>
      </c>
      <c r="D195" s="4" t="s">
        <v>1072</v>
      </c>
      <c r="E195" s="16">
        <v>7401</v>
      </c>
      <c r="F195" s="81">
        <v>48.8</v>
      </c>
    </row>
    <row r="196" spans="1:8" ht="11.25" customHeight="1" x14ac:dyDescent="0.2">
      <c r="C196" s="1" t="s">
        <v>1761</v>
      </c>
      <c r="D196" s="4" t="s">
        <v>655</v>
      </c>
      <c r="E196" s="16">
        <v>3974</v>
      </c>
      <c r="F196" s="81">
        <v>26.2</v>
      </c>
    </row>
    <row r="197" spans="1:8" ht="11.25" customHeight="1" x14ac:dyDescent="0.2">
      <c r="C197" s="1" t="s">
        <v>2318</v>
      </c>
      <c r="E197" s="155" t="s">
        <v>738</v>
      </c>
      <c r="F197" s="158">
        <v>100</v>
      </c>
      <c r="G197" s="155">
        <v>25246</v>
      </c>
      <c r="H197" s="164">
        <v>60.23</v>
      </c>
    </row>
    <row r="198" spans="1:8" ht="11.25" customHeight="1" x14ac:dyDescent="0.2">
      <c r="C198" s="1" t="s">
        <v>2318</v>
      </c>
    </row>
    <row r="199" spans="1:8" ht="11.25" customHeight="1" x14ac:dyDescent="0.2">
      <c r="A199" s="1" t="s">
        <v>1096</v>
      </c>
      <c r="C199" s="1" t="s">
        <v>2465</v>
      </c>
      <c r="D199" s="4" t="s">
        <v>1072</v>
      </c>
      <c r="E199" s="16">
        <v>2935</v>
      </c>
      <c r="F199" s="81">
        <v>27.2</v>
      </c>
    </row>
    <row r="200" spans="1:8" ht="11.25" customHeight="1" x14ac:dyDescent="0.2">
      <c r="C200" s="2" t="s">
        <v>2466</v>
      </c>
      <c r="D200" s="4" t="s">
        <v>1736</v>
      </c>
      <c r="E200" s="16">
        <v>5128</v>
      </c>
      <c r="F200" s="81">
        <v>47.6</v>
      </c>
    </row>
    <row r="201" spans="1:8" ht="11.25" customHeight="1" x14ac:dyDescent="0.2">
      <c r="C201" s="1" t="s">
        <v>2467</v>
      </c>
      <c r="D201" s="4" t="s">
        <v>655</v>
      </c>
      <c r="E201" s="16">
        <v>2709</v>
      </c>
      <c r="F201" s="81">
        <v>25.2</v>
      </c>
    </row>
    <row r="202" spans="1:8" ht="11.25" customHeight="1" x14ac:dyDescent="0.2">
      <c r="C202" s="1" t="s">
        <v>2318</v>
      </c>
      <c r="E202" s="155" t="s">
        <v>739</v>
      </c>
      <c r="F202" s="158">
        <v>100</v>
      </c>
      <c r="G202" s="155">
        <v>18157</v>
      </c>
      <c r="H202" s="164">
        <v>59.46</v>
      </c>
    </row>
    <row r="203" spans="1:8" ht="11.25" customHeight="1" x14ac:dyDescent="0.2">
      <c r="C203" s="1" t="s">
        <v>2318</v>
      </c>
    </row>
    <row r="204" spans="1:8" ht="11.25" customHeight="1" x14ac:dyDescent="0.2">
      <c r="A204" s="1" t="s">
        <v>1100</v>
      </c>
      <c r="C204" s="2" t="s">
        <v>2468</v>
      </c>
      <c r="D204" s="4" t="s">
        <v>1072</v>
      </c>
      <c r="E204" s="16">
        <v>7833</v>
      </c>
      <c r="F204" s="81">
        <v>54.4</v>
      </c>
    </row>
    <row r="205" spans="1:8" ht="11.25" customHeight="1" x14ac:dyDescent="0.2">
      <c r="C205" s="1" t="s">
        <v>480</v>
      </c>
      <c r="D205" s="4" t="s">
        <v>486</v>
      </c>
      <c r="E205" s="16">
        <v>55</v>
      </c>
      <c r="F205" s="81">
        <v>0.3</v>
      </c>
    </row>
    <row r="206" spans="1:8" ht="11.25" customHeight="1" x14ac:dyDescent="0.2">
      <c r="C206" s="1" t="s">
        <v>2469</v>
      </c>
      <c r="D206" s="4" t="s">
        <v>655</v>
      </c>
      <c r="E206" s="16">
        <v>2170</v>
      </c>
      <c r="F206" s="81">
        <v>15</v>
      </c>
    </row>
    <row r="207" spans="1:8" ht="11.25" customHeight="1" x14ac:dyDescent="0.2">
      <c r="C207" s="1" t="s">
        <v>2470</v>
      </c>
      <c r="D207" s="4" t="s">
        <v>1736</v>
      </c>
      <c r="E207" s="16">
        <v>4381</v>
      </c>
      <c r="F207" s="81">
        <v>30.3</v>
      </c>
    </row>
    <row r="208" spans="1:8" ht="11.25" customHeight="1" x14ac:dyDescent="0.2">
      <c r="C208" s="1" t="s">
        <v>2318</v>
      </c>
      <c r="E208" s="155" t="s">
        <v>740</v>
      </c>
      <c r="F208" s="158">
        <v>100</v>
      </c>
      <c r="G208" s="155">
        <v>22708</v>
      </c>
      <c r="H208" s="164">
        <v>63.69</v>
      </c>
    </row>
    <row r="209" spans="1:8" ht="11.25" customHeight="1" x14ac:dyDescent="0.2">
      <c r="C209" s="1" t="s">
        <v>2318</v>
      </c>
    </row>
    <row r="210" spans="1:8" ht="11.25" customHeight="1" x14ac:dyDescent="0.2">
      <c r="A210" s="1" t="s">
        <v>1105</v>
      </c>
      <c r="C210" s="2" t="s">
        <v>678</v>
      </c>
      <c r="D210" s="4" t="s">
        <v>655</v>
      </c>
      <c r="E210" s="16">
        <v>4997</v>
      </c>
      <c r="F210" s="81">
        <v>56.7</v>
      </c>
    </row>
    <row r="211" spans="1:8" ht="11.25" customHeight="1" x14ac:dyDescent="0.2">
      <c r="C211" s="1" t="s">
        <v>2471</v>
      </c>
      <c r="D211" s="4" t="s">
        <v>1736</v>
      </c>
      <c r="E211" s="16">
        <v>2145</v>
      </c>
      <c r="F211" s="81">
        <v>24.3</v>
      </c>
    </row>
    <row r="212" spans="1:8" ht="11.25" customHeight="1" x14ac:dyDescent="0.2">
      <c r="C212" s="1" t="s">
        <v>2472</v>
      </c>
      <c r="D212" s="4" t="s">
        <v>1072</v>
      </c>
      <c r="E212" s="16">
        <v>1673</v>
      </c>
      <c r="F212" s="81">
        <v>19</v>
      </c>
    </row>
    <row r="213" spans="1:8" ht="11.25" customHeight="1" x14ac:dyDescent="0.2">
      <c r="C213" s="1" t="s">
        <v>2318</v>
      </c>
      <c r="E213" s="155" t="s">
        <v>741</v>
      </c>
      <c r="F213" s="158">
        <v>100</v>
      </c>
      <c r="G213" s="155">
        <v>16474</v>
      </c>
      <c r="H213" s="164">
        <v>53.74</v>
      </c>
    </row>
    <row r="214" spans="1:8" ht="11.25" customHeight="1" x14ac:dyDescent="0.2">
      <c r="C214" s="1" t="s">
        <v>2318</v>
      </c>
    </row>
    <row r="215" spans="1:8" ht="11.25" customHeight="1" x14ac:dyDescent="0.2">
      <c r="A215" s="1" t="s">
        <v>772</v>
      </c>
      <c r="C215" s="1" t="s">
        <v>1120</v>
      </c>
      <c r="D215" s="4" t="s">
        <v>1072</v>
      </c>
      <c r="E215" s="16">
        <v>4747</v>
      </c>
      <c r="F215" s="81">
        <v>33.4</v>
      </c>
    </row>
    <row r="216" spans="1:8" ht="11.25" customHeight="1" x14ac:dyDescent="0.2">
      <c r="C216" s="2" t="s">
        <v>1262</v>
      </c>
      <c r="D216" s="4" t="s">
        <v>655</v>
      </c>
      <c r="E216" s="16">
        <v>4966</v>
      </c>
      <c r="F216" s="81">
        <v>34.9</v>
      </c>
    </row>
    <row r="217" spans="1:8" ht="11.25" customHeight="1" x14ac:dyDescent="0.2">
      <c r="C217" s="1" t="s">
        <v>1917</v>
      </c>
      <c r="D217" s="4" t="s">
        <v>1736</v>
      </c>
      <c r="E217" s="16">
        <v>4503</v>
      </c>
      <c r="F217" s="81">
        <v>31.7</v>
      </c>
    </row>
    <row r="218" spans="1:8" ht="11.25" customHeight="1" x14ac:dyDescent="0.2">
      <c r="C218" s="1" t="s">
        <v>2318</v>
      </c>
      <c r="E218" s="155" t="s">
        <v>773</v>
      </c>
      <c r="F218" s="158">
        <v>100</v>
      </c>
      <c r="G218" s="155">
        <v>26706</v>
      </c>
      <c r="H218" s="164">
        <v>53.29</v>
      </c>
    </row>
    <row r="219" spans="1:8" ht="11.25" customHeight="1" x14ac:dyDescent="0.2">
      <c r="C219" s="1" t="s">
        <v>2318</v>
      </c>
    </row>
    <row r="220" spans="1:8" ht="11.25" customHeight="1" x14ac:dyDescent="0.2">
      <c r="A220" s="1" t="s">
        <v>742</v>
      </c>
      <c r="C220" s="1" t="s">
        <v>2936</v>
      </c>
      <c r="D220" s="4" t="s">
        <v>1072</v>
      </c>
      <c r="E220" s="16">
        <v>2585</v>
      </c>
      <c r="F220" s="81">
        <v>26.6</v>
      </c>
    </row>
    <row r="221" spans="1:8" ht="11.25" customHeight="1" x14ac:dyDescent="0.2">
      <c r="C221" s="2" t="s">
        <v>3163</v>
      </c>
      <c r="D221" s="4" t="s">
        <v>655</v>
      </c>
      <c r="E221" s="16">
        <v>4314</v>
      </c>
      <c r="F221" s="81">
        <v>44.4</v>
      </c>
    </row>
    <row r="222" spans="1:8" ht="11.25" customHeight="1" x14ac:dyDescent="0.2">
      <c r="C222" s="1" t="s">
        <v>2473</v>
      </c>
      <c r="D222" s="4" t="s">
        <v>1736</v>
      </c>
      <c r="E222" s="16">
        <v>2818</v>
      </c>
      <c r="F222" s="81">
        <v>29</v>
      </c>
    </row>
    <row r="223" spans="1:8" ht="11.25" customHeight="1" x14ac:dyDescent="0.2">
      <c r="C223" s="1" t="s">
        <v>2318</v>
      </c>
      <c r="E223" s="155" t="s">
        <v>743</v>
      </c>
      <c r="F223" s="158">
        <v>100</v>
      </c>
      <c r="G223" s="155">
        <v>17238</v>
      </c>
      <c r="H223" s="164">
        <v>56.52</v>
      </c>
    </row>
    <row r="224" spans="1:8" ht="11.25" customHeight="1" x14ac:dyDescent="0.2">
      <c r="C224" s="1" t="s">
        <v>2318</v>
      </c>
    </row>
    <row r="225" spans="1:8" ht="11.25" customHeight="1" x14ac:dyDescent="0.2">
      <c r="A225" s="1" t="s">
        <v>1118</v>
      </c>
      <c r="C225" s="1" t="s">
        <v>2474</v>
      </c>
      <c r="D225" s="4" t="s">
        <v>1736</v>
      </c>
      <c r="E225" s="16">
        <v>4421</v>
      </c>
      <c r="F225" s="81">
        <v>31.3</v>
      </c>
    </row>
    <row r="226" spans="1:8" ht="11.25" customHeight="1" x14ac:dyDescent="0.2">
      <c r="C226" s="2" t="s">
        <v>919</v>
      </c>
      <c r="D226" s="4" t="s">
        <v>1072</v>
      </c>
      <c r="E226" s="16">
        <v>7877</v>
      </c>
      <c r="F226" s="81">
        <v>55.8</v>
      </c>
    </row>
    <row r="227" spans="1:8" ht="11.25" customHeight="1" x14ac:dyDescent="0.2">
      <c r="C227" s="1" t="s">
        <v>2475</v>
      </c>
      <c r="D227" s="4" t="s">
        <v>655</v>
      </c>
      <c r="E227" s="16">
        <v>1829</v>
      </c>
      <c r="F227" s="81">
        <v>12.9</v>
      </c>
    </row>
    <row r="228" spans="1:8" ht="11.25" customHeight="1" x14ac:dyDescent="0.2">
      <c r="C228" s="1" t="s">
        <v>2318</v>
      </c>
      <c r="E228" s="155" t="s">
        <v>744</v>
      </c>
      <c r="F228" s="158">
        <v>100</v>
      </c>
      <c r="G228" s="155">
        <v>25251</v>
      </c>
      <c r="H228" s="164">
        <v>56.05</v>
      </c>
    </row>
    <row r="229" spans="1:8" ht="11.25" customHeight="1" x14ac:dyDescent="0.2">
      <c r="C229" s="1" t="s">
        <v>2318</v>
      </c>
    </row>
    <row r="230" spans="1:8" ht="11.25" customHeight="1" x14ac:dyDescent="0.2">
      <c r="A230" s="1" t="s">
        <v>977</v>
      </c>
      <c r="C230" s="2" t="s">
        <v>2476</v>
      </c>
      <c r="D230" s="4" t="s">
        <v>655</v>
      </c>
      <c r="E230" s="16">
        <v>5824</v>
      </c>
      <c r="F230" s="81">
        <v>41.5</v>
      </c>
    </row>
    <row r="231" spans="1:8" ht="11.25" customHeight="1" x14ac:dyDescent="0.2">
      <c r="C231" s="1" t="s">
        <v>2477</v>
      </c>
      <c r="D231" s="4" t="s">
        <v>1736</v>
      </c>
      <c r="E231" s="16">
        <v>3475</v>
      </c>
      <c r="F231" s="81">
        <v>24.8</v>
      </c>
    </row>
    <row r="232" spans="1:8" ht="11.25" customHeight="1" x14ac:dyDescent="0.2">
      <c r="C232" s="1" t="s">
        <v>2478</v>
      </c>
      <c r="D232" s="4" t="s">
        <v>1072</v>
      </c>
      <c r="E232" s="16">
        <v>4729</v>
      </c>
      <c r="F232" s="81">
        <v>33.700000000000003</v>
      </c>
    </row>
    <row r="233" spans="1:8" ht="11.25" customHeight="1" x14ac:dyDescent="0.2">
      <c r="C233" s="1" t="s">
        <v>2318</v>
      </c>
      <c r="E233" s="155" t="s">
        <v>774</v>
      </c>
      <c r="F233" s="158">
        <v>100</v>
      </c>
      <c r="G233" s="155">
        <v>26048</v>
      </c>
      <c r="H233" s="164">
        <v>53.95</v>
      </c>
    </row>
    <row r="234" spans="1:8" ht="11.25" customHeight="1" x14ac:dyDescent="0.2">
      <c r="C234" s="1" t="s">
        <v>2318</v>
      </c>
    </row>
    <row r="235" spans="1:8" ht="11.25" customHeight="1" x14ac:dyDescent="0.2">
      <c r="A235" s="1" t="s">
        <v>981</v>
      </c>
      <c r="C235" s="1" t="s">
        <v>2479</v>
      </c>
      <c r="D235" s="4" t="s">
        <v>1072</v>
      </c>
      <c r="E235" s="16">
        <v>1594</v>
      </c>
      <c r="F235" s="81">
        <v>21.7</v>
      </c>
    </row>
    <row r="236" spans="1:8" ht="11.25" customHeight="1" x14ac:dyDescent="0.2">
      <c r="C236" s="2" t="s">
        <v>1196</v>
      </c>
      <c r="D236" s="4" t="s">
        <v>655</v>
      </c>
      <c r="E236" s="16">
        <v>4229</v>
      </c>
      <c r="F236" s="81">
        <v>57.6</v>
      </c>
    </row>
    <row r="237" spans="1:8" ht="11.25" customHeight="1" x14ac:dyDescent="0.2">
      <c r="C237" s="1" t="s">
        <v>2480</v>
      </c>
      <c r="D237" s="4" t="s">
        <v>1736</v>
      </c>
      <c r="E237" s="16">
        <v>1519</v>
      </c>
      <c r="F237" s="81">
        <v>20.7</v>
      </c>
    </row>
    <row r="238" spans="1:8" ht="11.25" customHeight="1" x14ac:dyDescent="0.2">
      <c r="C238" s="1" t="s">
        <v>2318</v>
      </c>
      <c r="E238" s="155" t="s">
        <v>3118</v>
      </c>
      <c r="F238" s="158">
        <v>100</v>
      </c>
      <c r="G238" s="155">
        <v>15068</v>
      </c>
      <c r="H238" s="164">
        <v>48.83</v>
      </c>
    </row>
    <row r="239" spans="1:8" ht="11.25" customHeight="1" x14ac:dyDescent="0.2">
      <c r="C239" s="1" t="s">
        <v>2318</v>
      </c>
    </row>
    <row r="240" spans="1:8" ht="11.25" customHeight="1" x14ac:dyDescent="0.2">
      <c r="A240" s="1" t="s">
        <v>3119</v>
      </c>
      <c r="C240" s="2" t="s">
        <v>2481</v>
      </c>
      <c r="D240" s="4" t="s">
        <v>1736</v>
      </c>
      <c r="E240" s="16">
        <v>6169</v>
      </c>
      <c r="F240" s="81">
        <v>40.200000000000003</v>
      </c>
    </row>
    <row r="241" spans="1:8" ht="11.25" customHeight="1" x14ac:dyDescent="0.2">
      <c r="C241" s="1" t="s">
        <v>2482</v>
      </c>
      <c r="D241" s="4" t="s">
        <v>655</v>
      </c>
      <c r="E241" s="16">
        <v>4979</v>
      </c>
      <c r="F241" s="81">
        <v>32.4</v>
      </c>
    </row>
    <row r="242" spans="1:8" ht="11.25" customHeight="1" x14ac:dyDescent="0.2">
      <c r="C242" s="1" t="s">
        <v>2483</v>
      </c>
      <c r="D242" s="4" t="s">
        <v>1072</v>
      </c>
      <c r="E242" s="16">
        <v>4203</v>
      </c>
      <c r="F242" s="81">
        <v>27.4</v>
      </c>
    </row>
    <row r="243" spans="1:8" ht="11.25" customHeight="1" x14ac:dyDescent="0.2">
      <c r="C243" s="1" t="s">
        <v>2318</v>
      </c>
      <c r="E243" s="155" t="s">
        <v>3120</v>
      </c>
      <c r="F243" s="158">
        <v>100</v>
      </c>
      <c r="G243" s="155">
        <v>24312</v>
      </c>
      <c r="H243" s="164">
        <v>63.34</v>
      </c>
    </row>
    <row r="244" spans="1:8" ht="11.25" customHeight="1" x14ac:dyDescent="0.2">
      <c r="C244" s="1" t="s">
        <v>2318</v>
      </c>
    </row>
    <row r="245" spans="1:8" ht="11.25" customHeight="1" x14ac:dyDescent="0.2">
      <c r="A245" s="1" t="s">
        <v>994</v>
      </c>
      <c r="C245" s="1" t="s">
        <v>3249</v>
      </c>
      <c r="D245" s="4" t="s">
        <v>1072</v>
      </c>
      <c r="E245" s="16">
        <v>2437</v>
      </c>
      <c r="F245" s="81">
        <v>18.899999999999999</v>
      </c>
    </row>
    <row r="246" spans="1:8" ht="11.25" customHeight="1" x14ac:dyDescent="0.2">
      <c r="C246" s="1" t="s">
        <v>2484</v>
      </c>
      <c r="D246" s="4" t="s">
        <v>1736</v>
      </c>
      <c r="E246" s="16">
        <v>3724</v>
      </c>
      <c r="F246" s="81">
        <v>29</v>
      </c>
    </row>
    <row r="247" spans="1:8" ht="11.25" customHeight="1" x14ac:dyDescent="0.2">
      <c r="C247" s="2" t="s">
        <v>3252</v>
      </c>
      <c r="D247" s="4" t="s">
        <v>655</v>
      </c>
      <c r="E247" s="16">
        <v>6696</v>
      </c>
      <c r="F247" s="81">
        <v>52.1</v>
      </c>
    </row>
    <row r="248" spans="1:8" ht="11.25" customHeight="1" x14ac:dyDescent="0.2">
      <c r="C248" s="1" t="s">
        <v>2318</v>
      </c>
      <c r="E248" s="155" t="s">
        <v>1435</v>
      </c>
      <c r="F248" s="158">
        <v>100</v>
      </c>
      <c r="G248" s="155">
        <v>21696</v>
      </c>
      <c r="H248" s="164">
        <v>59.48</v>
      </c>
    </row>
    <row r="249" spans="1:8" ht="11.25" customHeight="1" x14ac:dyDescent="0.2">
      <c r="C249" s="1" t="s">
        <v>2318</v>
      </c>
    </row>
    <row r="250" spans="1:8" ht="11.25" customHeight="1" x14ac:dyDescent="0.2">
      <c r="A250" s="1" t="s">
        <v>999</v>
      </c>
      <c r="C250" s="1" t="s">
        <v>2485</v>
      </c>
      <c r="D250" s="4" t="s">
        <v>655</v>
      </c>
      <c r="E250" s="16">
        <v>2099</v>
      </c>
      <c r="F250" s="81">
        <v>11.4</v>
      </c>
    </row>
    <row r="251" spans="1:8" ht="11.25" customHeight="1" x14ac:dyDescent="0.2">
      <c r="C251" s="1" t="s">
        <v>1283</v>
      </c>
      <c r="D251" s="4" t="s">
        <v>1736</v>
      </c>
      <c r="E251" s="16">
        <v>8005</v>
      </c>
      <c r="F251" s="81">
        <v>43.4</v>
      </c>
    </row>
    <row r="252" spans="1:8" ht="11.25" customHeight="1" x14ac:dyDescent="0.2">
      <c r="C252" s="2" t="s">
        <v>822</v>
      </c>
      <c r="D252" s="4" t="s">
        <v>1072</v>
      </c>
      <c r="E252" s="16">
        <v>8350</v>
      </c>
      <c r="F252" s="81">
        <v>45.2</v>
      </c>
    </row>
    <row r="253" spans="1:8" ht="11.25" customHeight="1" x14ac:dyDescent="0.2">
      <c r="C253" s="1" t="s">
        <v>2318</v>
      </c>
      <c r="E253" s="155" t="s">
        <v>1436</v>
      </c>
      <c r="F253" s="158">
        <v>100</v>
      </c>
      <c r="G253" s="155">
        <v>31536</v>
      </c>
      <c r="H253" s="164">
        <v>58.65</v>
      </c>
    </row>
    <row r="254" spans="1:8" ht="11.25" customHeight="1" x14ac:dyDescent="0.2">
      <c r="C254" s="1" t="s">
        <v>2318</v>
      </c>
    </row>
    <row r="255" spans="1:8" ht="11.25" customHeight="1" x14ac:dyDescent="0.2">
      <c r="A255" s="1" t="s">
        <v>1356</v>
      </c>
      <c r="C255" s="1" t="s">
        <v>2486</v>
      </c>
      <c r="D255" s="4" t="s">
        <v>1072</v>
      </c>
      <c r="E255" s="16">
        <v>1606</v>
      </c>
      <c r="F255" s="81">
        <v>18.7</v>
      </c>
    </row>
    <row r="256" spans="1:8" ht="11.25" customHeight="1" x14ac:dyDescent="0.2">
      <c r="C256" s="1" t="s">
        <v>1264</v>
      </c>
      <c r="D256" s="4" t="s">
        <v>655</v>
      </c>
      <c r="E256" s="16">
        <v>2740</v>
      </c>
      <c r="F256" s="81">
        <v>31.9</v>
      </c>
    </row>
    <row r="257" spans="1:8" ht="11.25" customHeight="1" x14ac:dyDescent="0.2">
      <c r="C257" s="2" t="s">
        <v>2487</v>
      </c>
      <c r="D257" s="4" t="s">
        <v>1736</v>
      </c>
      <c r="E257" s="16">
        <v>4245</v>
      </c>
      <c r="F257" s="81">
        <v>49.4</v>
      </c>
    </row>
    <row r="258" spans="1:8" ht="11.25" customHeight="1" x14ac:dyDescent="0.2">
      <c r="C258" s="1" t="s">
        <v>2318</v>
      </c>
      <c r="E258" s="155" t="s">
        <v>1437</v>
      </c>
      <c r="F258" s="158">
        <v>100</v>
      </c>
      <c r="G258" s="155">
        <v>20385</v>
      </c>
      <c r="H258" s="164">
        <v>42.24</v>
      </c>
    </row>
    <row r="259" spans="1:8" ht="11.25" customHeight="1" x14ac:dyDescent="0.2">
      <c r="C259" s="1" t="s">
        <v>2318</v>
      </c>
    </row>
    <row r="260" spans="1:8" ht="11.25" customHeight="1" x14ac:dyDescent="0.2">
      <c r="A260" s="1" t="s">
        <v>1920</v>
      </c>
      <c r="C260" s="2" t="s">
        <v>2488</v>
      </c>
      <c r="D260" s="4" t="s">
        <v>1736</v>
      </c>
      <c r="E260" s="16">
        <v>5319</v>
      </c>
      <c r="F260" s="81">
        <v>52.6</v>
      </c>
    </row>
    <row r="261" spans="1:8" ht="11.25" customHeight="1" x14ac:dyDescent="0.2">
      <c r="C261" s="1" t="s">
        <v>2489</v>
      </c>
      <c r="D261" s="4" t="s">
        <v>1071</v>
      </c>
      <c r="E261" s="16">
        <v>482</v>
      </c>
      <c r="F261" s="81">
        <v>4.8</v>
      </c>
    </row>
    <row r="262" spans="1:8" ht="11.25" customHeight="1" x14ac:dyDescent="0.2">
      <c r="C262" s="1" t="s">
        <v>2490</v>
      </c>
      <c r="D262" s="4" t="s">
        <v>1072</v>
      </c>
      <c r="E262" s="16">
        <v>1611</v>
      </c>
      <c r="F262" s="81">
        <v>15.9</v>
      </c>
    </row>
    <row r="263" spans="1:8" ht="11.25" customHeight="1" x14ac:dyDescent="0.2">
      <c r="C263" s="1" t="s">
        <v>2491</v>
      </c>
      <c r="D263" s="4" t="s">
        <v>655</v>
      </c>
      <c r="E263" s="16">
        <v>2696</v>
      </c>
      <c r="F263" s="81">
        <v>26.7</v>
      </c>
    </row>
    <row r="264" spans="1:8" ht="11.25" customHeight="1" x14ac:dyDescent="0.2">
      <c r="C264" s="1" t="s">
        <v>2318</v>
      </c>
      <c r="E264" s="155" t="s">
        <v>1739</v>
      </c>
      <c r="F264" s="158">
        <v>100</v>
      </c>
      <c r="G264" s="155">
        <v>22850</v>
      </c>
      <c r="H264" s="164">
        <v>44.32</v>
      </c>
    </row>
    <row r="265" spans="1:8" ht="11.25" customHeight="1" x14ac:dyDescent="0.2">
      <c r="C265" s="1" t="s">
        <v>2318</v>
      </c>
    </row>
    <row r="266" spans="1:8" ht="11.25" customHeight="1" x14ac:dyDescent="0.2">
      <c r="A266" s="1" t="s">
        <v>1740</v>
      </c>
      <c r="C266" s="1" t="s">
        <v>2492</v>
      </c>
      <c r="D266" s="4" t="s">
        <v>655</v>
      </c>
      <c r="E266" s="16">
        <v>1591</v>
      </c>
      <c r="F266" s="81">
        <v>17.5</v>
      </c>
    </row>
    <row r="267" spans="1:8" ht="11.25" customHeight="1" x14ac:dyDescent="0.2">
      <c r="C267" s="1" t="s">
        <v>2493</v>
      </c>
      <c r="D267" s="4" t="s">
        <v>1072</v>
      </c>
      <c r="E267" s="16">
        <v>2024</v>
      </c>
      <c r="F267" s="81">
        <v>22.2</v>
      </c>
    </row>
    <row r="268" spans="1:8" ht="11.25" customHeight="1" x14ac:dyDescent="0.2">
      <c r="C268" s="2" t="s">
        <v>1375</v>
      </c>
      <c r="D268" s="4" t="s">
        <v>1736</v>
      </c>
      <c r="E268" s="16">
        <v>5481</v>
      </c>
      <c r="F268" s="81">
        <v>60.3</v>
      </c>
    </row>
    <row r="269" spans="1:8" ht="11.25" customHeight="1" x14ac:dyDescent="0.2">
      <c r="C269" s="1" t="s">
        <v>2318</v>
      </c>
      <c r="E269" s="155" t="s">
        <v>1741</v>
      </c>
      <c r="F269" s="158">
        <v>100</v>
      </c>
      <c r="G269" s="155">
        <v>16485</v>
      </c>
      <c r="H269" s="164">
        <v>55.41</v>
      </c>
    </row>
    <row r="270" spans="1:8" ht="11.25" customHeight="1" x14ac:dyDescent="0.2">
      <c r="C270" s="1" t="s">
        <v>2318</v>
      </c>
    </row>
    <row r="271" spans="1:8" ht="11.25" customHeight="1" x14ac:dyDescent="0.2">
      <c r="A271" s="1" t="s">
        <v>1742</v>
      </c>
      <c r="C271" s="1" t="s">
        <v>2494</v>
      </c>
      <c r="D271" s="4" t="s">
        <v>1072</v>
      </c>
      <c r="E271" s="16">
        <v>1761</v>
      </c>
      <c r="F271" s="81">
        <v>24.4</v>
      </c>
    </row>
    <row r="272" spans="1:8" ht="11.25" customHeight="1" x14ac:dyDescent="0.2">
      <c r="C272" s="2" t="s">
        <v>871</v>
      </c>
      <c r="D272" s="4" t="s">
        <v>1736</v>
      </c>
      <c r="E272" s="16">
        <v>4169</v>
      </c>
      <c r="F272" s="81">
        <v>57.7</v>
      </c>
    </row>
    <row r="273" spans="1:8" ht="11.25" customHeight="1" x14ac:dyDescent="0.2">
      <c r="C273" s="1" t="s">
        <v>2495</v>
      </c>
      <c r="D273" s="4" t="s">
        <v>655</v>
      </c>
      <c r="E273" s="16">
        <v>1294</v>
      </c>
      <c r="F273" s="81">
        <v>17.899999999999999</v>
      </c>
    </row>
    <row r="274" spans="1:8" ht="11.25" customHeight="1" x14ac:dyDescent="0.2">
      <c r="C274" s="1" t="s">
        <v>2318</v>
      </c>
      <c r="E274" s="155" t="s">
        <v>1743</v>
      </c>
      <c r="F274" s="158">
        <v>100</v>
      </c>
      <c r="G274" s="155">
        <v>12230</v>
      </c>
      <c r="H274" s="164">
        <v>58.4</v>
      </c>
    </row>
    <row r="275" spans="1:8" ht="11.25" customHeight="1" x14ac:dyDescent="0.2">
      <c r="C275" s="1" t="s">
        <v>2318</v>
      </c>
    </row>
    <row r="276" spans="1:8" ht="11.25" customHeight="1" x14ac:dyDescent="0.2">
      <c r="A276" s="1" t="s">
        <v>1744</v>
      </c>
      <c r="C276" s="2" t="s">
        <v>2496</v>
      </c>
      <c r="D276" s="4" t="s">
        <v>1736</v>
      </c>
      <c r="E276" s="16">
        <v>4014</v>
      </c>
      <c r="F276" s="81">
        <v>59.9</v>
      </c>
    </row>
    <row r="277" spans="1:8" ht="11.25" customHeight="1" x14ac:dyDescent="0.2">
      <c r="C277" s="1" t="s">
        <v>2497</v>
      </c>
      <c r="D277" s="4" t="s">
        <v>655</v>
      </c>
      <c r="E277" s="16">
        <v>1217</v>
      </c>
      <c r="F277" s="81">
        <v>18.2</v>
      </c>
    </row>
    <row r="278" spans="1:8" ht="11.25" customHeight="1" x14ac:dyDescent="0.2">
      <c r="C278" s="1" t="s">
        <v>2498</v>
      </c>
      <c r="D278" s="4" t="s">
        <v>1072</v>
      </c>
      <c r="E278" s="16">
        <v>1467</v>
      </c>
      <c r="F278" s="81">
        <v>21.9</v>
      </c>
    </row>
    <row r="279" spans="1:8" ht="11.25" customHeight="1" x14ac:dyDescent="0.2">
      <c r="C279" s="1" t="s">
        <v>2318</v>
      </c>
      <c r="E279" s="155" t="s">
        <v>1745</v>
      </c>
      <c r="F279" s="158">
        <v>100</v>
      </c>
      <c r="G279" s="155">
        <v>12214</v>
      </c>
      <c r="H279" s="164">
        <v>55.04</v>
      </c>
    </row>
    <row r="280" spans="1:8" ht="11.25" customHeight="1" x14ac:dyDescent="0.2">
      <c r="C280" s="1" t="s">
        <v>2318</v>
      </c>
    </row>
    <row r="281" spans="1:8" ht="11.25" customHeight="1" x14ac:dyDescent="0.2">
      <c r="A281" s="1" t="s">
        <v>2350</v>
      </c>
      <c r="C281" s="2" t="s">
        <v>2499</v>
      </c>
      <c r="D281" s="4" t="s">
        <v>1736</v>
      </c>
      <c r="E281" s="16">
        <v>3249</v>
      </c>
      <c r="F281" s="81">
        <v>46.6</v>
      </c>
      <c r="G281" s="19"/>
    </row>
    <row r="282" spans="1:8" ht="11.25" customHeight="1" x14ac:dyDescent="0.2">
      <c r="C282" s="1" t="s">
        <v>2500</v>
      </c>
      <c r="D282" s="4" t="s">
        <v>655</v>
      </c>
      <c r="E282" s="16">
        <v>1294</v>
      </c>
      <c r="F282" s="81">
        <v>18.899999999999999</v>
      </c>
    </row>
    <row r="283" spans="1:8" ht="11.25" customHeight="1" x14ac:dyDescent="0.2">
      <c r="C283" s="1" t="s">
        <v>2501</v>
      </c>
      <c r="D283" s="4" t="s">
        <v>1072</v>
      </c>
      <c r="E283" s="16">
        <v>2286</v>
      </c>
      <c r="F283" s="81">
        <v>33.5</v>
      </c>
    </row>
    <row r="284" spans="1:8" ht="11.25" customHeight="1" x14ac:dyDescent="0.2">
      <c r="C284" s="1" t="s">
        <v>2318</v>
      </c>
      <c r="E284" s="155" t="s">
        <v>1746</v>
      </c>
      <c r="F284" s="158">
        <v>100</v>
      </c>
      <c r="G284" s="155">
        <v>12074</v>
      </c>
      <c r="H284" s="164">
        <v>56.63</v>
      </c>
    </row>
    <row r="285" spans="1:8" ht="11.25" customHeight="1" x14ac:dyDescent="0.2">
      <c r="C285" s="1" t="s">
        <v>2318</v>
      </c>
    </row>
    <row r="286" spans="1:8" ht="11.25" customHeight="1" x14ac:dyDescent="0.2">
      <c r="A286" s="1" t="s">
        <v>1935</v>
      </c>
      <c r="C286" s="1" t="s">
        <v>2502</v>
      </c>
      <c r="D286" s="4" t="s">
        <v>1072</v>
      </c>
      <c r="E286" s="16">
        <v>2973</v>
      </c>
      <c r="F286" s="81">
        <v>29.3</v>
      </c>
      <c r="H286" s="82" t="s">
        <v>1747</v>
      </c>
    </row>
    <row r="287" spans="1:8" ht="11.25" customHeight="1" x14ac:dyDescent="0.2">
      <c r="C287" s="1" t="s">
        <v>2503</v>
      </c>
      <c r="D287" s="4" t="s">
        <v>655</v>
      </c>
      <c r="E287" s="16">
        <v>2170</v>
      </c>
      <c r="F287" s="81">
        <v>21.4</v>
      </c>
    </row>
    <row r="288" spans="1:8" ht="11.25" customHeight="1" x14ac:dyDescent="0.2">
      <c r="C288" s="2" t="s">
        <v>1518</v>
      </c>
      <c r="D288" s="4" t="s">
        <v>1736</v>
      </c>
      <c r="E288" s="16">
        <v>4993</v>
      </c>
      <c r="F288" s="81">
        <v>49.3</v>
      </c>
    </row>
    <row r="289" spans="1:8" ht="11.25" customHeight="1" x14ac:dyDescent="0.2">
      <c r="C289" s="1" t="s">
        <v>2318</v>
      </c>
      <c r="E289" s="155" t="s">
        <v>1748</v>
      </c>
      <c r="F289" s="158">
        <v>100</v>
      </c>
      <c r="G289" s="155">
        <v>18970</v>
      </c>
      <c r="H289" s="164">
        <v>53.53</v>
      </c>
    </row>
    <row r="290" spans="1:8" ht="11.25" customHeight="1" x14ac:dyDescent="0.2">
      <c r="C290" s="1" t="s">
        <v>2318</v>
      </c>
    </row>
    <row r="291" spans="1:8" ht="11.25" customHeight="1" x14ac:dyDescent="0.2">
      <c r="A291" s="1" t="s">
        <v>3180</v>
      </c>
      <c r="C291" s="2" t="s">
        <v>2504</v>
      </c>
      <c r="D291" s="4" t="s">
        <v>1736</v>
      </c>
      <c r="E291" s="16">
        <v>4741</v>
      </c>
      <c r="F291" s="81">
        <v>45.4</v>
      </c>
    </row>
    <row r="292" spans="1:8" ht="11.25" customHeight="1" x14ac:dyDescent="0.2">
      <c r="C292" s="1" t="s">
        <v>2505</v>
      </c>
      <c r="D292" s="4" t="s">
        <v>655</v>
      </c>
      <c r="E292" s="16">
        <v>2483</v>
      </c>
      <c r="F292" s="81">
        <v>23.8</v>
      </c>
    </row>
    <row r="293" spans="1:8" ht="11.25" customHeight="1" x14ac:dyDescent="0.2">
      <c r="C293" s="1" t="s">
        <v>2506</v>
      </c>
      <c r="D293" s="4" t="s">
        <v>1072</v>
      </c>
      <c r="E293" s="16">
        <v>3210</v>
      </c>
      <c r="F293" s="81">
        <v>30.8</v>
      </c>
    </row>
    <row r="294" spans="1:8" ht="11.25" customHeight="1" x14ac:dyDescent="0.2">
      <c r="C294" s="1" t="s">
        <v>2318</v>
      </c>
      <c r="E294" s="155" t="s">
        <v>1749</v>
      </c>
      <c r="F294" s="158">
        <v>100</v>
      </c>
      <c r="G294" s="155">
        <v>21805</v>
      </c>
      <c r="H294" s="164">
        <v>47.97</v>
      </c>
    </row>
    <row r="295" spans="1:8" ht="11.25" customHeight="1" x14ac:dyDescent="0.2">
      <c r="C295" s="1" t="s">
        <v>2318</v>
      </c>
    </row>
    <row r="296" spans="1:8" ht="11.25" customHeight="1" x14ac:dyDescent="0.2">
      <c r="A296" s="1" t="s">
        <v>3185</v>
      </c>
      <c r="C296" s="1" t="s">
        <v>2507</v>
      </c>
      <c r="D296" s="4" t="s">
        <v>655</v>
      </c>
      <c r="E296" s="16">
        <v>426</v>
      </c>
      <c r="F296" s="81">
        <v>8.6999999999999993</v>
      </c>
    </row>
    <row r="297" spans="1:8" ht="11.25" customHeight="1" x14ac:dyDescent="0.2">
      <c r="C297" s="1" t="s">
        <v>2508</v>
      </c>
      <c r="D297" s="4" t="s">
        <v>1072</v>
      </c>
      <c r="E297" s="16">
        <v>579</v>
      </c>
      <c r="F297" s="81">
        <v>11.8</v>
      </c>
    </row>
    <row r="298" spans="1:8" ht="11.25" customHeight="1" x14ac:dyDescent="0.2">
      <c r="C298" s="2" t="s">
        <v>812</v>
      </c>
      <c r="D298" s="4" t="s">
        <v>1736</v>
      </c>
      <c r="E298" s="16">
        <v>3907</v>
      </c>
      <c r="F298" s="81">
        <v>79.5</v>
      </c>
    </row>
    <row r="299" spans="1:8" ht="11.25" customHeight="1" x14ac:dyDescent="0.2">
      <c r="C299" s="1" t="s">
        <v>2318</v>
      </c>
      <c r="E299" s="155" t="s">
        <v>1750</v>
      </c>
      <c r="F299" s="158">
        <v>100</v>
      </c>
      <c r="G299" s="155">
        <v>9145</v>
      </c>
      <c r="H299" s="164">
        <v>53.79</v>
      </c>
    </row>
    <row r="300" spans="1:8" ht="11.25" customHeight="1" x14ac:dyDescent="0.2">
      <c r="C300" s="1" t="s">
        <v>2318</v>
      </c>
    </row>
    <row r="301" spans="1:8" ht="11.25" customHeight="1" x14ac:dyDescent="0.2">
      <c r="A301" s="1" t="s">
        <v>3088</v>
      </c>
      <c r="C301" s="2" t="s">
        <v>2509</v>
      </c>
      <c r="D301" s="4" t="s">
        <v>1736</v>
      </c>
      <c r="E301" s="16">
        <v>3584</v>
      </c>
      <c r="F301" s="81">
        <v>66.900000000000006</v>
      </c>
    </row>
    <row r="302" spans="1:8" ht="11.25" customHeight="1" x14ac:dyDescent="0.2">
      <c r="C302" s="1" t="s">
        <v>1263</v>
      </c>
      <c r="D302" s="4" t="s">
        <v>1072</v>
      </c>
      <c r="E302" s="16">
        <v>923</v>
      </c>
      <c r="F302" s="81">
        <v>17.2</v>
      </c>
    </row>
    <row r="303" spans="1:8" ht="11.25" customHeight="1" x14ac:dyDescent="0.2">
      <c r="C303" s="1" t="s">
        <v>2510</v>
      </c>
      <c r="D303" s="4" t="s">
        <v>655</v>
      </c>
      <c r="E303" s="16">
        <v>849</v>
      </c>
      <c r="F303" s="81">
        <v>15.9</v>
      </c>
    </row>
    <row r="304" spans="1:8" ht="11.25" customHeight="1" x14ac:dyDescent="0.2">
      <c r="C304" s="1" t="s">
        <v>2318</v>
      </c>
      <c r="E304" s="155" t="s">
        <v>1751</v>
      </c>
      <c r="F304" s="158">
        <v>100</v>
      </c>
      <c r="G304" s="155">
        <v>11807</v>
      </c>
      <c r="H304" s="164">
        <v>45.47</v>
      </c>
    </row>
    <row r="305" spans="1:8" ht="11.25" customHeight="1" x14ac:dyDescent="0.2">
      <c r="C305" s="1" t="s">
        <v>2318</v>
      </c>
    </row>
    <row r="306" spans="1:8" ht="11.25" customHeight="1" x14ac:dyDescent="0.2">
      <c r="A306" s="1" t="s">
        <v>1752</v>
      </c>
      <c r="C306" s="1" t="s">
        <v>2511</v>
      </c>
      <c r="D306" s="4" t="s">
        <v>655</v>
      </c>
      <c r="E306" s="16">
        <v>1292</v>
      </c>
      <c r="F306" s="81">
        <v>19.600000000000001</v>
      </c>
    </row>
    <row r="307" spans="1:8" ht="11.25" customHeight="1" x14ac:dyDescent="0.2">
      <c r="C307" s="2" t="s">
        <v>2512</v>
      </c>
      <c r="D307" s="4" t="s">
        <v>1736</v>
      </c>
      <c r="E307" s="16">
        <v>4459</v>
      </c>
      <c r="F307" s="81">
        <v>67.5</v>
      </c>
    </row>
    <row r="308" spans="1:8" ht="11.25" customHeight="1" x14ac:dyDescent="0.2">
      <c r="C308" s="1" t="s">
        <v>2513</v>
      </c>
      <c r="D308" s="4" t="s">
        <v>1072</v>
      </c>
      <c r="E308" s="16">
        <v>856</v>
      </c>
      <c r="F308" s="81">
        <v>12.9</v>
      </c>
    </row>
    <row r="309" spans="1:8" ht="11.25" customHeight="1" x14ac:dyDescent="0.2">
      <c r="C309" s="1" t="s">
        <v>2318</v>
      </c>
      <c r="E309" s="155" t="s">
        <v>1753</v>
      </c>
      <c r="F309" s="158">
        <v>100</v>
      </c>
      <c r="G309" s="155">
        <v>11266</v>
      </c>
      <c r="H309" s="164">
        <v>58.89</v>
      </c>
    </row>
    <row r="310" spans="1:8" ht="11.25" customHeight="1" x14ac:dyDescent="0.2">
      <c r="C310" s="1" t="s">
        <v>2318</v>
      </c>
    </row>
    <row r="311" spans="1:8" ht="11.25" customHeight="1" x14ac:dyDescent="0.2">
      <c r="A311" s="1" t="s">
        <v>3195</v>
      </c>
      <c r="C311" s="2" t="s">
        <v>1521</v>
      </c>
      <c r="D311" s="4" t="s">
        <v>1736</v>
      </c>
      <c r="E311" s="16">
        <v>6465</v>
      </c>
      <c r="F311" s="81">
        <v>41</v>
      </c>
    </row>
    <row r="312" spans="1:8" ht="11.25" customHeight="1" x14ac:dyDescent="0.2">
      <c r="C312" s="1" t="s">
        <v>2514</v>
      </c>
      <c r="D312" s="4" t="s">
        <v>655</v>
      </c>
      <c r="E312" s="16">
        <v>4088</v>
      </c>
      <c r="F312" s="81">
        <v>25.9</v>
      </c>
    </row>
    <row r="313" spans="1:8" ht="11.25" customHeight="1" x14ac:dyDescent="0.2">
      <c r="C313" s="1" t="s">
        <v>2515</v>
      </c>
      <c r="D313" s="4" t="s">
        <v>1072</v>
      </c>
      <c r="E313" s="16">
        <v>5213</v>
      </c>
      <c r="F313" s="81">
        <v>33.1</v>
      </c>
    </row>
    <row r="314" spans="1:8" ht="11.25" customHeight="1" x14ac:dyDescent="0.2">
      <c r="C314" s="1" t="s">
        <v>2318</v>
      </c>
      <c r="E314" s="155" t="s">
        <v>1754</v>
      </c>
      <c r="F314" s="158">
        <v>100</v>
      </c>
      <c r="G314" s="155">
        <v>29589</v>
      </c>
      <c r="H314" s="164">
        <v>53.45</v>
      </c>
    </row>
    <row r="315" spans="1:8" ht="11.25" customHeight="1" x14ac:dyDescent="0.2">
      <c r="C315" s="1" t="s">
        <v>2318</v>
      </c>
    </row>
    <row r="316" spans="1:8" ht="11.25" customHeight="1" x14ac:dyDescent="0.2">
      <c r="A316" s="1" t="s">
        <v>1978</v>
      </c>
      <c r="C316" s="2" t="s">
        <v>2516</v>
      </c>
      <c r="D316" s="4" t="s">
        <v>1736</v>
      </c>
      <c r="E316" s="16">
        <v>4960</v>
      </c>
      <c r="F316" s="81">
        <v>60.1</v>
      </c>
    </row>
    <row r="317" spans="1:8" ht="11.25" customHeight="1" x14ac:dyDescent="0.2">
      <c r="C317" s="1" t="s">
        <v>435</v>
      </c>
      <c r="D317" s="4" t="s">
        <v>1072</v>
      </c>
      <c r="E317" s="16">
        <v>1182</v>
      </c>
      <c r="F317" s="81">
        <v>14.3</v>
      </c>
    </row>
    <row r="318" spans="1:8" ht="11.25" customHeight="1" x14ac:dyDescent="0.2">
      <c r="C318" s="1" t="s">
        <v>2517</v>
      </c>
      <c r="D318" s="4" t="s">
        <v>655</v>
      </c>
      <c r="E318" s="16">
        <v>842</v>
      </c>
      <c r="F318" s="81">
        <v>10.5</v>
      </c>
    </row>
    <row r="319" spans="1:8" ht="11.25" customHeight="1" x14ac:dyDescent="0.2">
      <c r="C319" s="1" t="s">
        <v>2518</v>
      </c>
      <c r="D319" s="4" t="s">
        <v>1071</v>
      </c>
      <c r="E319" s="16">
        <v>1249</v>
      </c>
      <c r="F319" s="81">
        <v>15.1</v>
      </c>
    </row>
    <row r="320" spans="1:8" ht="11.25" customHeight="1" x14ac:dyDescent="0.2">
      <c r="C320" s="1" t="s">
        <v>2318</v>
      </c>
      <c r="E320" s="155" t="s">
        <v>1755</v>
      </c>
      <c r="F320" s="158">
        <v>100</v>
      </c>
      <c r="G320" s="155">
        <v>14612</v>
      </c>
      <c r="H320" s="164">
        <v>56.56</v>
      </c>
    </row>
    <row r="321" spans="1:8" ht="11.25" customHeight="1" x14ac:dyDescent="0.2">
      <c r="C321" s="1" t="s">
        <v>2318</v>
      </c>
    </row>
    <row r="322" spans="1:8" ht="11.25" customHeight="1" x14ac:dyDescent="0.2">
      <c r="A322" s="1" t="s">
        <v>415</v>
      </c>
      <c r="C322" s="2" t="s">
        <v>1522</v>
      </c>
      <c r="D322" s="4" t="s">
        <v>1736</v>
      </c>
      <c r="E322" s="16">
        <v>3749</v>
      </c>
      <c r="F322" s="81">
        <v>57.8</v>
      </c>
    </row>
    <row r="323" spans="1:8" ht="11.25" customHeight="1" x14ac:dyDescent="0.2">
      <c r="C323" s="1" t="s">
        <v>2519</v>
      </c>
      <c r="D323" s="4" t="s">
        <v>655</v>
      </c>
      <c r="E323" s="16">
        <v>1613</v>
      </c>
      <c r="F323" s="81">
        <v>24.9</v>
      </c>
    </row>
    <row r="324" spans="1:8" ht="11.25" customHeight="1" x14ac:dyDescent="0.2">
      <c r="C324" s="1" t="s">
        <v>2520</v>
      </c>
      <c r="D324" s="4" t="s">
        <v>1072</v>
      </c>
      <c r="E324" s="16">
        <v>1127</v>
      </c>
      <c r="F324" s="81">
        <v>17.3</v>
      </c>
    </row>
    <row r="325" spans="1:8" ht="11.25" customHeight="1" x14ac:dyDescent="0.2">
      <c r="C325" s="1" t="s">
        <v>2318</v>
      </c>
      <c r="E325" s="155" t="s">
        <v>583</v>
      </c>
      <c r="F325" s="158">
        <v>100</v>
      </c>
      <c r="G325" s="155">
        <v>15808</v>
      </c>
      <c r="H325" s="164">
        <v>41.16</v>
      </c>
    </row>
    <row r="326" spans="1:8" ht="11.25" customHeight="1" x14ac:dyDescent="0.2">
      <c r="C326" s="1" t="s">
        <v>2318</v>
      </c>
    </row>
    <row r="327" spans="1:8" ht="11.25" customHeight="1" x14ac:dyDescent="0.2">
      <c r="A327" s="1" t="s">
        <v>584</v>
      </c>
      <c r="C327" s="2" t="s">
        <v>1523</v>
      </c>
      <c r="D327" s="4" t="s">
        <v>1736</v>
      </c>
      <c r="E327" s="16">
        <v>3262</v>
      </c>
      <c r="F327" s="81">
        <v>52.7</v>
      </c>
    </row>
    <row r="328" spans="1:8" ht="11.25" customHeight="1" x14ac:dyDescent="0.2">
      <c r="C328" s="1" t="s">
        <v>2521</v>
      </c>
      <c r="D328" s="4" t="s">
        <v>655</v>
      </c>
      <c r="E328" s="16">
        <v>2119</v>
      </c>
      <c r="F328" s="81">
        <v>34.200000000000003</v>
      </c>
    </row>
    <row r="329" spans="1:8" ht="11.25" customHeight="1" x14ac:dyDescent="0.2">
      <c r="C329" s="1" t="s">
        <v>2522</v>
      </c>
      <c r="D329" s="4" t="s">
        <v>1072</v>
      </c>
      <c r="E329" s="16">
        <v>811</v>
      </c>
      <c r="F329" s="81">
        <v>13.1</v>
      </c>
    </row>
    <row r="330" spans="1:8" ht="11.25" customHeight="1" x14ac:dyDescent="0.2">
      <c r="C330" s="1" t="s">
        <v>2318</v>
      </c>
      <c r="E330" s="155" t="s">
        <v>585</v>
      </c>
      <c r="F330" s="158">
        <v>100</v>
      </c>
      <c r="G330" s="155">
        <v>9044</v>
      </c>
      <c r="H330" s="164">
        <v>68.62</v>
      </c>
    </row>
    <row r="331" spans="1:8" ht="11.25" customHeight="1" x14ac:dyDescent="0.2">
      <c r="C331" s="1" t="s">
        <v>2318</v>
      </c>
    </row>
    <row r="332" spans="1:8" ht="11.25" customHeight="1" x14ac:dyDescent="0.2">
      <c r="A332" s="1" t="s">
        <v>420</v>
      </c>
      <c r="C332" s="1" t="s">
        <v>2523</v>
      </c>
      <c r="D332" s="4" t="s">
        <v>655</v>
      </c>
      <c r="E332" s="16">
        <v>1667</v>
      </c>
      <c r="F332" s="81">
        <v>26.9</v>
      </c>
    </row>
    <row r="333" spans="1:8" ht="11.25" customHeight="1" x14ac:dyDescent="0.2">
      <c r="C333" s="2" t="s">
        <v>422</v>
      </c>
      <c r="D333" s="4" t="s">
        <v>1736</v>
      </c>
      <c r="E333" s="16">
        <v>3729</v>
      </c>
      <c r="F333" s="81">
        <v>60.1</v>
      </c>
    </row>
    <row r="334" spans="1:8" ht="11.25" customHeight="1" x14ac:dyDescent="0.2">
      <c r="C334" s="1" t="s">
        <v>2524</v>
      </c>
      <c r="D334" s="4" t="s">
        <v>1072</v>
      </c>
      <c r="E334" s="16">
        <v>808</v>
      </c>
      <c r="F334" s="81">
        <v>13</v>
      </c>
    </row>
    <row r="335" spans="1:8" ht="11.25" customHeight="1" x14ac:dyDescent="0.2">
      <c r="C335" s="1" t="s">
        <v>2318</v>
      </c>
      <c r="E335" s="155" t="s">
        <v>586</v>
      </c>
      <c r="F335" s="158">
        <v>100</v>
      </c>
      <c r="G335" s="155">
        <v>12314</v>
      </c>
      <c r="H335" s="164">
        <v>50.63</v>
      </c>
    </row>
    <row r="336" spans="1:8" ht="11.25" customHeight="1" x14ac:dyDescent="0.2">
      <c r="C336" s="1" t="s">
        <v>2318</v>
      </c>
    </row>
    <row r="337" spans="1:8" ht="11.25" customHeight="1" x14ac:dyDescent="0.2">
      <c r="A337" s="1" t="s">
        <v>425</v>
      </c>
      <c r="C337" s="1" t="s">
        <v>2525</v>
      </c>
      <c r="D337" s="4" t="s">
        <v>958</v>
      </c>
      <c r="E337" s="16">
        <v>1427</v>
      </c>
      <c r="F337" s="81">
        <v>18.899999999999999</v>
      </c>
    </row>
    <row r="338" spans="1:8" ht="11.25" customHeight="1" x14ac:dyDescent="0.2">
      <c r="C338" s="2" t="s">
        <v>1030</v>
      </c>
      <c r="D338" s="4" t="s">
        <v>1736</v>
      </c>
      <c r="E338" s="16">
        <v>3652</v>
      </c>
      <c r="F338" s="81">
        <v>48.2</v>
      </c>
    </row>
    <row r="339" spans="1:8" ht="11.25" customHeight="1" x14ac:dyDescent="0.2">
      <c r="C339" s="1" t="s">
        <v>2526</v>
      </c>
      <c r="D339" s="4" t="s">
        <v>1072</v>
      </c>
      <c r="E339" s="16">
        <v>2260</v>
      </c>
      <c r="F339" s="81">
        <v>29.9</v>
      </c>
    </row>
    <row r="340" spans="1:8" ht="11.25" customHeight="1" x14ac:dyDescent="0.2">
      <c r="C340" s="1" t="s">
        <v>2527</v>
      </c>
      <c r="D340" s="4" t="s">
        <v>653</v>
      </c>
      <c r="E340" s="16">
        <v>231</v>
      </c>
      <c r="F340" s="81">
        <v>3</v>
      </c>
    </row>
    <row r="341" spans="1:8" ht="11.25" customHeight="1" x14ac:dyDescent="0.2">
      <c r="C341" s="1" t="s">
        <v>2318</v>
      </c>
      <c r="E341" s="155" t="s">
        <v>587</v>
      </c>
      <c r="F341" s="158">
        <v>100</v>
      </c>
      <c r="G341" s="155">
        <v>17916</v>
      </c>
      <c r="H341" s="164">
        <v>42.38</v>
      </c>
    </row>
    <row r="342" spans="1:8" ht="11.25" customHeight="1" x14ac:dyDescent="0.2">
      <c r="C342" s="1" t="s">
        <v>2318</v>
      </c>
    </row>
    <row r="343" spans="1:8" ht="11.25" customHeight="1" x14ac:dyDescent="0.2">
      <c r="A343" s="1" t="s">
        <v>430</v>
      </c>
      <c r="C343" s="2" t="s">
        <v>2528</v>
      </c>
      <c r="D343" s="4" t="s">
        <v>1736</v>
      </c>
      <c r="E343" s="16">
        <v>4637</v>
      </c>
      <c r="F343" s="81">
        <v>49.6</v>
      </c>
    </row>
    <row r="344" spans="1:8" ht="11.25" customHeight="1" x14ac:dyDescent="0.2">
      <c r="C344" s="1" t="s">
        <v>1041</v>
      </c>
      <c r="D344" s="4" t="s">
        <v>1072</v>
      </c>
      <c r="E344" s="16">
        <v>2874</v>
      </c>
      <c r="F344" s="81">
        <v>30.7</v>
      </c>
    </row>
    <row r="345" spans="1:8" ht="11.25" customHeight="1" x14ac:dyDescent="0.2">
      <c r="C345" s="1" t="s">
        <v>2529</v>
      </c>
      <c r="D345" s="4" t="s">
        <v>655</v>
      </c>
      <c r="E345" s="16">
        <v>1840</v>
      </c>
      <c r="F345" s="81">
        <v>19.7</v>
      </c>
    </row>
    <row r="346" spans="1:8" ht="11.25" customHeight="1" x14ac:dyDescent="0.2">
      <c r="C346" s="1" t="s">
        <v>2318</v>
      </c>
      <c r="E346" s="155" t="s">
        <v>775</v>
      </c>
      <c r="F346" s="158">
        <v>100</v>
      </c>
      <c r="G346" s="155">
        <v>18795</v>
      </c>
      <c r="H346" s="164">
        <v>49.95</v>
      </c>
    </row>
    <row r="347" spans="1:8" ht="11.25" customHeight="1" x14ac:dyDescent="0.2">
      <c r="C347" s="1" t="s">
        <v>2318</v>
      </c>
    </row>
    <row r="348" spans="1:8" ht="11.25" customHeight="1" x14ac:dyDescent="0.2">
      <c r="A348" s="1" t="s">
        <v>588</v>
      </c>
      <c r="C348" s="1" t="s">
        <v>2530</v>
      </c>
      <c r="D348" s="4" t="s">
        <v>655</v>
      </c>
      <c r="E348" s="16">
        <v>2359</v>
      </c>
      <c r="F348" s="81">
        <v>28.6</v>
      </c>
    </row>
    <row r="349" spans="1:8" ht="11.25" customHeight="1" x14ac:dyDescent="0.2">
      <c r="C349" s="1" t="s">
        <v>2531</v>
      </c>
      <c r="D349" s="4" t="s">
        <v>1072</v>
      </c>
      <c r="E349" s="16">
        <v>1525</v>
      </c>
      <c r="F349" s="81">
        <v>18.5</v>
      </c>
    </row>
    <row r="350" spans="1:8" ht="11.25" customHeight="1" x14ac:dyDescent="0.2">
      <c r="C350" s="2" t="s">
        <v>2532</v>
      </c>
      <c r="D350" s="4" t="s">
        <v>1736</v>
      </c>
      <c r="E350" s="16">
        <v>4366</v>
      </c>
      <c r="F350" s="81">
        <v>52.9</v>
      </c>
    </row>
    <row r="351" spans="1:8" ht="11.25" customHeight="1" x14ac:dyDescent="0.2">
      <c r="C351" s="1" t="s">
        <v>2318</v>
      </c>
      <c r="E351" s="155" t="s">
        <v>589</v>
      </c>
      <c r="F351" s="158">
        <v>100</v>
      </c>
      <c r="G351" s="155">
        <v>12493</v>
      </c>
      <c r="H351" s="164">
        <v>66.150000000000006</v>
      </c>
    </row>
    <row r="352" spans="1:8" ht="11.25" customHeight="1" x14ac:dyDescent="0.2">
      <c r="C352" s="1" t="s">
        <v>2318</v>
      </c>
    </row>
    <row r="353" spans="1:8" ht="11.25" customHeight="1" x14ac:dyDescent="0.2">
      <c r="A353" s="1" t="s">
        <v>441</v>
      </c>
      <c r="C353" s="1" t="s">
        <v>2533</v>
      </c>
      <c r="D353" s="4" t="s">
        <v>655</v>
      </c>
      <c r="E353" s="16">
        <v>1727</v>
      </c>
      <c r="F353" s="81">
        <v>23.5</v>
      </c>
    </row>
    <row r="354" spans="1:8" ht="11.25" customHeight="1" x14ac:dyDescent="0.2">
      <c r="C354" s="2" t="s">
        <v>444</v>
      </c>
      <c r="D354" s="4" t="s">
        <v>1736</v>
      </c>
      <c r="E354" s="16">
        <v>4392</v>
      </c>
      <c r="F354" s="81">
        <v>59.8</v>
      </c>
    </row>
    <row r="355" spans="1:8" ht="11.25" customHeight="1" x14ac:dyDescent="0.2">
      <c r="C355" s="1" t="s">
        <v>2534</v>
      </c>
      <c r="D355" s="4" t="s">
        <v>1072</v>
      </c>
      <c r="E355" s="16">
        <v>1224</v>
      </c>
      <c r="F355" s="81">
        <v>16.7</v>
      </c>
    </row>
    <row r="356" spans="1:8" ht="11.25" customHeight="1" x14ac:dyDescent="0.2">
      <c r="C356" s="1" t="s">
        <v>2318</v>
      </c>
      <c r="E356" s="155" t="s">
        <v>590</v>
      </c>
      <c r="F356" s="158">
        <v>100</v>
      </c>
      <c r="G356" s="155">
        <v>13733</v>
      </c>
      <c r="H356" s="164">
        <v>53.67</v>
      </c>
    </row>
    <row r="357" spans="1:8" ht="11.25" customHeight="1" x14ac:dyDescent="0.2">
      <c r="C357" s="1" t="s">
        <v>2318</v>
      </c>
    </row>
    <row r="358" spans="1:8" ht="11.25" customHeight="1" x14ac:dyDescent="0.2">
      <c r="A358" s="1" t="s">
        <v>905</v>
      </c>
      <c r="C358" s="1" t="s">
        <v>2535</v>
      </c>
      <c r="D358" s="4" t="s">
        <v>1072</v>
      </c>
      <c r="E358" s="16">
        <v>4299</v>
      </c>
      <c r="F358" s="81">
        <v>31</v>
      </c>
    </row>
    <row r="359" spans="1:8" ht="11.25" customHeight="1" x14ac:dyDescent="0.2">
      <c r="C359" s="2" t="s">
        <v>2536</v>
      </c>
      <c r="D359" s="4" t="s">
        <v>1736</v>
      </c>
      <c r="E359" s="16">
        <v>6462</v>
      </c>
      <c r="F359" s="81">
        <v>46.7</v>
      </c>
    </row>
    <row r="360" spans="1:8" ht="11.25" customHeight="1" x14ac:dyDescent="0.2">
      <c r="C360" s="1" t="s">
        <v>2935</v>
      </c>
      <c r="D360" s="4" t="s">
        <v>655</v>
      </c>
      <c r="E360" s="16">
        <v>3088</v>
      </c>
      <c r="F360" s="81">
        <v>22.3</v>
      </c>
    </row>
    <row r="361" spans="1:8" ht="11.25" customHeight="1" x14ac:dyDescent="0.2">
      <c r="C361" s="1" t="s">
        <v>2318</v>
      </c>
      <c r="E361" s="155" t="s">
        <v>3053</v>
      </c>
      <c r="F361" s="158">
        <v>100</v>
      </c>
      <c r="G361" s="155">
        <v>23233</v>
      </c>
      <c r="H361" s="164">
        <v>59.68</v>
      </c>
    </row>
    <row r="362" spans="1:8" ht="11.25" customHeight="1" x14ac:dyDescent="0.2">
      <c r="C362" s="1" t="s">
        <v>2318</v>
      </c>
    </row>
    <row r="363" spans="1:8" ht="11.25" customHeight="1" x14ac:dyDescent="0.2">
      <c r="A363" s="1" t="s">
        <v>3259</v>
      </c>
      <c r="C363" s="1" t="s">
        <v>2537</v>
      </c>
      <c r="D363" s="4" t="s">
        <v>1072</v>
      </c>
      <c r="E363" s="16">
        <v>1398</v>
      </c>
      <c r="F363" s="81">
        <v>19.899999999999999</v>
      </c>
    </row>
    <row r="364" spans="1:8" ht="11.25" customHeight="1" x14ac:dyDescent="0.2">
      <c r="C364" s="1" t="s">
        <v>2538</v>
      </c>
      <c r="D364" s="4" t="s">
        <v>1071</v>
      </c>
      <c r="E364" s="16">
        <v>332</v>
      </c>
      <c r="F364" s="81">
        <v>4.7</v>
      </c>
    </row>
    <row r="365" spans="1:8" ht="11.25" customHeight="1" x14ac:dyDescent="0.2">
      <c r="C365" s="2" t="s">
        <v>862</v>
      </c>
      <c r="D365" s="4" t="s">
        <v>1736</v>
      </c>
      <c r="E365" s="16">
        <v>3575</v>
      </c>
      <c r="F365" s="81">
        <v>50.9</v>
      </c>
    </row>
    <row r="366" spans="1:8" ht="11.25" customHeight="1" x14ac:dyDescent="0.2">
      <c r="C366" s="1" t="s">
        <v>2539</v>
      </c>
      <c r="D366" s="4" t="s">
        <v>655</v>
      </c>
      <c r="E366" s="16">
        <v>1721</v>
      </c>
      <c r="F366" s="81">
        <v>24.5</v>
      </c>
    </row>
    <row r="367" spans="1:8" ht="11.25" customHeight="1" x14ac:dyDescent="0.2">
      <c r="C367" s="1" t="s">
        <v>2318</v>
      </c>
      <c r="E367" s="155" t="s">
        <v>3260</v>
      </c>
      <c r="F367" s="158">
        <v>100</v>
      </c>
      <c r="G367" s="155">
        <v>12169</v>
      </c>
      <c r="H367" s="164">
        <v>57.8</v>
      </c>
    </row>
    <row r="368" spans="1:8" ht="11.25" customHeight="1" x14ac:dyDescent="0.2">
      <c r="C368" s="1" t="s">
        <v>2318</v>
      </c>
    </row>
    <row r="369" spans="1:8" ht="11.25" customHeight="1" x14ac:dyDescent="0.2">
      <c r="A369" s="1" t="s">
        <v>446</v>
      </c>
      <c r="C369" s="1" t="s">
        <v>2365</v>
      </c>
      <c r="D369" s="4" t="s">
        <v>653</v>
      </c>
      <c r="E369" s="16">
        <v>147</v>
      </c>
      <c r="F369" s="81">
        <v>1</v>
      </c>
    </row>
    <row r="370" spans="1:8" ht="11.25" customHeight="1" x14ac:dyDescent="0.2">
      <c r="C370" s="1" t="s">
        <v>902</v>
      </c>
      <c r="D370" s="4" t="s">
        <v>1072</v>
      </c>
      <c r="E370" s="16">
        <v>4278</v>
      </c>
      <c r="F370" s="81">
        <v>29.4</v>
      </c>
    </row>
    <row r="371" spans="1:8" ht="11.25" customHeight="1" x14ac:dyDescent="0.2">
      <c r="C371" s="2" t="s">
        <v>2366</v>
      </c>
      <c r="D371" s="4" t="s">
        <v>1736</v>
      </c>
      <c r="E371" s="16">
        <v>6590</v>
      </c>
      <c r="F371" s="81">
        <v>45.2</v>
      </c>
    </row>
    <row r="372" spans="1:8" ht="11.25" customHeight="1" x14ac:dyDescent="0.2">
      <c r="C372" s="1" t="s">
        <v>2367</v>
      </c>
      <c r="D372" s="4" t="s">
        <v>655</v>
      </c>
      <c r="E372" s="16">
        <v>3552</v>
      </c>
      <c r="F372" s="81">
        <v>24.4</v>
      </c>
    </row>
    <row r="373" spans="1:8" ht="11.25" customHeight="1" x14ac:dyDescent="0.2">
      <c r="C373" s="1" t="s">
        <v>2318</v>
      </c>
      <c r="E373" s="155" t="s">
        <v>3261</v>
      </c>
      <c r="F373" s="158">
        <v>100</v>
      </c>
      <c r="G373" s="155">
        <v>24718</v>
      </c>
      <c r="H373" s="164">
        <v>58.98</v>
      </c>
    </row>
    <row r="374" spans="1:8" ht="11.25" customHeight="1" x14ac:dyDescent="0.2">
      <c r="C374" s="1" t="s">
        <v>2318</v>
      </c>
    </row>
    <row r="375" spans="1:8" ht="11.25" customHeight="1" x14ac:dyDescent="0.2">
      <c r="A375" s="1" t="s">
        <v>3262</v>
      </c>
      <c r="C375" s="1" t="s">
        <v>2368</v>
      </c>
      <c r="D375" s="4" t="s">
        <v>655</v>
      </c>
      <c r="E375" s="16">
        <v>1124</v>
      </c>
      <c r="F375" s="81">
        <v>17.7</v>
      </c>
    </row>
    <row r="376" spans="1:8" ht="11.25" customHeight="1" x14ac:dyDescent="0.2">
      <c r="C376" s="2" t="s">
        <v>2369</v>
      </c>
      <c r="D376" s="4" t="s">
        <v>1736</v>
      </c>
      <c r="E376" s="16">
        <v>2931</v>
      </c>
      <c r="F376" s="81">
        <v>46.1</v>
      </c>
    </row>
    <row r="377" spans="1:8" ht="11.25" customHeight="1" x14ac:dyDescent="0.2">
      <c r="C377" s="1" t="s">
        <v>874</v>
      </c>
      <c r="D377" s="4" t="s">
        <v>1072</v>
      </c>
      <c r="E377" s="16">
        <v>2304</v>
      </c>
      <c r="F377" s="81">
        <v>36.200000000000003</v>
      </c>
    </row>
    <row r="378" spans="1:8" ht="11.25" customHeight="1" x14ac:dyDescent="0.2">
      <c r="C378" s="1" t="s">
        <v>2318</v>
      </c>
      <c r="E378" s="155" t="s">
        <v>1551</v>
      </c>
      <c r="F378" s="158">
        <v>100</v>
      </c>
      <c r="G378" s="155">
        <v>10437</v>
      </c>
      <c r="H378" s="164">
        <v>61.11</v>
      </c>
    </row>
    <row r="379" spans="1:8" ht="11.25" customHeight="1" x14ac:dyDescent="0.2">
      <c r="C379" s="1" t="s">
        <v>2318</v>
      </c>
    </row>
    <row r="380" spans="1:8" ht="11.25" customHeight="1" x14ac:dyDescent="0.2">
      <c r="A380" s="1" t="s">
        <v>1552</v>
      </c>
      <c r="C380" s="2" t="s">
        <v>2370</v>
      </c>
      <c r="D380" s="4" t="s">
        <v>1736</v>
      </c>
      <c r="E380" s="16">
        <v>3875</v>
      </c>
      <c r="F380" s="81">
        <v>57.9</v>
      </c>
    </row>
    <row r="381" spans="1:8" ht="11.25" customHeight="1" x14ac:dyDescent="0.2">
      <c r="C381" s="1" t="s">
        <v>2371</v>
      </c>
      <c r="D381" s="4" t="s">
        <v>1072</v>
      </c>
      <c r="E381" s="16">
        <v>1731</v>
      </c>
      <c r="F381" s="81">
        <v>25.9</v>
      </c>
    </row>
    <row r="382" spans="1:8" ht="11.25" customHeight="1" x14ac:dyDescent="0.2">
      <c r="C382" s="1" t="s">
        <v>4</v>
      </c>
      <c r="D382" s="4" t="s">
        <v>655</v>
      </c>
      <c r="E382" s="16">
        <v>1089</v>
      </c>
      <c r="F382" s="81">
        <v>16.2</v>
      </c>
    </row>
    <row r="383" spans="1:8" ht="11.25" customHeight="1" x14ac:dyDescent="0.2">
      <c r="C383" s="1" t="s">
        <v>2318</v>
      </c>
      <c r="E383" s="155" t="s">
        <v>1553</v>
      </c>
      <c r="F383" s="158">
        <v>100</v>
      </c>
      <c r="G383" s="155">
        <v>11345</v>
      </c>
      <c r="H383" s="164">
        <v>59.15</v>
      </c>
    </row>
    <row r="384" spans="1:8" ht="11.25" customHeight="1" x14ac:dyDescent="0.2">
      <c r="C384" s="1" t="s">
        <v>2318</v>
      </c>
    </row>
    <row r="385" spans="1:8" ht="11.25" customHeight="1" x14ac:dyDescent="0.2">
      <c r="A385" s="1" t="s">
        <v>2545</v>
      </c>
      <c r="C385" s="1" t="s">
        <v>2372</v>
      </c>
      <c r="D385" s="4" t="s">
        <v>1072</v>
      </c>
      <c r="E385" s="16">
        <v>2732</v>
      </c>
      <c r="F385" s="81">
        <v>21.7</v>
      </c>
    </row>
    <row r="386" spans="1:8" ht="11.25" customHeight="1" x14ac:dyDescent="0.2">
      <c r="C386" s="1" t="s">
        <v>2373</v>
      </c>
      <c r="D386" s="4" t="s">
        <v>1736</v>
      </c>
      <c r="E386" s="16">
        <v>4604</v>
      </c>
      <c r="F386" s="81">
        <v>36.6</v>
      </c>
    </row>
    <row r="387" spans="1:8" ht="11.25" customHeight="1" x14ac:dyDescent="0.2">
      <c r="C387" s="1" t="s">
        <v>2374</v>
      </c>
      <c r="D387" s="4" t="s">
        <v>1071</v>
      </c>
      <c r="E387" s="16">
        <v>557</v>
      </c>
      <c r="F387" s="81">
        <v>4.4000000000000004</v>
      </c>
    </row>
    <row r="388" spans="1:8" ht="11.25" customHeight="1" x14ac:dyDescent="0.2">
      <c r="C388" s="2" t="s">
        <v>2548</v>
      </c>
      <c r="D388" s="4" t="s">
        <v>655</v>
      </c>
      <c r="E388" s="16">
        <v>4699</v>
      </c>
      <c r="F388" s="81">
        <v>37.299999999999997</v>
      </c>
    </row>
    <row r="389" spans="1:8" ht="11.25" customHeight="1" x14ac:dyDescent="0.2">
      <c r="C389" s="1" t="s">
        <v>2318</v>
      </c>
      <c r="E389" s="155" t="s">
        <v>1554</v>
      </c>
      <c r="F389" s="158">
        <v>100</v>
      </c>
      <c r="G389" s="155">
        <v>22866</v>
      </c>
      <c r="H389" s="164">
        <v>55.1</v>
      </c>
    </row>
    <row r="390" spans="1:8" ht="11.25" customHeight="1" x14ac:dyDescent="0.2">
      <c r="C390" s="1" t="s">
        <v>2318</v>
      </c>
    </row>
    <row r="391" spans="1:8" ht="11.25" customHeight="1" x14ac:dyDescent="0.2">
      <c r="A391" s="1" t="s">
        <v>1979</v>
      </c>
      <c r="C391" s="2" t="s">
        <v>1527</v>
      </c>
      <c r="D391" s="4" t="s">
        <v>1736</v>
      </c>
      <c r="E391" s="16">
        <v>4932</v>
      </c>
      <c r="F391" s="81">
        <v>73.7</v>
      </c>
    </row>
    <row r="392" spans="1:8" s="4" customFormat="1" ht="11.25" customHeight="1" x14ac:dyDescent="0.2">
      <c r="A392" s="1"/>
      <c r="B392" s="1"/>
      <c r="C392" s="1" t="s">
        <v>2375</v>
      </c>
      <c r="D392" s="4" t="s">
        <v>1072</v>
      </c>
      <c r="E392" s="16">
        <v>981</v>
      </c>
      <c r="F392" s="81">
        <v>14.7</v>
      </c>
      <c r="G392" s="16"/>
      <c r="H392" s="82"/>
    </row>
    <row r="393" spans="1:8" ht="11.25" customHeight="1" x14ac:dyDescent="0.2">
      <c r="C393" s="1" t="s">
        <v>2376</v>
      </c>
      <c r="D393" s="4" t="s">
        <v>655</v>
      </c>
      <c r="E393" s="16">
        <v>782</v>
      </c>
      <c r="F393" s="81">
        <v>11.6</v>
      </c>
    </row>
    <row r="394" spans="1:8" ht="11.25" customHeight="1" x14ac:dyDescent="0.2">
      <c r="C394" s="1" t="s">
        <v>2318</v>
      </c>
      <c r="E394" s="155" t="s">
        <v>1555</v>
      </c>
      <c r="F394" s="158">
        <v>100</v>
      </c>
      <c r="G394" s="155">
        <v>13670</v>
      </c>
      <c r="H394" s="164">
        <v>49.13</v>
      </c>
    </row>
    <row r="395" spans="1:8" ht="11.25" customHeight="1" x14ac:dyDescent="0.2">
      <c r="C395" s="1" t="s">
        <v>2318</v>
      </c>
    </row>
    <row r="396" spans="1:8" ht="11.25" customHeight="1" x14ac:dyDescent="0.2">
      <c r="A396" s="1" t="s">
        <v>3087</v>
      </c>
      <c r="C396" s="1" t="s">
        <v>2377</v>
      </c>
      <c r="D396" s="4" t="s">
        <v>1072</v>
      </c>
      <c r="E396" s="16">
        <v>1245</v>
      </c>
      <c r="F396" s="81">
        <v>14.1</v>
      </c>
    </row>
    <row r="397" spans="1:8" ht="11.25" customHeight="1" x14ac:dyDescent="0.2">
      <c r="C397" s="1" t="s">
        <v>2378</v>
      </c>
      <c r="D397" s="4" t="s">
        <v>655</v>
      </c>
      <c r="E397" s="16">
        <v>1851</v>
      </c>
      <c r="F397" s="81">
        <v>21</v>
      </c>
    </row>
    <row r="398" spans="1:8" ht="11.25" customHeight="1" x14ac:dyDescent="0.2">
      <c r="C398" s="2" t="s">
        <v>1528</v>
      </c>
      <c r="D398" s="4" t="s">
        <v>1736</v>
      </c>
      <c r="E398" s="16">
        <v>4986</v>
      </c>
      <c r="F398" s="81">
        <v>56.5</v>
      </c>
    </row>
    <row r="399" spans="1:8" ht="11.25" customHeight="1" x14ac:dyDescent="0.2">
      <c r="C399" s="1" t="s">
        <v>2379</v>
      </c>
      <c r="D399" s="4" t="s">
        <v>1071</v>
      </c>
      <c r="E399" s="16">
        <v>741</v>
      </c>
      <c r="F399" s="81">
        <v>8.4</v>
      </c>
    </row>
    <row r="400" spans="1:8" ht="11.25" customHeight="1" x14ac:dyDescent="0.2">
      <c r="C400" s="1" t="s">
        <v>2318</v>
      </c>
      <c r="E400" s="155" t="s">
        <v>1556</v>
      </c>
      <c r="F400" s="158">
        <v>100</v>
      </c>
      <c r="G400" s="155">
        <v>15454</v>
      </c>
      <c r="H400" s="164">
        <v>57.15</v>
      </c>
    </row>
    <row r="401" spans="1:8" ht="11.25" customHeight="1" x14ac:dyDescent="0.2">
      <c r="C401" s="1" t="s">
        <v>2318</v>
      </c>
    </row>
    <row r="402" spans="1:8" ht="11.25" customHeight="1" x14ac:dyDescent="0.2">
      <c r="A402" s="1" t="s">
        <v>1557</v>
      </c>
      <c r="C402" s="2" t="s">
        <v>2380</v>
      </c>
      <c r="D402" s="4" t="s">
        <v>655</v>
      </c>
      <c r="E402" s="16">
        <v>4865</v>
      </c>
      <c r="F402" s="81">
        <v>53.4</v>
      </c>
    </row>
    <row r="403" spans="1:8" ht="11.25" customHeight="1" x14ac:dyDescent="0.2">
      <c r="C403" s="1" t="s">
        <v>2381</v>
      </c>
      <c r="D403" s="4" t="s">
        <v>1736</v>
      </c>
      <c r="E403" s="16">
        <v>3806</v>
      </c>
      <c r="F403" s="81">
        <v>41.7</v>
      </c>
    </row>
    <row r="404" spans="1:8" ht="11.25" customHeight="1" x14ac:dyDescent="0.2">
      <c r="C404" s="1" t="s">
        <v>2382</v>
      </c>
      <c r="D404" s="4" t="s">
        <v>1072</v>
      </c>
      <c r="E404" s="16">
        <v>448</v>
      </c>
      <c r="F404" s="81">
        <v>4.9000000000000004</v>
      </c>
    </row>
    <row r="405" spans="1:8" ht="11.25" customHeight="1" x14ac:dyDescent="0.2">
      <c r="C405" s="1" t="s">
        <v>2318</v>
      </c>
      <c r="E405" s="166" t="s">
        <v>1558</v>
      </c>
      <c r="F405" s="158">
        <v>100</v>
      </c>
      <c r="G405" s="155">
        <v>12167</v>
      </c>
      <c r="H405" s="164">
        <v>75.17</v>
      </c>
    </row>
    <row r="406" spans="1:8" ht="11.25" customHeight="1" x14ac:dyDescent="0.2">
      <c r="C406" s="1" t="s">
        <v>2318</v>
      </c>
    </row>
    <row r="407" spans="1:8" ht="11.25" customHeight="1" x14ac:dyDescent="0.2">
      <c r="A407" s="1" t="s">
        <v>1559</v>
      </c>
      <c r="C407" s="1" t="s">
        <v>3084</v>
      </c>
      <c r="D407" s="4" t="s">
        <v>655</v>
      </c>
      <c r="E407" s="16">
        <v>1078</v>
      </c>
      <c r="F407" s="81">
        <v>16.8</v>
      </c>
    </row>
    <row r="408" spans="1:8" ht="11.25" customHeight="1" x14ac:dyDescent="0.2">
      <c r="C408" s="1" t="s">
        <v>2383</v>
      </c>
      <c r="D408" s="4" t="s">
        <v>1072</v>
      </c>
      <c r="E408" s="16">
        <v>1252</v>
      </c>
      <c r="F408" s="81" t="s">
        <v>1560</v>
      </c>
    </row>
    <row r="409" spans="1:8" ht="11.25" customHeight="1" x14ac:dyDescent="0.2">
      <c r="C409" s="2" t="s">
        <v>1057</v>
      </c>
      <c r="D409" s="4" t="s">
        <v>1736</v>
      </c>
      <c r="E409" s="16">
        <v>4086</v>
      </c>
      <c r="F409" s="81">
        <v>63.7</v>
      </c>
    </row>
    <row r="410" spans="1:8" ht="11.25" customHeight="1" x14ac:dyDescent="0.2">
      <c r="C410" s="1" t="s">
        <v>2318</v>
      </c>
      <c r="E410" s="155" t="s">
        <v>1561</v>
      </c>
      <c r="F410" s="158">
        <v>100</v>
      </c>
      <c r="G410" s="155">
        <v>10711</v>
      </c>
      <c r="H410" s="164">
        <v>60.13</v>
      </c>
    </row>
    <row r="411" spans="1:8" ht="11.25" customHeight="1" x14ac:dyDescent="0.2">
      <c r="C411" s="1" t="s">
        <v>2318</v>
      </c>
    </row>
    <row r="412" spans="1:8" ht="11.25" customHeight="1" x14ac:dyDescent="0.2">
      <c r="A412" s="1" t="s">
        <v>2564</v>
      </c>
      <c r="C412" s="2" t="s">
        <v>2566</v>
      </c>
      <c r="D412" s="4" t="s">
        <v>1736</v>
      </c>
      <c r="E412" s="16">
        <v>4009</v>
      </c>
      <c r="F412" s="81">
        <v>67.8</v>
      </c>
    </row>
    <row r="413" spans="1:8" ht="11.25" customHeight="1" x14ac:dyDescent="0.2">
      <c r="C413" s="1" t="s">
        <v>2384</v>
      </c>
      <c r="D413" s="4" t="s">
        <v>655</v>
      </c>
      <c r="E413" s="16">
        <v>1182</v>
      </c>
      <c r="F413" s="81">
        <v>20</v>
      </c>
    </row>
    <row r="414" spans="1:8" ht="11.25" customHeight="1" x14ac:dyDescent="0.2">
      <c r="C414" s="1" t="s">
        <v>2385</v>
      </c>
      <c r="D414" s="4" t="s">
        <v>1072</v>
      </c>
      <c r="E414" s="16">
        <v>726</v>
      </c>
      <c r="F414" s="81" t="s">
        <v>1562</v>
      </c>
    </row>
    <row r="415" spans="1:8" ht="12" customHeight="1" x14ac:dyDescent="0.2">
      <c r="C415" s="1" t="s">
        <v>2318</v>
      </c>
      <c r="E415" s="155" t="s">
        <v>1563</v>
      </c>
      <c r="F415" s="158">
        <v>100</v>
      </c>
      <c r="G415" s="155">
        <v>10801</v>
      </c>
      <c r="H415" s="164">
        <v>54.96</v>
      </c>
    </row>
    <row r="416" spans="1:8" ht="11.25" customHeight="1" x14ac:dyDescent="0.2">
      <c r="C416" s="1" t="s">
        <v>2318</v>
      </c>
    </row>
    <row r="417" spans="1:8" ht="11.25" customHeight="1" x14ac:dyDescent="0.2">
      <c r="A417" s="1" t="s">
        <v>1278</v>
      </c>
      <c r="C417" s="1" t="s">
        <v>2386</v>
      </c>
      <c r="D417" s="4" t="s">
        <v>1736</v>
      </c>
      <c r="E417" s="16">
        <v>4958</v>
      </c>
      <c r="F417" s="81">
        <v>41.1</v>
      </c>
    </row>
    <row r="418" spans="1:8" ht="11.25" customHeight="1" x14ac:dyDescent="0.2">
      <c r="C418" s="2" t="s">
        <v>3121</v>
      </c>
      <c r="D418" s="4" t="s">
        <v>1072</v>
      </c>
      <c r="E418" s="16">
        <v>5401</v>
      </c>
      <c r="F418" s="81">
        <v>44.8</v>
      </c>
    </row>
    <row r="419" spans="1:8" ht="11.25" customHeight="1" x14ac:dyDescent="0.2">
      <c r="C419" s="1" t="s">
        <v>1038</v>
      </c>
      <c r="D419" s="4" t="s">
        <v>655</v>
      </c>
      <c r="E419" s="16">
        <v>1696</v>
      </c>
      <c r="F419" s="81">
        <v>14.1</v>
      </c>
    </row>
    <row r="420" spans="1:8" ht="11.25" customHeight="1" x14ac:dyDescent="0.2">
      <c r="C420" s="1" t="s">
        <v>2318</v>
      </c>
      <c r="E420" s="155" t="s">
        <v>1564</v>
      </c>
      <c r="F420" s="158">
        <v>100</v>
      </c>
      <c r="G420" s="155">
        <v>19662</v>
      </c>
      <c r="H420" s="164">
        <v>61.39</v>
      </c>
    </row>
    <row r="421" spans="1:8" ht="11.25" customHeight="1" x14ac:dyDescent="0.2">
      <c r="C421" s="1" t="s">
        <v>2318</v>
      </c>
    </row>
    <row r="422" spans="1:8" ht="11.25" customHeight="1" x14ac:dyDescent="0.2">
      <c r="A422" s="1" t="s">
        <v>1534</v>
      </c>
      <c r="C422" s="1" t="s">
        <v>2387</v>
      </c>
      <c r="D422" s="4" t="s">
        <v>653</v>
      </c>
      <c r="E422" s="16">
        <v>240</v>
      </c>
      <c r="F422" s="81">
        <v>2.8</v>
      </c>
    </row>
    <row r="423" spans="1:8" ht="11.25" customHeight="1" x14ac:dyDescent="0.2">
      <c r="C423" s="2" t="s">
        <v>2388</v>
      </c>
      <c r="D423" s="4" t="s">
        <v>655</v>
      </c>
      <c r="E423" s="16">
        <v>3989</v>
      </c>
      <c r="F423" s="81">
        <v>47.3</v>
      </c>
    </row>
    <row r="424" spans="1:8" ht="11.25" customHeight="1" x14ac:dyDescent="0.2">
      <c r="C424" s="1" t="s">
        <v>2389</v>
      </c>
      <c r="D424" s="4" t="s">
        <v>1072</v>
      </c>
      <c r="E424" s="16">
        <v>1103</v>
      </c>
      <c r="F424" s="81">
        <v>13.1</v>
      </c>
    </row>
    <row r="425" spans="1:8" ht="11.25" customHeight="1" x14ac:dyDescent="0.2">
      <c r="C425" s="1" t="s">
        <v>1514</v>
      </c>
      <c r="D425" s="4" t="s">
        <v>1736</v>
      </c>
      <c r="E425" s="16">
        <v>3109</v>
      </c>
      <c r="F425" s="81">
        <v>36.799999999999997</v>
      </c>
    </row>
    <row r="426" spans="1:8" ht="11.25" customHeight="1" x14ac:dyDescent="0.2">
      <c r="C426" s="1" t="s">
        <v>2318</v>
      </c>
      <c r="E426" s="155" t="s">
        <v>2265</v>
      </c>
      <c r="F426" s="158">
        <v>100</v>
      </c>
      <c r="G426" s="155">
        <v>16234</v>
      </c>
      <c r="H426" s="164">
        <v>52.15</v>
      </c>
    </row>
    <row r="427" spans="1:8" ht="11.25" customHeight="1" x14ac:dyDescent="0.2">
      <c r="C427" s="1" t="s">
        <v>2318</v>
      </c>
    </row>
    <row r="428" spans="1:8" ht="11.25" customHeight="1" x14ac:dyDescent="0.2">
      <c r="A428" s="1" t="s">
        <v>1565</v>
      </c>
      <c r="C428" s="1" t="s">
        <v>2390</v>
      </c>
      <c r="D428" s="4" t="s">
        <v>1072</v>
      </c>
      <c r="E428" s="16">
        <v>3446</v>
      </c>
      <c r="F428" s="81">
        <v>27.9</v>
      </c>
    </row>
    <row r="429" spans="1:8" ht="11.25" customHeight="1" x14ac:dyDescent="0.2">
      <c r="C429" s="1" t="s">
        <v>1065</v>
      </c>
      <c r="D429" s="4" t="s">
        <v>655</v>
      </c>
      <c r="E429" s="16">
        <v>3133</v>
      </c>
      <c r="F429" s="81">
        <v>25.4</v>
      </c>
    </row>
    <row r="430" spans="1:8" ht="11.25" customHeight="1" x14ac:dyDescent="0.2">
      <c r="C430" s="2" t="s">
        <v>2391</v>
      </c>
      <c r="D430" s="4" t="s">
        <v>1736</v>
      </c>
      <c r="E430" s="16">
        <v>5761</v>
      </c>
      <c r="F430" s="81">
        <v>46.7</v>
      </c>
    </row>
    <row r="431" spans="1:8" ht="11.25" customHeight="1" x14ac:dyDescent="0.2">
      <c r="C431" s="1" t="s">
        <v>2318</v>
      </c>
      <c r="E431" s="155" t="s">
        <v>1566</v>
      </c>
      <c r="F431" s="158">
        <v>100</v>
      </c>
      <c r="G431" s="155">
        <v>22768</v>
      </c>
      <c r="H431" s="164">
        <v>54.31</v>
      </c>
    </row>
    <row r="432" spans="1:8" ht="11.25" customHeight="1" x14ac:dyDescent="0.2">
      <c r="C432" s="1" t="s">
        <v>2318</v>
      </c>
    </row>
    <row r="433" spans="1:8" ht="11.25" customHeight="1" x14ac:dyDescent="0.2">
      <c r="A433" s="1" t="s">
        <v>1567</v>
      </c>
      <c r="C433" s="1" t="s">
        <v>2392</v>
      </c>
      <c r="D433" s="4" t="s">
        <v>1072</v>
      </c>
      <c r="E433" s="16">
        <v>2432</v>
      </c>
      <c r="F433" s="81">
        <v>31.3</v>
      </c>
    </row>
    <row r="434" spans="1:8" ht="11.25" customHeight="1" x14ac:dyDescent="0.2">
      <c r="C434" s="1" t="s">
        <v>2393</v>
      </c>
      <c r="D434" s="4" t="s">
        <v>655</v>
      </c>
      <c r="E434" s="16">
        <v>1456</v>
      </c>
      <c r="F434" s="81">
        <v>18.8</v>
      </c>
    </row>
    <row r="435" spans="1:8" ht="11.25" customHeight="1" x14ac:dyDescent="0.2">
      <c r="C435" s="2" t="s">
        <v>3266</v>
      </c>
      <c r="D435" s="4" t="s">
        <v>1736</v>
      </c>
      <c r="E435" s="16">
        <v>3877</v>
      </c>
      <c r="F435" s="81">
        <v>49.9</v>
      </c>
    </row>
    <row r="436" spans="1:8" ht="11.25" customHeight="1" x14ac:dyDescent="0.2">
      <c r="C436" s="1" t="s">
        <v>2318</v>
      </c>
      <c r="E436" s="155" t="s">
        <v>1568</v>
      </c>
      <c r="F436" s="158">
        <v>100</v>
      </c>
      <c r="G436" s="155">
        <v>13795</v>
      </c>
      <c r="H436" s="164">
        <v>56.53</v>
      </c>
    </row>
    <row r="437" spans="1:8" ht="11.25" customHeight="1" x14ac:dyDescent="0.2"/>
    <row r="438" spans="1:8" ht="11.25" customHeight="1" x14ac:dyDescent="0.2"/>
    <row r="439" spans="1:8" ht="11.25" customHeight="1" x14ac:dyDescent="0.2">
      <c r="A439" s="145" t="s">
        <v>1131</v>
      </c>
      <c r="B439" s="22"/>
      <c r="C439" s="22"/>
      <c r="D439" s="65"/>
      <c r="E439" s="33" t="s">
        <v>761</v>
      </c>
      <c r="F439" s="120"/>
      <c r="G439" s="33">
        <f>SUM(G5:G438)</f>
        <v>1550867</v>
      </c>
      <c r="H439" s="121">
        <f>(829189+2051)/G439*100</f>
        <v>53.598406568712853</v>
      </c>
    </row>
    <row r="440" spans="1:8" ht="11.25" customHeight="1" x14ac:dyDescent="0.2">
      <c r="A440" s="144"/>
    </row>
    <row r="441" spans="1:8" s="5" customFormat="1" ht="11.25" customHeight="1" x14ac:dyDescent="0.2">
      <c r="A441" s="6" t="s">
        <v>1289</v>
      </c>
      <c r="B441" s="6"/>
      <c r="C441" s="8"/>
      <c r="D441" s="8"/>
      <c r="E441" s="93"/>
      <c r="F441" s="108"/>
      <c r="G441" s="99"/>
      <c r="H441" s="82"/>
    </row>
    <row r="442" spans="1:8" ht="11.25" customHeight="1" x14ac:dyDescent="0.2">
      <c r="A442" s="273" t="s">
        <v>2934</v>
      </c>
      <c r="B442" s="273"/>
      <c r="C442" s="273"/>
      <c r="D442" s="273"/>
      <c r="E442" s="273"/>
      <c r="F442" s="273"/>
      <c r="G442" s="273"/>
      <c r="H442" s="273"/>
    </row>
    <row r="443" spans="1:8" s="26" customFormat="1" ht="11.25" customHeight="1" x14ac:dyDescent="0.2">
      <c r="A443" s="274" t="s">
        <v>1303</v>
      </c>
      <c r="B443" s="274"/>
      <c r="C443" s="274"/>
      <c r="D443" s="274"/>
      <c r="E443" s="274"/>
      <c r="F443" s="274"/>
      <c r="G443" s="274"/>
      <c r="H443" s="274"/>
    </row>
    <row r="444" spans="1:8" s="26" customFormat="1" ht="11.25" customHeight="1" x14ac:dyDescent="0.2">
      <c r="A444" s="273" t="s">
        <v>2932</v>
      </c>
      <c r="B444" s="273"/>
      <c r="C444" s="273"/>
      <c r="D444" s="273"/>
      <c r="E444" s="273"/>
      <c r="F444" s="273"/>
      <c r="G444" s="273"/>
      <c r="H444" s="273"/>
    </row>
  </sheetData>
  <mergeCells count="5">
    <mergeCell ref="A444:H444"/>
    <mergeCell ref="A1:H1"/>
    <mergeCell ref="F2:H2"/>
    <mergeCell ref="A442:H442"/>
    <mergeCell ref="A443:H443"/>
  </mergeCells>
  <phoneticPr fontId="0" type="noConversion"/>
  <pageMargins left="0.5" right="0.16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9"/>
  <sheetViews>
    <sheetView zoomScaleNormal="100" workbookViewId="0">
      <pane ySplit="3" topLeftCell="A531" activePane="bottomLeft" state="frozen"/>
      <selection activeCell="G3" sqref="G3"/>
      <selection pane="bottomLeft" activeCell="A545" sqref="A545:IV545"/>
    </sheetView>
  </sheetViews>
  <sheetFormatPr defaultRowHeight="11.25" customHeight="1" x14ac:dyDescent="0.2"/>
  <cols>
    <col min="1" max="1" width="20.7109375" style="1" customWidth="1"/>
    <col min="2" max="2" width="2.7109375" style="1" customWidth="1"/>
    <col min="3" max="3" width="20.7109375" style="1" customWidth="1"/>
    <col min="4" max="4" width="18.7109375" style="4" customWidth="1"/>
    <col min="5" max="5" width="9.7109375" style="16" customWidth="1"/>
    <col min="6" max="6" width="9.7109375" style="81" customWidth="1"/>
    <col min="7" max="7" width="8.7109375" style="16" customWidth="1"/>
    <col min="8" max="8" width="7.7109375" style="82" customWidth="1"/>
    <col min="9" max="16384" width="9.140625" style="1"/>
  </cols>
  <sheetData>
    <row r="1" spans="1:9" s="71" customFormat="1" ht="24" customHeight="1" x14ac:dyDescent="0.2">
      <c r="A1" s="270" t="s">
        <v>2332</v>
      </c>
      <c r="B1" s="270"/>
      <c r="C1" s="270"/>
      <c r="D1" s="270"/>
      <c r="E1" s="270"/>
      <c r="F1" s="270"/>
      <c r="G1" s="270"/>
      <c r="H1" s="270"/>
      <c r="I1" s="72"/>
    </row>
    <row r="2" spans="1:9" s="47" customFormat="1" ht="42" customHeight="1" thickBot="1" x14ac:dyDescent="0.25">
      <c r="A2" s="36" t="s">
        <v>3253</v>
      </c>
      <c r="B2" s="36"/>
      <c r="C2" s="126"/>
      <c r="D2" s="75" t="s">
        <v>3254</v>
      </c>
      <c r="E2" s="89"/>
      <c r="F2" s="271" t="s">
        <v>2933</v>
      </c>
      <c r="G2" s="271"/>
      <c r="H2" s="271"/>
    </row>
    <row r="3" spans="1:9" s="57" customFormat="1" ht="52.5" customHeight="1" thickBot="1" x14ac:dyDescent="0.25">
      <c r="A3" s="58" t="s">
        <v>1284</v>
      </c>
      <c r="B3" s="59"/>
      <c r="C3" s="59" t="s">
        <v>1300</v>
      </c>
      <c r="D3" s="59" t="s">
        <v>2652</v>
      </c>
      <c r="E3" s="73" t="s">
        <v>1301</v>
      </c>
      <c r="F3" s="74" t="s">
        <v>1286</v>
      </c>
      <c r="G3" s="73" t="s">
        <v>1287</v>
      </c>
      <c r="H3" s="74" t="s">
        <v>1302</v>
      </c>
    </row>
    <row r="4" spans="1:9" s="48" customFormat="1" ht="11.25" customHeight="1" x14ac:dyDescent="0.2">
      <c r="A4" s="60"/>
      <c r="B4" s="60"/>
      <c r="C4" s="76"/>
      <c r="D4" s="66"/>
      <c r="E4" s="87"/>
      <c r="F4" s="80"/>
      <c r="G4" s="87"/>
      <c r="H4" s="80"/>
    </row>
    <row r="5" spans="1:9" s="2" customFormat="1" ht="11.25" customHeight="1" x14ac:dyDescent="0.2">
      <c r="A5" s="1" t="s">
        <v>2242</v>
      </c>
      <c r="B5" s="1"/>
      <c r="C5" s="2" t="s">
        <v>2243</v>
      </c>
      <c r="D5" s="4" t="s">
        <v>482</v>
      </c>
      <c r="E5" s="16">
        <v>4144</v>
      </c>
      <c r="F5" s="81">
        <v>60</v>
      </c>
      <c r="G5" s="16"/>
      <c r="H5" s="82"/>
    </row>
    <row r="6" spans="1:9" ht="11.25" customHeight="1" x14ac:dyDescent="0.2">
      <c r="C6" s="1" t="s">
        <v>2394</v>
      </c>
      <c r="D6" s="4" t="s">
        <v>2271</v>
      </c>
      <c r="E6" s="16">
        <v>1921</v>
      </c>
      <c r="F6" s="81">
        <v>27.8</v>
      </c>
    </row>
    <row r="7" spans="1:9" s="2" customFormat="1" ht="11.25" customHeight="1" x14ac:dyDescent="0.2">
      <c r="A7" s="1"/>
      <c r="B7" s="1"/>
      <c r="C7" s="1" t="s">
        <v>2395</v>
      </c>
      <c r="D7" s="4" t="s">
        <v>655</v>
      </c>
      <c r="E7" s="16">
        <v>843</v>
      </c>
      <c r="F7" s="81">
        <v>12.2</v>
      </c>
      <c r="G7" s="16"/>
      <c r="H7" s="82"/>
    </row>
    <row r="8" spans="1:9" ht="11.25" customHeight="1" x14ac:dyDescent="0.2">
      <c r="C8" s="1" t="s">
        <v>2318</v>
      </c>
      <c r="E8" s="155" t="s">
        <v>959</v>
      </c>
      <c r="F8" s="158">
        <v>100</v>
      </c>
      <c r="G8" s="155">
        <v>11165</v>
      </c>
      <c r="H8" s="164">
        <v>62.15</v>
      </c>
    </row>
    <row r="9" spans="1:9" ht="11.25" customHeight="1" x14ac:dyDescent="0.2">
      <c r="C9" s="1" t="s">
        <v>2318</v>
      </c>
    </row>
    <row r="10" spans="1:9" ht="11.25" customHeight="1" x14ac:dyDescent="0.2">
      <c r="A10" s="1" t="s">
        <v>1008</v>
      </c>
      <c r="C10" s="1" t="s">
        <v>2911</v>
      </c>
      <c r="D10" s="4" t="s">
        <v>1072</v>
      </c>
      <c r="E10" s="16">
        <v>4183</v>
      </c>
      <c r="F10" s="81">
        <v>33.6</v>
      </c>
    </row>
    <row r="11" spans="1:9" ht="11.25" customHeight="1" x14ac:dyDescent="0.2">
      <c r="C11" s="2" t="s">
        <v>2912</v>
      </c>
      <c r="D11" s="4" t="s">
        <v>1736</v>
      </c>
      <c r="E11" s="16">
        <v>6552</v>
      </c>
      <c r="F11" s="81">
        <v>52.5</v>
      </c>
    </row>
    <row r="12" spans="1:9" ht="11.25" customHeight="1" x14ac:dyDescent="0.2">
      <c r="C12" s="1" t="s">
        <v>2913</v>
      </c>
      <c r="D12" s="4" t="s">
        <v>653</v>
      </c>
      <c r="E12" s="16">
        <v>607</v>
      </c>
      <c r="F12" s="81">
        <v>4.9000000000000004</v>
      </c>
    </row>
    <row r="13" spans="1:9" ht="11.25" customHeight="1" x14ac:dyDescent="0.2">
      <c r="C13" s="1" t="s">
        <v>1242</v>
      </c>
      <c r="D13" s="4" t="s">
        <v>655</v>
      </c>
      <c r="E13" s="16">
        <v>1048</v>
      </c>
      <c r="F13" s="81">
        <v>8.4</v>
      </c>
    </row>
    <row r="14" spans="1:9" ht="11.25" customHeight="1" x14ac:dyDescent="0.2">
      <c r="C14" s="1" t="s">
        <v>2914</v>
      </c>
      <c r="D14" s="4" t="s">
        <v>488</v>
      </c>
      <c r="E14" s="16">
        <v>77</v>
      </c>
      <c r="F14" s="81">
        <v>0.6</v>
      </c>
    </row>
    <row r="15" spans="1:9" ht="11.25" customHeight="1" x14ac:dyDescent="0.2">
      <c r="C15" s="1" t="s">
        <v>2318</v>
      </c>
      <c r="E15" s="155" t="s">
        <v>3245</v>
      </c>
      <c r="F15" s="158">
        <v>100</v>
      </c>
      <c r="G15" s="155">
        <v>20235</v>
      </c>
      <c r="H15" s="164">
        <v>61.75</v>
      </c>
    </row>
    <row r="16" spans="1:9" ht="11.25" customHeight="1" x14ac:dyDescent="0.2">
      <c r="C16" s="1" t="s">
        <v>2318</v>
      </c>
    </row>
    <row r="17" spans="1:8" ht="11.25" customHeight="1" x14ac:dyDescent="0.2">
      <c r="A17" s="1" t="s">
        <v>1013</v>
      </c>
      <c r="C17" s="1" t="s">
        <v>836</v>
      </c>
      <c r="D17" s="4" t="s">
        <v>1072</v>
      </c>
      <c r="E17" s="16">
        <v>3309</v>
      </c>
      <c r="F17" s="81">
        <v>28.9</v>
      </c>
    </row>
    <row r="18" spans="1:8" ht="11.25" customHeight="1" x14ac:dyDescent="0.2">
      <c r="C18" s="1" t="s">
        <v>2915</v>
      </c>
      <c r="D18" s="4" t="s">
        <v>1071</v>
      </c>
      <c r="E18" s="16">
        <v>561</v>
      </c>
      <c r="F18" s="81">
        <v>4.9000000000000004</v>
      </c>
    </row>
    <row r="19" spans="1:8" ht="11.25" customHeight="1" x14ac:dyDescent="0.2">
      <c r="C19" s="1" t="s">
        <v>2916</v>
      </c>
      <c r="D19" s="4" t="s">
        <v>487</v>
      </c>
      <c r="E19" s="16">
        <v>143</v>
      </c>
      <c r="F19" s="81">
        <v>1.2</v>
      </c>
    </row>
    <row r="20" spans="1:8" ht="11.25" customHeight="1" x14ac:dyDescent="0.2">
      <c r="C20" s="2" t="s">
        <v>2917</v>
      </c>
      <c r="D20" s="4" t="s">
        <v>1736</v>
      </c>
      <c r="E20" s="16">
        <v>6312</v>
      </c>
      <c r="F20" s="81">
        <v>55</v>
      </c>
    </row>
    <row r="21" spans="1:8" ht="11.25" customHeight="1" x14ac:dyDescent="0.2">
      <c r="C21" s="1" t="s">
        <v>2918</v>
      </c>
      <c r="D21" s="4" t="s">
        <v>653</v>
      </c>
      <c r="E21" s="16">
        <v>67</v>
      </c>
      <c r="F21" s="81">
        <v>0.6</v>
      </c>
    </row>
    <row r="22" spans="1:8" ht="11.25" customHeight="1" x14ac:dyDescent="0.2">
      <c r="C22" s="1" t="s">
        <v>2919</v>
      </c>
      <c r="D22" s="4" t="s">
        <v>655</v>
      </c>
      <c r="E22" s="16">
        <v>1076</v>
      </c>
      <c r="F22" s="81">
        <v>9.4</v>
      </c>
    </row>
    <row r="23" spans="1:8" ht="11.25" customHeight="1" x14ac:dyDescent="0.2">
      <c r="C23" s="1" t="s">
        <v>2318</v>
      </c>
      <c r="E23" s="155" t="s">
        <v>3246</v>
      </c>
      <c r="F23" s="158">
        <v>100</v>
      </c>
      <c r="G23" s="155">
        <v>16439</v>
      </c>
      <c r="H23" s="164">
        <v>69.91</v>
      </c>
    </row>
    <row r="24" spans="1:8" ht="11.25" customHeight="1" x14ac:dyDescent="0.2">
      <c r="C24" s="1" t="s">
        <v>2318</v>
      </c>
    </row>
    <row r="25" spans="1:8" ht="11.25" customHeight="1" x14ac:dyDescent="0.2">
      <c r="A25" s="1" t="s">
        <v>1974</v>
      </c>
      <c r="C25" s="1" t="s">
        <v>2920</v>
      </c>
      <c r="D25" s="4" t="s">
        <v>655</v>
      </c>
      <c r="E25" s="16">
        <v>666</v>
      </c>
      <c r="F25" s="81">
        <v>7.2</v>
      </c>
    </row>
    <row r="26" spans="1:8" ht="11.25" customHeight="1" x14ac:dyDescent="0.2">
      <c r="C26" s="1" t="s">
        <v>2921</v>
      </c>
      <c r="D26" s="4" t="s">
        <v>1736</v>
      </c>
      <c r="E26" s="16">
        <v>4222</v>
      </c>
      <c r="F26" s="81">
        <v>45.6</v>
      </c>
    </row>
    <row r="27" spans="1:8" ht="11.25" customHeight="1" x14ac:dyDescent="0.2">
      <c r="C27" s="2" t="s">
        <v>2922</v>
      </c>
      <c r="D27" s="4" t="s">
        <v>1072</v>
      </c>
      <c r="E27" s="16">
        <v>4364</v>
      </c>
      <c r="F27" s="81">
        <v>47.2</v>
      </c>
    </row>
    <row r="28" spans="1:8" ht="11.25" customHeight="1" x14ac:dyDescent="0.2">
      <c r="C28" s="1" t="s">
        <v>2318</v>
      </c>
      <c r="E28" s="155" t="s">
        <v>3247</v>
      </c>
      <c r="F28" s="158">
        <v>100</v>
      </c>
      <c r="G28" s="155">
        <v>16826</v>
      </c>
      <c r="H28" s="164">
        <v>55.22</v>
      </c>
    </row>
    <row r="29" spans="1:8" ht="11.25" customHeight="1" x14ac:dyDescent="0.2">
      <c r="C29" s="1" t="s">
        <v>2318</v>
      </c>
    </row>
    <row r="30" spans="1:8" ht="11.25" customHeight="1" x14ac:dyDescent="0.2">
      <c r="A30" s="1" t="s">
        <v>1975</v>
      </c>
      <c r="C30" s="1" t="s">
        <v>2923</v>
      </c>
      <c r="D30" s="4" t="s">
        <v>1072</v>
      </c>
      <c r="E30" s="16">
        <v>2424</v>
      </c>
      <c r="F30" s="81">
        <v>27.5</v>
      </c>
    </row>
    <row r="31" spans="1:8" ht="11.25" customHeight="1" x14ac:dyDescent="0.2">
      <c r="C31" s="1" t="s">
        <v>2924</v>
      </c>
      <c r="D31" s="4" t="s">
        <v>1071</v>
      </c>
      <c r="E31" s="16">
        <v>436</v>
      </c>
      <c r="F31" s="81">
        <v>4.9000000000000004</v>
      </c>
    </row>
    <row r="32" spans="1:8" ht="11.25" customHeight="1" x14ac:dyDescent="0.2">
      <c r="C32" s="1" t="s">
        <v>2925</v>
      </c>
      <c r="D32" s="4" t="s">
        <v>655</v>
      </c>
      <c r="E32" s="16">
        <v>558</v>
      </c>
      <c r="F32" s="81">
        <v>6.3</v>
      </c>
    </row>
    <row r="33" spans="1:8" ht="11.25" customHeight="1" x14ac:dyDescent="0.2">
      <c r="C33" s="2" t="s">
        <v>2926</v>
      </c>
      <c r="D33" s="4" t="s">
        <v>1736</v>
      </c>
      <c r="E33" s="16">
        <v>5403</v>
      </c>
      <c r="F33" s="81">
        <v>61.3</v>
      </c>
    </row>
    <row r="34" spans="1:8" ht="11.25" customHeight="1" x14ac:dyDescent="0.2">
      <c r="C34" s="1" t="s">
        <v>2318</v>
      </c>
      <c r="E34" s="155" t="s">
        <v>3248</v>
      </c>
      <c r="F34" s="158">
        <v>100</v>
      </c>
      <c r="G34" s="155">
        <v>14327</v>
      </c>
      <c r="H34" s="164">
        <v>61.69</v>
      </c>
    </row>
    <row r="36" spans="1:8" ht="11.25" customHeight="1" x14ac:dyDescent="0.2">
      <c r="A36" s="1" t="s">
        <v>2354</v>
      </c>
      <c r="C36" s="1" t="s">
        <v>2322</v>
      </c>
      <c r="D36" s="4" t="s">
        <v>1314</v>
      </c>
      <c r="E36" s="16">
        <v>287</v>
      </c>
      <c r="F36" s="81">
        <v>1.9</v>
      </c>
    </row>
    <row r="37" spans="1:8" ht="11.25" customHeight="1" x14ac:dyDescent="0.2">
      <c r="C37" s="1" t="s">
        <v>2403</v>
      </c>
      <c r="D37" s="4" t="s">
        <v>1071</v>
      </c>
      <c r="E37" s="16">
        <v>376</v>
      </c>
      <c r="F37" s="81">
        <v>2.5</v>
      </c>
    </row>
    <row r="38" spans="1:8" s="2" customFormat="1" ht="11.25" customHeight="1" x14ac:dyDescent="0.2">
      <c r="A38" s="1"/>
      <c r="B38" s="1"/>
      <c r="C38" s="2" t="s">
        <v>2325</v>
      </c>
      <c r="D38" s="4" t="s">
        <v>1736</v>
      </c>
      <c r="E38" s="16">
        <v>7011</v>
      </c>
      <c r="F38" s="81">
        <v>46.3</v>
      </c>
      <c r="G38" s="16"/>
      <c r="H38" s="82"/>
    </row>
    <row r="39" spans="1:8" ht="11.25" customHeight="1" x14ac:dyDescent="0.2">
      <c r="C39" s="1" t="s">
        <v>2404</v>
      </c>
      <c r="D39" s="4" t="s">
        <v>488</v>
      </c>
      <c r="E39" s="16">
        <v>78</v>
      </c>
      <c r="F39" s="81">
        <v>0.5</v>
      </c>
    </row>
    <row r="40" spans="1:8" s="2" customFormat="1" ht="11.25" customHeight="1" x14ac:dyDescent="0.2">
      <c r="A40" s="1"/>
      <c r="B40" s="1"/>
      <c r="C40" s="1" t="s">
        <v>1271</v>
      </c>
      <c r="D40" s="4" t="s">
        <v>487</v>
      </c>
      <c r="E40" s="16">
        <v>120</v>
      </c>
      <c r="F40" s="81">
        <v>0.8</v>
      </c>
      <c r="G40" s="16"/>
      <c r="H40" s="82"/>
    </row>
    <row r="41" spans="1:8" ht="11.25" customHeight="1" x14ac:dyDescent="0.2">
      <c r="C41" s="1" t="s">
        <v>1313</v>
      </c>
      <c r="D41" s="4" t="s">
        <v>655</v>
      </c>
      <c r="E41" s="16">
        <v>1908</v>
      </c>
      <c r="F41" s="81">
        <v>12.6</v>
      </c>
    </row>
    <row r="42" spans="1:8" ht="11.25" customHeight="1" x14ac:dyDescent="0.2">
      <c r="C42" s="1" t="s">
        <v>2405</v>
      </c>
      <c r="D42" s="4" t="s">
        <v>1072</v>
      </c>
      <c r="E42" s="16">
        <v>5369</v>
      </c>
      <c r="F42" s="81">
        <v>35.4</v>
      </c>
    </row>
    <row r="43" spans="1:8" s="2" customFormat="1" ht="11.25" customHeight="1" x14ac:dyDescent="0.2">
      <c r="A43" s="1"/>
      <c r="B43" s="1"/>
      <c r="C43" s="1" t="s">
        <v>2318</v>
      </c>
      <c r="D43" s="4"/>
      <c r="E43" s="155" t="s">
        <v>5</v>
      </c>
      <c r="F43" s="158">
        <v>100</v>
      </c>
      <c r="G43" s="155">
        <v>23546</v>
      </c>
      <c r="H43" s="164">
        <v>64.59</v>
      </c>
    </row>
    <row r="44" spans="1:8" s="2" customFormat="1" ht="11.25" customHeight="1" x14ac:dyDescent="0.2">
      <c r="A44" s="1"/>
      <c r="B44" s="1"/>
      <c r="C44" s="1" t="s">
        <v>2318</v>
      </c>
      <c r="D44" s="4"/>
      <c r="E44" s="16"/>
      <c r="F44" s="81"/>
      <c r="G44" s="16"/>
      <c r="H44" s="82"/>
    </row>
    <row r="45" spans="1:8" ht="11.25" customHeight="1" x14ac:dyDescent="0.2">
      <c r="A45" s="1" t="s">
        <v>2360</v>
      </c>
      <c r="C45" s="2" t="s">
        <v>2328</v>
      </c>
      <c r="D45" s="4" t="s">
        <v>1072</v>
      </c>
      <c r="E45" s="16">
        <v>4826</v>
      </c>
      <c r="F45" s="81">
        <v>45.5</v>
      </c>
    </row>
    <row r="46" spans="1:8" ht="11.25" customHeight="1" x14ac:dyDescent="0.2">
      <c r="C46" s="1" t="s">
        <v>2329</v>
      </c>
      <c r="D46" s="4" t="s">
        <v>488</v>
      </c>
      <c r="E46" s="16">
        <v>185</v>
      </c>
      <c r="F46" s="81">
        <v>1.8</v>
      </c>
    </row>
    <row r="47" spans="1:8" s="2" customFormat="1" ht="11.25" customHeight="1" x14ac:dyDescent="0.2">
      <c r="A47" s="1"/>
      <c r="B47" s="1"/>
      <c r="C47" s="1" t="s">
        <v>2406</v>
      </c>
      <c r="D47" s="4" t="s">
        <v>655</v>
      </c>
      <c r="E47" s="16">
        <v>1062</v>
      </c>
      <c r="F47" s="81">
        <v>10</v>
      </c>
      <c r="G47" s="16"/>
      <c r="H47" s="82"/>
    </row>
    <row r="48" spans="1:8" ht="11.25" customHeight="1" x14ac:dyDescent="0.2">
      <c r="C48" s="1" t="s">
        <v>2407</v>
      </c>
      <c r="D48" s="4" t="s">
        <v>1314</v>
      </c>
      <c r="E48" s="16">
        <v>212</v>
      </c>
      <c r="F48" s="81">
        <v>2</v>
      </c>
    </row>
    <row r="49" spans="1:8" s="2" customFormat="1" ht="11.25" customHeight="1" x14ac:dyDescent="0.2">
      <c r="A49" s="1"/>
      <c r="B49" s="1"/>
      <c r="C49" s="1" t="s">
        <v>2408</v>
      </c>
      <c r="D49" s="4" t="s">
        <v>1736</v>
      </c>
      <c r="E49" s="16">
        <v>4313</v>
      </c>
      <c r="F49" s="81">
        <v>40.700000000000003</v>
      </c>
      <c r="G49" s="16"/>
      <c r="H49" s="82"/>
    </row>
    <row r="50" spans="1:8" ht="11.25" customHeight="1" x14ac:dyDescent="0.2">
      <c r="C50" s="1" t="s">
        <v>2318</v>
      </c>
      <c r="E50" s="155" t="s">
        <v>1234</v>
      </c>
      <c r="F50" s="158">
        <v>100</v>
      </c>
      <c r="G50" s="155">
        <v>23439</v>
      </c>
      <c r="H50" s="164">
        <v>45.53</v>
      </c>
    </row>
    <row r="51" spans="1:8" ht="11.25" customHeight="1" x14ac:dyDescent="0.2">
      <c r="C51" s="1" t="s">
        <v>2318</v>
      </c>
    </row>
    <row r="52" spans="1:8" ht="11.25" customHeight="1" x14ac:dyDescent="0.2">
      <c r="A52" s="1" t="s">
        <v>1959</v>
      </c>
      <c r="C52" s="1" t="s">
        <v>2342</v>
      </c>
      <c r="D52" s="4" t="s">
        <v>655</v>
      </c>
      <c r="E52" s="16">
        <v>686</v>
      </c>
      <c r="F52" s="81">
        <v>6.4</v>
      </c>
    </row>
    <row r="53" spans="1:8" s="2" customFormat="1" ht="11.25" customHeight="1" x14ac:dyDescent="0.2">
      <c r="A53" s="1"/>
      <c r="B53" s="1"/>
      <c r="C53" s="2" t="s">
        <v>1960</v>
      </c>
      <c r="D53" s="4" t="s">
        <v>1736</v>
      </c>
      <c r="E53" s="16">
        <v>6449</v>
      </c>
      <c r="F53" s="81">
        <v>59.7</v>
      </c>
      <c r="G53" s="16"/>
      <c r="H53" s="82"/>
    </row>
    <row r="54" spans="1:8" ht="11.25" customHeight="1" x14ac:dyDescent="0.2">
      <c r="C54" s="1" t="s">
        <v>2409</v>
      </c>
      <c r="D54" s="4" t="s">
        <v>1072</v>
      </c>
      <c r="E54" s="16">
        <v>3576</v>
      </c>
      <c r="F54" s="81">
        <v>33.1</v>
      </c>
    </row>
    <row r="55" spans="1:8" s="2" customFormat="1" ht="11.25" customHeight="1" x14ac:dyDescent="0.2">
      <c r="A55" s="1"/>
      <c r="B55" s="1"/>
      <c r="C55" s="1" t="s">
        <v>3133</v>
      </c>
      <c r="D55" s="4" t="s">
        <v>488</v>
      </c>
      <c r="E55" s="16">
        <v>86</v>
      </c>
      <c r="F55" s="81">
        <v>0.8</v>
      </c>
      <c r="G55" s="16"/>
      <c r="H55" s="82"/>
    </row>
    <row r="56" spans="1:8" ht="11.25" customHeight="1" x14ac:dyDescent="0.2">
      <c r="C56" s="1" t="s">
        <v>2318</v>
      </c>
      <c r="E56" s="155" t="s">
        <v>1235</v>
      </c>
      <c r="F56" s="158">
        <v>100</v>
      </c>
      <c r="G56" s="155">
        <v>21346</v>
      </c>
      <c r="H56" s="164">
        <v>50.73</v>
      </c>
    </row>
    <row r="57" spans="1:8" ht="11.25" customHeight="1" x14ac:dyDescent="0.2">
      <c r="C57" s="1" t="s">
        <v>2318</v>
      </c>
    </row>
    <row r="58" spans="1:8" ht="11.25" customHeight="1" x14ac:dyDescent="0.2">
      <c r="A58" s="1" t="s">
        <v>1963</v>
      </c>
      <c r="C58" s="1" t="s">
        <v>3271</v>
      </c>
      <c r="D58" s="4" t="s">
        <v>655</v>
      </c>
      <c r="E58" s="16">
        <v>1426</v>
      </c>
      <c r="F58" s="81">
        <v>10.199999999999999</v>
      </c>
    </row>
    <row r="59" spans="1:8" ht="11.25" customHeight="1" x14ac:dyDescent="0.2">
      <c r="C59" s="2" t="s">
        <v>2410</v>
      </c>
      <c r="D59" s="4" t="s">
        <v>1736</v>
      </c>
      <c r="E59" s="16">
        <v>6699</v>
      </c>
      <c r="F59" s="81">
        <v>47.8</v>
      </c>
    </row>
    <row r="60" spans="1:8" ht="11.25" customHeight="1" x14ac:dyDescent="0.2">
      <c r="C60" s="1" t="s">
        <v>1136</v>
      </c>
      <c r="D60" s="4" t="s">
        <v>1072</v>
      </c>
      <c r="E60" s="16">
        <v>4670</v>
      </c>
      <c r="F60" s="81">
        <v>33.4</v>
      </c>
    </row>
    <row r="61" spans="1:8" ht="11.25" customHeight="1" x14ac:dyDescent="0.2">
      <c r="C61" s="1" t="s">
        <v>2411</v>
      </c>
      <c r="D61" s="4" t="s">
        <v>489</v>
      </c>
      <c r="E61" s="16">
        <v>1200</v>
      </c>
      <c r="F61" s="81">
        <v>8.6</v>
      </c>
    </row>
    <row r="62" spans="1:8" ht="11.25" customHeight="1" x14ac:dyDescent="0.2">
      <c r="C62" s="1" t="s">
        <v>2318</v>
      </c>
      <c r="E62" s="155" t="s">
        <v>1236</v>
      </c>
      <c r="F62" s="158">
        <v>100</v>
      </c>
      <c r="G62" s="155">
        <v>24327</v>
      </c>
      <c r="H62" s="164">
        <v>57.71</v>
      </c>
    </row>
    <row r="63" spans="1:8" ht="11.25" customHeight="1" x14ac:dyDescent="0.2">
      <c r="C63" s="1" t="s">
        <v>2318</v>
      </c>
    </row>
    <row r="64" spans="1:8" ht="11.25" customHeight="1" x14ac:dyDescent="0.2">
      <c r="A64" s="1" t="s">
        <v>3167</v>
      </c>
      <c r="C64" s="2" t="s">
        <v>3168</v>
      </c>
      <c r="D64" s="4" t="s">
        <v>1736</v>
      </c>
      <c r="E64" s="16">
        <v>5503</v>
      </c>
      <c r="F64" s="81">
        <v>54.5</v>
      </c>
    </row>
    <row r="65" spans="1:8" ht="11.25" customHeight="1" x14ac:dyDescent="0.2">
      <c r="C65" s="1" t="s">
        <v>2412</v>
      </c>
      <c r="D65" s="4" t="s">
        <v>653</v>
      </c>
      <c r="E65" s="16">
        <v>237</v>
      </c>
      <c r="F65" s="81">
        <v>2.4</v>
      </c>
    </row>
    <row r="66" spans="1:8" ht="11.25" customHeight="1" x14ac:dyDescent="0.2">
      <c r="C66" s="1" t="s">
        <v>2413</v>
      </c>
      <c r="D66" s="4" t="s">
        <v>1072</v>
      </c>
      <c r="E66" s="16">
        <v>1689</v>
      </c>
      <c r="F66" s="81">
        <v>16.7</v>
      </c>
    </row>
    <row r="67" spans="1:8" ht="11.25" customHeight="1" x14ac:dyDescent="0.2">
      <c r="C67" s="1" t="s">
        <v>2414</v>
      </c>
      <c r="D67" s="4" t="s">
        <v>655</v>
      </c>
      <c r="E67" s="16">
        <v>2306</v>
      </c>
      <c r="F67" s="81">
        <v>22.8</v>
      </c>
    </row>
    <row r="68" spans="1:8" ht="11.25" customHeight="1" x14ac:dyDescent="0.2">
      <c r="C68" s="1" t="s">
        <v>2415</v>
      </c>
      <c r="D68" s="4" t="s">
        <v>1071</v>
      </c>
      <c r="E68" s="16">
        <v>366</v>
      </c>
      <c r="F68" s="81">
        <v>3.6</v>
      </c>
    </row>
    <row r="69" spans="1:8" ht="11.25" customHeight="1" x14ac:dyDescent="0.2">
      <c r="C69" s="1" t="s">
        <v>2318</v>
      </c>
      <c r="E69" s="155" t="s">
        <v>1237</v>
      </c>
      <c r="F69" s="158">
        <v>100</v>
      </c>
      <c r="G69" s="155">
        <v>20638</v>
      </c>
      <c r="H69" s="164">
        <v>49.11</v>
      </c>
    </row>
    <row r="70" spans="1:8" ht="11.25" customHeight="1" x14ac:dyDescent="0.2">
      <c r="C70" s="1" t="s">
        <v>2318</v>
      </c>
    </row>
    <row r="71" spans="1:8" ht="11.25" customHeight="1" x14ac:dyDescent="0.2">
      <c r="A71" s="1" t="s">
        <v>1855</v>
      </c>
      <c r="C71" s="1" t="s">
        <v>2416</v>
      </c>
      <c r="D71" s="4" t="s">
        <v>488</v>
      </c>
      <c r="E71" s="16">
        <v>156</v>
      </c>
      <c r="F71" s="81">
        <v>0.9</v>
      </c>
    </row>
    <row r="72" spans="1:8" ht="11.25" customHeight="1" x14ac:dyDescent="0.2">
      <c r="C72" s="2" t="s">
        <v>1857</v>
      </c>
      <c r="D72" s="4" t="s">
        <v>1736</v>
      </c>
      <c r="E72" s="16">
        <v>9846</v>
      </c>
      <c r="F72" s="81">
        <v>58.1</v>
      </c>
    </row>
    <row r="73" spans="1:8" ht="11.25" customHeight="1" x14ac:dyDescent="0.2">
      <c r="C73" s="1" t="s">
        <v>2417</v>
      </c>
      <c r="D73" s="4" t="s">
        <v>489</v>
      </c>
      <c r="E73" s="16">
        <v>543</v>
      </c>
      <c r="F73" s="81">
        <v>3.2</v>
      </c>
    </row>
    <row r="74" spans="1:8" ht="11.25" customHeight="1" x14ac:dyDescent="0.2">
      <c r="C74" s="1" t="s">
        <v>2418</v>
      </c>
      <c r="D74" s="4" t="s">
        <v>1072</v>
      </c>
      <c r="E74" s="16">
        <v>5332</v>
      </c>
      <c r="F74" s="81">
        <v>31.5</v>
      </c>
    </row>
    <row r="75" spans="1:8" ht="11.25" customHeight="1" x14ac:dyDescent="0.2">
      <c r="C75" s="1" t="s">
        <v>2419</v>
      </c>
      <c r="D75" s="4" t="s">
        <v>655</v>
      </c>
      <c r="E75" s="16">
        <v>1063</v>
      </c>
      <c r="F75" s="81">
        <v>6.3</v>
      </c>
    </row>
    <row r="76" spans="1:8" ht="11.25" customHeight="1" x14ac:dyDescent="0.2">
      <c r="C76" s="1" t="s">
        <v>2318</v>
      </c>
      <c r="E76" s="155" t="s">
        <v>910</v>
      </c>
      <c r="F76" s="158">
        <v>100</v>
      </c>
      <c r="G76" s="155">
        <v>28498</v>
      </c>
      <c r="H76" s="164">
        <v>59.63</v>
      </c>
    </row>
    <row r="77" spans="1:8" ht="11.25" customHeight="1" x14ac:dyDescent="0.2">
      <c r="C77" s="1" t="s">
        <v>2318</v>
      </c>
    </row>
    <row r="78" spans="1:8" ht="11.25" customHeight="1" x14ac:dyDescent="0.2">
      <c r="A78" s="1" t="s">
        <v>1860</v>
      </c>
      <c r="C78" s="1" t="s">
        <v>2420</v>
      </c>
      <c r="D78" s="4" t="s">
        <v>655</v>
      </c>
      <c r="E78" s="16">
        <v>617</v>
      </c>
      <c r="F78" s="81">
        <v>3.5</v>
      </c>
    </row>
    <row r="79" spans="1:8" ht="11.25" customHeight="1" x14ac:dyDescent="0.2">
      <c r="C79" s="1" t="s">
        <v>2421</v>
      </c>
      <c r="D79" s="4" t="s">
        <v>653</v>
      </c>
      <c r="E79" s="16">
        <v>101</v>
      </c>
      <c r="F79" s="81">
        <v>0.6</v>
      </c>
    </row>
    <row r="80" spans="1:8" ht="11.25" customHeight="1" x14ac:dyDescent="0.2">
      <c r="C80" s="1" t="s">
        <v>2422</v>
      </c>
      <c r="D80" s="4" t="s">
        <v>488</v>
      </c>
      <c r="E80" s="16">
        <v>85</v>
      </c>
      <c r="F80" s="81">
        <v>0.5</v>
      </c>
    </row>
    <row r="81" spans="1:8" ht="11.25" customHeight="1" x14ac:dyDescent="0.2">
      <c r="C81" s="1" t="s">
        <v>2423</v>
      </c>
      <c r="D81" s="4" t="s">
        <v>1072</v>
      </c>
      <c r="E81" s="16">
        <v>6142</v>
      </c>
      <c r="F81" s="81">
        <v>35.5</v>
      </c>
    </row>
    <row r="82" spans="1:8" ht="11.25" customHeight="1" x14ac:dyDescent="0.2">
      <c r="C82" s="2" t="s">
        <v>2424</v>
      </c>
      <c r="D82" s="4" t="s">
        <v>1736</v>
      </c>
      <c r="E82" s="16">
        <v>10061</v>
      </c>
      <c r="F82" s="81">
        <v>58.1</v>
      </c>
    </row>
    <row r="83" spans="1:8" ht="11.25" customHeight="1" x14ac:dyDescent="0.2">
      <c r="C83" s="1" t="s">
        <v>2425</v>
      </c>
      <c r="D83" s="4" t="s">
        <v>1071</v>
      </c>
      <c r="E83" s="16">
        <v>312</v>
      </c>
      <c r="F83" s="81">
        <v>1.8</v>
      </c>
    </row>
    <row r="84" spans="1:8" ht="11.25" customHeight="1" x14ac:dyDescent="0.2">
      <c r="C84" s="1" t="s">
        <v>2318</v>
      </c>
      <c r="E84" s="155" t="s">
        <v>911</v>
      </c>
      <c r="F84" s="158">
        <v>100</v>
      </c>
      <c r="G84" s="155">
        <v>25873</v>
      </c>
      <c r="H84" s="164">
        <v>67.12</v>
      </c>
    </row>
    <row r="85" spans="1:8" ht="11.25" customHeight="1" x14ac:dyDescent="0.2">
      <c r="C85" s="1" t="s">
        <v>2318</v>
      </c>
    </row>
    <row r="86" spans="1:8" ht="11.25" customHeight="1" x14ac:dyDescent="0.2">
      <c r="A86" s="1" t="s">
        <v>1865</v>
      </c>
      <c r="C86" s="1" t="s">
        <v>1145</v>
      </c>
      <c r="D86" s="4" t="s">
        <v>1072</v>
      </c>
      <c r="E86" s="16">
        <v>5346</v>
      </c>
      <c r="F86" s="81">
        <v>37.200000000000003</v>
      </c>
    </row>
    <row r="87" spans="1:8" ht="11.25" customHeight="1" x14ac:dyDescent="0.2">
      <c r="C87" s="1" t="s">
        <v>2426</v>
      </c>
      <c r="D87" s="4" t="s">
        <v>653</v>
      </c>
      <c r="E87" s="16">
        <v>544</v>
      </c>
      <c r="F87" s="81">
        <v>3.8</v>
      </c>
    </row>
    <row r="88" spans="1:8" ht="11.25" customHeight="1" x14ac:dyDescent="0.2">
      <c r="C88" s="2" t="s">
        <v>2427</v>
      </c>
      <c r="D88" s="4" t="s">
        <v>1736</v>
      </c>
      <c r="E88" s="16">
        <v>7855</v>
      </c>
      <c r="F88" s="81">
        <v>54.6</v>
      </c>
    </row>
    <row r="89" spans="1:8" ht="11.25" customHeight="1" x14ac:dyDescent="0.2">
      <c r="C89" s="1" t="s">
        <v>2428</v>
      </c>
      <c r="D89" s="4" t="s">
        <v>488</v>
      </c>
      <c r="E89" s="16">
        <v>70</v>
      </c>
      <c r="F89" s="81">
        <v>0.5</v>
      </c>
    </row>
    <row r="90" spans="1:8" ht="11.25" customHeight="1" x14ac:dyDescent="0.2">
      <c r="C90" s="1" t="s">
        <v>2429</v>
      </c>
      <c r="D90" s="4" t="s">
        <v>655</v>
      </c>
      <c r="E90" s="16">
        <v>558</v>
      </c>
      <c r="F90" s="81">
        <v>3.9</v>
      </c>
    </row>
    <row r="91" spans="1:8" ht="11.25" customHeight="1" x14ac:dyDescent="0.2">
      <c r="C91" s="1" t="s">
        <v>2318</v>
      </c>
      <c r="E91" s="155" t="s">
        <v>913</v>
      </c>
      <c r="F91" s="158">
        <v>100</v>
      </c>
      <c r="G91" s="155">
        <v>22447</v>
      </c>
      <c r="H91" s="164">
        <v>64.11</v>
      </c>
    </row>
    <row r="92" spans="1:8" ht="11.25" customHeight="1" x14ac:dyDescent="0.2">
      <c r="C92" s="1" t="s">
        <v>2318</v>
      </c>
    </row>
    <row r="93" spans="1:8" ht="11.25" customHeight="1" x14ac:dyDescent="0.2">
      <c r="A93" s="1" t="s">
        <v>1869</v>
      </c>
      <c r="C93" s="2" t="s">
        <v>1147</v>
      </c>
      <c r="D93" s="4" t="s">
        <v>1736</v>
      </c>
      <c r="E93" s="16">
        <v>8129</v>
      </c>
      <c r="F93" s="81">
        <v>52.8</v>
      </c>
    </row>
    <row r="94" spans="1:8" ht="11.25" customHeight="1" x14ac:dyDescent="0.2">
      <c r="C94" s="1" t="s">
        <v>1272</v>
      </c>
      <c r="D94" s="4" t="s">
        <v>655</v>
      </c>
      <c r="E94" s="16">
        <v>965</v>
      </c>
      <c r="F94" s="81">
        <v>6.3</v>
      </c>
    </row>
    <row r="95" spans="1:8" ht="11.25" customHeight="1" x14ac:dyDescent="0.2">
      <c r="C95" s="1" t="s">
        <v>2430</v>
      </c>
      <c r="D95" s="4" t="s">
        <v>488</v>
      </c>
      <c r="E95" s="16">
        <v>155</v>
      </c>
      <c r="F95" s="81">
        <v>1</v>
      </c>
    </row>
    <row r="96" spans="1:8" ht="11.25" customHeight="1" x14ac:dyDescent="0.2">
      <c r="C96" s="1" t="s">
        <v>2431</v>
      </c>
      <c r="D96" s="4" t="s">
        <v>1072</v>
      </c>
      <c r="E96" s="16">
        <v>6146</v>
      </c>
      <c r="F96" s="81">
        <v>39.9</v>
      </c>
    </row>
    <row r="97" spans="1:8" ht="11.25" customHeight="1" x14ac:dyDescent="0.2">
      <c r="C97" s="1" t="s">
        <v>2318</v>
      </c>
      <c r="E97" s="155" t="s">
        <v>914</v>
      </c>
      <c r="F97" s="158">
        <v>100</v>
      </c>
      <c r="G97" s="155">
        <v>23041</v>
      </c>
      <c r="H97" s="164">
        <v>66.930000000000007</v>
      </c>
    </row>
    <row r="98" spans="1:8" ht="11.25" customHeight="1" x14ac:dyDescent="0.2">
      <c r="C98" s="1" t="s">
        <v>2318</v>
      </c>
    </row>
    <row r="99" spans="1:8" ht="11.25" customHeight="1" x14ac:dyDescent="0.2">
      <c r="A99" s="1" t="s">
        <v>3211</v>
      </c>
      <c r="C99" s="1" t="s">
        <v>2432</v>
      </c>
      <c r="D99" s="4" t="s">
        <v>1314</v>
      </c>
      <c r="E99" s="16">
        <v>147</v>
      </c>
      <c r="F99" s="81">
        <v>0.9</v>
      </c>
    </row>
    <row r="100" spans="1:8" ht="11.25" customHeight="1" x14ac:dyDescent="0.2">
      <c r="C100" s="1" t="s">
        <v>2433</v>
      </c>
      <c r="D100" s="4" t="s">
        <v>1072</v>
      </c>
      <c r="E100" s="16">
        <v>7064</v>
      </c>
      <c r="F100" s="81">
        <v>43.1</v>
      </c>
    </row>
    <row r="101" spans="1:8" ht="11.25" customHeight="1" x14ac:dyDescent="0.2">
      <c r="C101" s="2" t="s">
        <v>2434</v>
      </c>
      <c r="D101" s="4" t="s">
        <v>1736</v>
      </c>
      <c r="E101" s="16">
        <v>7972</v>
      </c>
      <c r="F101" s="81">
        <v>48.6</v>
      </c>
    </row>
    <row r="102" spans="1:8" ht="11.25" customHeight="1" x14ac:dyDescent="0.2">
      <c r="C102" s="1" t="s">
        <v>2435</v>
      </c>
      <c r="D102" s="4" t="s">
        <v>655</v>
      </c>
      <c r="E102" s="16">
        <v>603</v>
      </c>
      <c r="F102" s="81">
        <v>3.7</v>
      </c>
    </row>
    <row r="103" spans="1:8" ht="11.25" customHeight="1" x14ac:dyDescent="0.2">
      <c r="C103" s="1" t="s">
        <v>2436</v>
      </c>
      <c r="D103" s="4" t="s">
        <v>1071</v>
      </c>
      <c r="E103" s="16">
        <v>545</v>
      </c>
      <c r="F103" s="81">
        <v>3.3</v>
      </c>
    </row>
    <row r="104" spans="1:8" ht="11.25" customHeight="1" x14ac:dyDescent="0.2">
      <c r="C104" s="1" t="s">
        <v>2437</v>
      </c>
      <c r="D104" s="4" t="s">
        <v>488</v>
      </c>
      <c r="E104" s="16">
        <v>61</v>
      </c>
      <c r="F104" s="81">
        <v>0.4</v>
      </c>
    </row>
    <row r="105" spans="1:8" ht="11.25" customHeight="1" x14ac:dyDescent="0.2">
      <c r="C105" s="1" t="s">
        <v>2318</v>
      </c>
      <c r="E105" s="155" t="s">
        <v>915</v>
      </c>
      <c r="F105" s="158">
        <v>100</v>
      </c>
      <c r="G105" s="155">
        <v>23806</v>
      </c>
      <c r="H105" s="164">
        <v>69</v>
      </c>
    </row>
    <row r="106" spans="1:8" ht="11.25" customHeight="1" x14ac:dyDescent="0.2">
      <c r="C106" s="1" t="s">
        <v>2318</v>
      </c>
    </row>
    <row r="107" spans="1:8" ht="11.25" customHeight="1" x14ac:dyDescent="0.2">
      <c r="A107" s="1" t="s">
        <v>3216</v>
      </c>
      <c r="C107" s="1" t="s">
        <v>2438</v>
      </c>
      <c r="D107" s="4" t="s">
        <v>488</v>
      </c>
      <c r="E107" s="16">
        <v>88</v>
      </c>
      <c r="F107" s="81">
        <v>0.6</v>
      </c>
    </row>
    <row r="108" spans="1:8" ht="11.25" customHeight="1" x14ac:dyDescent="0.2">
      <c r="C108" s="2" t="s">
        <v>2439</v>
      </c>
      <c r="D108" s="4" t="s">
        <v>1736</v>
      </c>
      <c r="E108" s="16">
        <v>7280</v>
      </c>
      <c r="F108" s="81">
        <v>52.8</v>
      </c>
    </row>
    <row r="109" spans="1:8" ht="11.25" customHeight="1" x14ac:dyDescent="0.2">
      <c r="C109" s="1" t="s">
        <v>2440</v>
      </c>
      <c r="D109" s="4" t="s">
        <v>1072</v>
      </c>
      <c r="E109" s="16">
        <v>5803</v>
      </c>
      <c r="F109" s="81">
        <v>42.1</v>
      </c>
    </row>
    <row r="110" spans="1:8" ht="11.25" customHeight="1" x14ac:dyDescent="0.2">
      <c r="C110" s="1" t="s">
        <v>2441</v>
      </c>
      <c r="D110" s="4" t="s">
        <v>487</v>
      </c>
      <c r="E110" s="16">
        <v>122</v>
      </c>
      <c r="F110" s="81">
        <v>0.9</v>
      </c>
    </row>
    <row r="111" spans="1:8" ht="11.25" customHeight="1" x14ac:dyDescent="0.2">
      <c r="C111" s="1" t="s">
        <v>2442</v>
      </c>
      <c r="D111" s="4" t="s">
        <v>655</v>
      </c>
      <c r="E111" s="16">
        <v>502</v>
      </c>
      <c r="F111" s="81">
        <v>3.6</v>
      </c>
    </row>
    <row r="112" spans="1:8" ht="11.25" customHeight="1" x14ac:dyDescent="0.2">
      <c r="C112" s="1" t="s">
        <v>2318</v>
      </c>
      <c r="E112" s="155" t="s">
        <v>1306</v>
      </c>
      <c r="F112" s="158">
        <v>100</v>
      </c>
      <c r="G112" s="155">
        <v>20231</v>
      </c>
      <c r="H112" s="164">
        <v>68.290000000000006</v>
      </c>
    </row>
    <row r="113" spans="1:8" ht="11.25" customHeight="1" x14ac:dyDescent="0.2">
      <c r="C113" s="1" t="s">
        <v>2318</v>
      </c>
    </row>
    <row r="114" spans="1:8" ht="11.25" customHeight="1" x14ac:dyDescent="0.2">
      <c r="A114" s="1" t="s">
        <v>3220</v>
      </c>
      <c r="C114" s="1" t="s">
        <v>2443</v>
      </c>
      <c r="D114" s="4" t="s">
        <v>488</v>
      </c>
      <c r="E114" s="16">
        <v>55</v>
      </c>
      <c r="F114" s="81">
        <v>0.6</v>
      </c>
    </row>
    <row r="115" spans="1:8" ht="11.25" customHeight="1" x14ac:dyDescent="0.2">
      <c r="C115" s="1" t="s">
        <v>2444</v>
      </c>
      <c r="D115" s="15" t="s">
        <v>1072</v>
      </c>
      <c r="E115" s="16">
        <v>2921</v>
      </c>
      <c r="F115" s="81">
        <v>31.8</v>
      </c>
    </row>
    <row r="116" spans="1:8" ht="11.25" customHeight="1" x14ac:dyDescent="0.2">
      <c r="C116" s="1" t="s">
        <v>2445</v>
      </c>
      <c r="D116" s="4" t="s">
        <v>655</v>
      </c>
      <c r="E116" s="16">
        <v>900</v>
      </c>
      <c r="F116" s="81">
        <v>9.8000000000000007</v>
      </c>
    </row>
    <row r="117" spans="1:8" ht="11.25" customHeight="1" x14ac:dyDescent="0.2">
      <c r="C117" s="1" t="s">
        <v>1265</v>
      </c>
      <c r="D117" s="4" t="s">
        <v>487</v>
      </c>
      <c r="E117" s="16">
        <v>129</v>
      </c>
      <c r="F117" s="81">
        <v>1.4</v>
      </c>
    </row>
    <row r="118" spans="1:8" ht="11.25" customHeight="1" x14ac:dyDescent="0.2">
      <c r="C118" s="1" t="s">
        <v>2446</v>
      </c>
      <c r="D118" s="4" t="s">
        <v>653</v>
      </c>
      <c r="E118" s="16">
        <v>1066</v>
      </c>
      <c r="F118" s="81">
        <v>11.6</v>
      </c>
    </row>
    <row r="119" spans="1:8" ht="11.25" customHeight="1" x14ac:dyDescent="0.2">
      <c r="C119" s="2" t="s">
        <v>2447</v>
      </c>
      <c r="D119" s="4" t="s">
        <v>1736</v>
      </c>
      <c r="E119" s="16">
        <v>4118</v>
      </c>
      <c r="F119" s="81">
        <v>44.8</v>
      </c>
    </row>
    <row r="120" spans="1:8" ht="11.25" customHeight="1" x14ac:dyDescent="0.2">
      <c r="C120" s="1" t="s">
        <v>2318</v>
      </c>
      <c r="D120" s="1"/>
      <c r="E120" s="155" t="s">
        <v>1307</v>
      </c>
      <c r="F120" s="158">
        <v>100</v>
      </c>
      <c r="G120" s="155">
        <v>18658</v>
      </c>
      <c r="H120" s="164">
        <v>49.38</v>
      </c>
    </row>
    <row r="121" spans="1:8" ht="11.25" customHeight="1" x14ac:dyDescent="0.2">
      <c r="C121" s="1" t="s">
        <v>2318</v>
      </c>
      <c r="D121" s="1"/>
    </row>
    <row r="122" spans="1:8" ht="11.25" customHeight="1" x14ac:dyDescent="0.2">
      <c r="A122" s="1" t="s">
        <v>3227</v>
      </c>
      <c r="C122" s="1" t="s">
        <v>2792</v>
      </c>
      <c r="D122" s="4" t="s">
        <v>488</v>
      </c>
      <c r="E122" s="16">
        <v>68</v>
      </c>
      <c r="F122" s="81">
        <v>0.7</v>
      </c>
    </row>
    <row r="123" spans="1:8" ht="11.25" customHeight="1" x14ac:dyDescent="0.2">
      <c r="C123" s="1" t="s">
        <v>2793</v>
      </c>
      <c r="D123" s="4" t="s">
        <v>653</v>
      </c>
      <c r="E123" s="16">
        <v>613</v>
      </c>
      <c r="F123" s="81">
        <v>6.1</v>
      </c>
    </row>
    <row r="124" spans="1:8" ht="11.25" customHeight="1" x14ac:dyDescent="0.2">
      <c r="C124" s="1" t="s">
        <v>2794</v>
      </c>
      <c r="D124" s="4" t="s">
        <v>655</v>
      </c>
      <c r="E124" s="16">
        <v>1970</v>
      </c>
      <c r="F124" s="81">
        <v>19.5</v>
      </c>
    </row>
    <row r="125" spans="1:8" ht="11.25" customHeight="1" x14ac:dyDescent="0.2">
      <c r="C125" s="2" t="s">
        <v>2795</v>
      </c>
      <c r="D125" s="4" t="s">
        <v>1736</v>
      </c>
      <c r="E125" s="16">
        <v>4866</v>
      </c>
      <c r="F125" s="81">
        <v>48.1</v>
      </c>
    </row>
    <row r="126" spans="1:8" ht="11.25" customHeight="1" x14ac:dyDescent="0.2">
      <c r="C126" s="1" t="s">
        <v>2796</v>
      </c>
      <c r="D126" s="4" t="s">
        <v>1072</v>
      </c>
      <c r="E126" s="16">
        <v>2592</v>
      </c>
      <c r="F126" s="81">
        <v>25.6</v>
      </c>
    </row>
    <row r="127" spans="1:8" ht="11.25" customHeight="1" x14ac:dyDescent="0.2">
      <c r="C127" s="1" t="s">
        <v>2318</v>
      </c>
      <c r="E127" s="155" t="s">
        <v>1308</v>
      </c>
      <c r="F127" s="158">
        <v>100</v>
      </c>
      <c r="G127" s="155">
        <v>20569</v>
      </c>
      <c r="H127" s="164">
        <v>49.28</v>
      </c>
    </row>
    <row r="128" spans="1:8" ht="11.25" customHeight="1" x14ac:dyDescent="0.2">
      <c r="C128" s="1" t="s">
        <v>2318</v>
      </c>
    </row>
    <row r="129" spans="1:8" ht="11.25" customHeight="1" x14ac:dyDescent="0.2">
      <c r="A129" s="1" t="s">
        <v>3231</v>
      </c>
      <c r="C129" s="1" t="s">
        <v>2797</v>
      </c>
      <c r="D129" s="4" t="s">
        <v>1071</v>
      </c>
      <c r="E129" s="16">
        <v>481</v>
      </c>
      <c r="F129" s="81">
        <v>3.8</v>
      </c>
    </row>
    <row r="130" spans="1:8" ht="11.25" customHeight="1" x14ac:dyDescent="0.2">
      <c r="C130" s="1" t="s">
        <v>2798</v>
      </c>
      <c r="D130" s="4" t="s">
        <v>655</v>
      </c>
      <c r="E130" s="16">
        <v>3255</v>
      </c>
      <c r="F130" s="81">
        <v>26.1</v>
      </c>
    </row>
    <row r="131" spans="1:8" ht="11.25" customHeight="1" x14ac:dyDescent="0.2">
      <c r="C131" s="2" t="s">
        <v>3232</v>
      </c>
      <c r="D131" s="4" t="s">
        <v>1736</v>
      </c>
      <c r="E131" s="16">
        <v>5768</v>
      </c>
      <c r="F131" s="81">
        <v>46.2</v>
      </c>
    </row>
    <row r="132" spans="1:8" ht="11.25" customHeight="1" x14ac:dyDescent="0.2">
      <c r="C132" s="1" t="s">
        <v>2799</v>
      </c>
      <c r="D132" s="4" t="s">
        <v>1072</v>
      </c>
      <c r="E132" s="16">
        <v>2791</v>
      </c>
      <c r="F132" s="81">
        <v>22.4</v>
      </c>
    </row>
    <row r="133" spans="1:8" ht="11.25" customHeight="1" x14ac:dyDescent="0.2">
      <c r="C133" s="1" t="s">
        <v>2800</v>
      </c>
      <c r="D133" s="4" t="s">
        <v>487</v>
      </c>
      <c r="E133" s="16">
        <v>116</v>
      </c>
      <c r="F133" s="81">
        <v>0.9</v>
      </c>
    </row>
    <row r="134" spans="1:8" ht="11.25" customHeight="1" x14ac:dyDescent="0.2">
      <c r="C134" s="1" t="s">
        <v>2801</v>
      </c>
      <c r="D134" s="4" t="s">
        <v>488</v>
      </c>
      <c r="E134" s="16">
        <v>71</v>
      </c>
      <c r="F134" s="81">
        <v>0.6</v>
      </c>
    </row>
    <row r="135" spans="1:8" ht="11.25" customHeight="1" x14ac:dyDescent="0.2">
      <c r="C135" s="1" t="s">
        <v>2318</v>
      </c>
      <c r="E135" s="155" t="s">
        <v>1305</v>
      </c>
      <c r="F135" s="158">
        <v>100</v>
      </c>
      <c r="G135" s="155">
        <v>23408</v>
      </c>
      <c r="H135" s="164">
        <v>53.49</v>
      </c>
    </row>
    <row r="136" spans="1:8" ht="11.25" customHeight="1" x14ac:dyDescent="0.2">
      <c r="C136" s="1" t="s">
        <v>2318</v>
      </c>
    </row>
    <row r="137" spans="1:8" ht="11.25" customHeight="1" x14ac:dyDescent="0.2">
      <c r="A137" s="1" t="s">
        <v>3235</v>
      </c>
      <c r="C137" s="1" t="s">
        <v>2802</v>
      </c>
      <c r="D137" s="4" t="s">
        <v>655</v>
      </c>
      <c r="E137" s="16">
        <v>1935</v>
      </c>
      <c r="F137" s="81">
        <v>14.3</v>
      </c>
    </row>
    <row r="138" spans="1:8" ht="11.25" customHeight="1" x14ac:dyDescent="0.2">
      <c r="C138" s="1" t="s">
        <v>2803</v>
      </c>
      <c r="D138" s="4" t="s">
        <v>1072</v>
      </c>
      <c r="E138" s="16">
        <v>4262</v>
      </c>
      <c r="F138" s="81">
        <v>31.6</v>
      </c>
    </row>
    <row r="139" spans="1:8" ht="11.25" customHeight="1" x14ac:dyDescent="0.2">
      <c r="C139" s="1" t="s">
        <v>2804</v>
      </c>
      <c r="D139" s="4" t="s">
        <v>488</v>
      </c>
      <c r="E139" s="16">
        <v>160</v>
      </c>
      <c r="F139" s="81">
        <v>1.2</v>
      </c>
    </row>
    <row r="140" spans="1:8" ht="11.25" customHeight="1" x14ac:dyDescent="0.2">
      <c r="C140" s="2" t="s">
        <v>2805</v>
      </c>
      <c r="D140" s="4" t="s">
        <v>1736</v>
      </c>
      <c r="E140" s="16">
        <v>6756</v>
      </c>
      <c r="F140" s="81">
        <v>50</v>
      </c>
    </row>
    <row r="141" spans="1:8" ht="11.25" customHeight="1" x14ac:dyDescent="0.2">
      <c r="C141" s="1" t="s">
        <v>2806</v>
      </c>
      <c r="D141" s="4" t="s">
        <v>653</v>
      </c>
      <c r="E141" s="16">
        <v>394</v>
      </c>
      <c r="F141" s="81">
        <v>2.9</v>
      </c>
    </row>
    <row r="142" spans="1:8" ht="11.25" customHeight="1" x14ac:dyDescent="0.2">
      <c r="C142" s="1" t="s">
        <v>2318</v>
      </c>
      <c r="E142" s="155" t="s">
        <v>578</v>
      </c>
      <c r="F142" s="158">
        <v>100</v>
      </c>
      <c r="G142" s="155">
        <v>24143</v>
      </c>
      <c r="H142" s="164">
        <v>56.11</v>
      </c>
    </row>
    <row r="143" spans="1:8" ht="11.25" customHeight="1" x14ac:dyDescent="0.2">
      <c r="C143" s="1" t="s">
        <v>2318</v>
      </c>
    </row>
    <row r="144" spans="1:8" ht="11.25" customHeight="1" x14ac:dyDescent="0.2">
      <c r="A144" s="1" t="s">
        <v>3240</v>
      </c>
      <c r="C144" s="2" t="s">
        <v>3139</v>
      </c>
      <c r="D144" s="4" t="s">
        <v>1072</v>
      </c>
      <c r="E144" s="16">
        <v>6763</v>
      </c>
      <c r="F144" s="81">
        <v>47.7</v>
      </c>
    </row>
    <row r="145" spans="1:8" ht="11.25" customHeight="1" x14ac:dyDescent="0.2">
      <c r="C145" s="1" t="s">
        <v>2807</v>
      </c>
      <c r="D145" s="4" t="s">
        <v>488</v>
      </c>
      <c r="E145" s="16">
        <v>110</v>
      </c>
      <c r="F145" s="81">
        <v>0.8</v>
      </c>
    </row>
    <row r="146" spans="1:8" ht="11.25" customHeight="1" x14ac:dyDescent="0.2">
      <c r="C146" s="1" t="s">
        <v>2808</v>
      </c>
      <c r="D146" s="4" t="s">
        <v>1071</v>
      </c>
      <c r="E146" s="16">
        <v>373</v>
      </c>
      <c r="F146" s="81">
        <v>2.6</v>
      </c>
    </row>
    <row r="147" spans="1:8" ht="11.25" customHeight="1" x14ac:dyDescent="0.2">
      <c r="C147" s="1" t="s">
        <v>2809</v>
      </c>
      <c r="D147" s="4" t="s">
        <v>655</v>
      </c>
      <c r="E147" s="16">
        <v>495</v>
      </c>
      <c r="F147" s="81">
        <v>3.5</v>
      </c>
    </row>
    <row r="148" spans="1:8" ht="11.25" customHeight="1" x14ac:dyDescent="0.2">
      <c r="C148" s="1" t="s">
        <v>2810</v>
      </c>
      <c r="D148" s="4" t="s">
        <v>1736</v>
      </c>
      <c r="E148" s="16">
        <v>6443</v>
      </c>
      <c r="F148" s="81">
        <v>45.4</v>
      </c>
    </row>
    <row r="149" spans="1:8" ht="11.25" customHeight="1" x14ac:dyDescent="0.2">
      <c r="C149" s="1" t="s">
        <v>2318</v>
      </c>
      <c r="E149" s="155" t="s">
        <v>579</v>
      </c>
      <c r="F149" s="158">
        <v>100</v>
      </c>
      <c r="G149" s="155">
        <v>21717</v>
      </c>
      <c r="H149" s="164">
        <v>65.39</v>
      </c>
    </row>
    <row r="150" spans="1:8" ht="11.25" customHeight="1" x14ac:dyDescent="0.2">
      <c r="C150" s="1" t="s">
        <v>2318</v>
      </c>
    </row>
    <row r="151" spans="1:8" ht="11.25" customHeight="1" x14ac:dyDescent="0.2">
      <c r="A151" s="1" t="s">
        <v>1172</v>
      </c>
      <c r="C151" s="1" t="s">
        <v>61</v>
      </c>
      <c r="D151" s="4" t="s">
        <v>1072</v>
      </c>
      <c r="E151" s="16">
        <v>5057</v>
      </c>
      <c r="F151" s="81">
        <v>38.9</v>
      </c>
    </row>
    <row r="152" spans="1:8" ht="11.25" customHeight="1" x14ac:dyDescent="0.2">
      <c r="C152" s="1" t="s">
        <v>2811</v>
      </c>
      <c r="D152" s="4" t="s">
        <v>488</v>
      </c>
      <c r="E152" s="16">
        <v>176</v>
      </c>
      <c r="F152" s="81">
        <v>1.4</v>
      </c>
    </row>
    <row r="153" spans="1:8" ht="11.25" customHeight="1" x14ac:dyDescent="0.2">
      <c r="C153" s="2" t="s">
        <v>2812</v>
      </c>
      <c r="D153" s="4" t="s">
        <v>1736</v>
      </c>
      <c r="E153" s="16">
        <v>6974</v>
      </c>
      <c r="F153" s="81">
        <v>53.6</v>
      </c>
    </row>
    <row r="154" spans="1:8" ht="11.25" customHeight="1" x14ac:dyDescent="0.2">
      <c r="C154" s="1" t="s">
        <v>2813</v>
      </c>
      <c r="D154" s="4" t="s">
        <v>655</v>
      </c>
      <c r="E154" s="16">
        <v>789</v>
      </c>
      <c r="F154" s="81">
        <v>6.1</v>
      </c>
    </row>
    <row r="155" spans="1:8" ht="11.25" customHeight="1" x14ac:dyDescent="0.2">
      <c r="C155" s="1" t="s">
        <v>2318</v>
      </c>
      <c r="E155" s="155" t="s">
        <v>580</v>
      </c>
      <c r="F155" s="158">
        <v>100</v>
      </c>
      <c r="G155" s="155">
        <v>22672</v>
      </c>
      <c r="H155" s="164">
        <v>57.47</v>
      </c>
    </row>
    <row r="156" spans="1:8" ht="11.25" customHeight="1" x14ac:dyDescent="0.2">
      <c r="C156" s="1" t="s">
        <v>2318</v>
      </c>
    </row>
    <row r="157" spans="1:8" ht="11.25" customHeight="1" x14ac:dyDescent="0.2">
      <c r="A157" s="1" t="s">
        <v>1176</v>
      </c>
      <c r="C157" s="2" t="s">
        <v>3144</v>
      </c>
      <c r="D157" s="4" t="s">
        <v>1736</v>
      </c>
      <c r="E157" s="16">
        <v>9328</v>
      </c>
      <c r="F157" s="81">
        <v>62.4</v>
      </c>
    </row>
    <row r="158" spans="1:8" ht="11.25" customHeight="1" x14ac:dyDescent="0.2">
      <c r="C158" s="1" t="s">
        <v>2814</v>
      </c>
      <c r="D158" s="4" t="s">
        <v>655</v>
      </c>
      <c r="E158" s="16">
        <v>526</v>
      </c>
      <c r="F158" s="81">
        <v>3.5</v>
      </c>
    </row>
    <row r="159" spans="1:8" ht="11.25" customHeight="1" x14ac:dyDescent="0.2">
      <c r="C159" s="1" t="s">
        <v>2815</v>
      </c>
      <c r="D159" s="4" t="s">
        <v>488</v>
      </c>
      <c r="E159" s="16">
        <v>136</v>
      </c>
      <c r="F159" s="81">
        <v>0.9</v>
      </c>
    </row>
    <row r="160" spans="1:8" ht="11.25" customHeight="1" x14ac:dyDescent="0.2">
      <c r="C160" s="1" t="s">
        <v>2816</v>
      </c>
      <c r="D160" s="4" t="s">
        <v>1072</v>
      </c>
      <c r="E160" s="16">
        <v>4963</v>
      </c>
      <c r="F160" s="81">
        <v>33.200000000000003</v>
      </c>
    </row>
    <row r="161" spans="1:8" ht="11.25" customHeight="1" x14ac:dyDescent="0.2">
      <c r="C161" s="1" t="s">
        <v>2318</v>
      </c>
      <c r="E161" s="155" t="s">
        <v>581</v>
      </c>
      <c r="F161" s="158">
        <v>100</v>
      </c>
      <c r="G161" s="155">
        <v>23941</v>
      </c>
      <c r="H161" s="164">
        <v>62.6</v>
      </c>
    </row>
    <row r="162" spans="1:8" ht="11.25" customHeight="1" x14ac:dyDescent="0.2">
      <c r="C162" s="1" t="s">
        <v>2318</v>
      </c>
    </row>
    <row r="163" spans="1:8" ht="11.25" customHeight="1" x14ac:dyDescent="0.2">
      <c r="A163" s="1" t="s">
        <v>1183</v>
      </c>
      <c r="C163" s="1" t="s">
        <v>2817</v>
      </c>
      <c r="D163" s="4" t="s">
        <v>488</v>
      </c>
      <c r="E163" s="16">
        <v>99</v>
      </c>
      <c r="F163" s="81">
        <v>0.6</v>
      </c>
    </row>
    <row r="164" spans="1:8" ht="11.25" customHeight="1" x14ac:dyDescent="0.2">
      <c r="C164" s="1" t="s">
        <v>3152</v>
      </c>
      <c r="D164" s="4" t="s">
        <v>1072</v>
      </c>
      <c r="E164" s="16">
        <v>6860</v>
      </c>
      <c r="F164" s="81">
        <v>38.6</v>
      </c>
    </row>
    <row r="165" spans="1:8" ht="11.25" customHeight="1" x14ac:dyDescent="0.2">
      <c r="C165" s="1" t="s">
        <v>2818</v>
      </c>
      <c r="D165" s="4" t="s">
        <v>655</v>
      </c>
      <c r="E165" s="16">
        <v>1785</v>
      </c>
      <c r="F165" s="81">
        <v>10</v>
      </c>
    </row>
    <row r="166" spans="1:8" ht="11.25" customHeight="1" x14ac:dyDescent="0.2">
      <c r="C166" s="1" t="s">
        <v>2819</v>
      </c>
      <c r="D166" s="4" t="s">
        <v>1314</v>
      </c>
      <c r="E166" s="16">
        <v>531</v>
      </c>
      <c r="F166" s="81">
        <v>3</v>
      </c>
    </row>
    <row r="167" spans="1:8" ht="11.25" customHeight="1" x14ac:dyDescent="0.2">
      <c r="C167" s="2" t="s">
        <v>2820</v>
      </c>
      <c r="D167" s="4" t="s">
        <v>1736</v>
      </c>
      <c r="E167" s="16">
        <v>8520</v>
      </c>
      <c r="F167" s="81">
        <v>47.8</v>
      </c>
    </row>
    <row r="168" spans="1:8" ht="11.25" customHeight="1" x14ac:dyDescent="0.2">
      <c r="C168" s="1" t="s">
        <v>2318</v>
      </c>
      <c r="E168" s="155" t="s">
        <v>582</v>
      </c>
      <c r="F168" s="158">
        <v>100</v>
      </c>
      <c r="G168" s="155">
        <v>27560</v>
      </c>
      <c r="H168" s="164">
        <v>64.739999999999995</v>
      </c>
    </row>
    <row r="169" spans="1:8" ht="11.25" customHeight="1" x14ac:dyDescent="0.2">
      <c r="C169" s="1" t="s">
        <v>2318</v>
      </c>
    </row>
    <row r="170" spans="1:8" ht="11.25" customHeight="1" x14ac:dyDescent="0.2">
      <c r="A170" s="1" t="s">
        <v>1188</v>
      </c>
      <c r="C170" s="2" t="s">
        <v>2821</v>
      </c>
      <c r="D170" s="4" t="s">
        <v>1072</v>
      </c>
      <c r="E170" s="16">
        <v>6927</v>
      </c>
      <c r="F170" s="81">
        <v>47</v>
      </c>
    </row>
    <row r="171" spans="1:8" ht="11.25" customHeight="1" x14ac:dyDescent="0.2">
      <c r="C171" s="1" t="s">
        <v>2822</v>
      </c>
      <c r="D171" s="4" t="s">
        <v>655</v>
      </c>
      <c r="E171" s="16">
        <v>584</v>
      </c>
      <c r="F171" s="81">
        <v>4</v>
      </c>
    </row>
    <row r="172" spans="1:8" ht="11.25" customHeight="1" x14ac:dyDescent="0.2">
      <c r="C172" s="1" t="s">
        <v>2823</v>
      </c>
      <c r="D172" s="4" t="s">
        <v>1736</v>
      </c>
      <c r="E172" s="16">
        <v>6532</v>
      </c>
      <c r="F172" s="81">
        <v>44.4</v>
      </c>
    </row>
    <row r="173" spans="1:8" ht="11.25" customHeight="1" x14ac:dyDescent="0.2">
      <c r="C173" s="1" t="s">
        <v>2824</v>
      </c>
      <c r="D173" s="4" t="s">
        <v>488</v>
      </c>
      <c r="E173" s="16">
        <v>135</v>
      </c>
      <c r="F173" s="81">
        <v>0.9</v>
      </c>
    </row>
    <row r="174" spans="1:8" ht="11.25" customHeight="1" x14ac:dyDescent="0.2">
      <c r="C174" s="1" t="s">
        <v>2825</v>
      </c>
      <c r="D174" s="4" t="s">
        <v>1071</v>
      </c>
      <c r="E174" s="16">
        <v>548</v>
      </c>
      <c r="F174" s="81">
        <v>3.7</v>
      </c>
    </row>
    <row r="175" spans="1:8" ht="11.25" customHeight="1" x14ac:dyDescent="0.2">
      <c r="C175" s="1" t="s">
        <v>2318</v>
      </c>
      <c r="E175" s="155" t="s">
        <v>3242</v>
      </c>
      <c r="F175" s="158">
        <v>100</v>
      </c>
      <c r="G175" s="155">
        <v>22959</v>
      </c>
      <c r="H175" s="164">
        <v>64.239999999999995</v>
      </c>
    </row>
    <row r="176" spans="1:8" ht="11.25" customHeight="1" x14ac:dyDescent="0.2">
      <c r="C176" s="1" t="s">
        <v>2318</v>
      </c>
    </row>
    <row r="177" spans="1:8" s="2" customFormat="1" ht="11.25" customHeight="1" x14ac:dyDescent="0.2">
      <c r="A177" s="1" t="s">
        <v>1967</v>
      </c>
      <c r="B177" s="1"/>
      <c r="C177" s="2" t="s">
        <v>85</v>
      </c>
      <c r="D177" s="4" t="s">
        <v>482</v>
      </c>
      <c r="E177" s="16">
        <v>3345</v>
      </c>
      <c r="F177" s="81">
        <v>69.2</v>
      </c>
      <c r="G177" s="16"/>
      <c r="H177" s="82"/>
    </row>
    <row r="178" spans="1:8" ht="11.25" customHeight="1" x14ac:dyDescent="0.2">
      <c r="C178" s="1" t="s">
        <v>2396</v>
      </c>
      <c r="D178" s="4" t="s">
        <v>2271</v>
      </c>
      <c r="E178" s="16">
        <v>1326</v>
      </c>
      <c r="F178" s="81">
        <v>27.4</v>
      </c>
    </row>
    <row r="179" spans="1:8" s="2" customFormat="1" ht="11.25" customHeight="1" x14ac:dyDescent="0.2">
      <c r="A179" s="1"/>
      <c r="B179" s="1"/>
      <c r="C179" s="1" t="s">
        <v>2397</v>
      </c>
      <c r="D179" s="4" t="s">
        <v>655</v>
      </c>
      <c r="E179" s="16">
        <v>163</v>
      </c>
      <c r="F179" s="81">
        <v>3.4</v>
      </c>
      <c r="G179" s="16"/>
      <c r="H179" s="82"/>
    </row>
    <row r="180" spans="1:8" ht="11.25" customHeight="1" x14ac:dyDescent="0.2">
      <c r="C180" s="1" t="s">
        <v>2318</v>
      </c>
      <c r="E180" s="155" t="s">
        <v>960</v>
      </c>
      <c r="F180" s="158">
        <v>100</v>
      </c>
      <c r="G180" s="155">
        <v>9043</v>
      </c>
      <c r="H180" s="164">
        <v>53.57</v>
      </c>
    </row>
    <row r="181" spans="1:8" ht="11.25" customHeight="1" x14ac:dyDescent="0.2">
      <c r="C181" s="1" t="s">
        <v>2318</v>
      </c>
    </row>
    <row r="182" spans="1:8" ht="11.25" customHeight="1" x14ac:dyDescent="0.2">
      <c r="A182" s="1" t="s">
        <v>1968</v>
      </c>
      <c r="C182" s="1" t="s">
        <v>2398</v>
      </c>
      <c r="D182" s="4" t="s">
        <v>2271</v>
      </c>
      <c r="E182" s="16">
        <v>1015</v>
      </c>
      <c r="F182" s="81">
        <v>13.9</v>
      </c>
    </row>
    <row r="183" spans="1:8" s="2" customFormat="1" ht="11.25" customHeight="1" x14ac:dyDescent="0.2">
      <c r="A183" s="1"/>
      <c r="B183" s="1"/>
      <c r="C183" s="1" t="s">
        <v>2399</v>
      </c>
      <c r="D183" s="4" t="s">
        <v>653</v>
      </c>
      <c r="E183" s="16">
        <v>293</v>
      </c>
      <c r="F183" s="81">
        <v>4</v>
      </c>
      <c r="G183" s="16"/>
      <c r="H183" s="82"/>
    </row>
    <row r="184" spans="1:8" ht="11.25" customHeight="1" x14ac:dyDescent="0.2">
      <c r="C184" s="1" t="s">
        <v>2400</v>
      </c>
      <c r="D184" s="4" t="s">
        <v>1071</v>
      </c>
      <c r="E184" s="16">
        <v>1025</v>
      </c>
      <c r="F184" s="81">
        <v>14</v>
      </c>
    </row>
    <row r="185" spans="1:8" s="2" customFormat="1" ht="11.25" customHeight="1" x14ac:dyDescent="0.2">
      <c r="A185" s="1"/>
      <c r="B185" s="1"/>
      <c r="C185" s="2" t="s">
        <v>1270</v>
      </c>
      <c r="D185" s="4" t="s">
        <v>1736</v>
      </c>
      <c r="E185" s="16">
        <v>4748</v>
      </c>
      <c r="F185" s="81">
        <v>65</v>
      </c>
      <c r="G185" s="16"/>
      <c r="H185" s="82"/>
    </row>
    <row r="186" spans="1:8" ht="11.25" customHeight="1" x14ac:dyDescent="0.2">
      <c r="C186" s="1" t="s">
        <v>2401</v>
      </c>
      <c r="D186" s="4" t="s">
        <v>655</v>
      </c>
      <c r="E186" s="16">
        <v>223</v>
      </c>
      <c r="F186" s="81">
        <v>3.1</v>
      </c>
    </row>
    <row r="187" spans="1:8" ht="11.25" customHeight="1" x14ac:dyDescent="0.2">
      <c r="C187" s="1" t="s">
        <v>2318</v>
      </c>
      <c r="E187" s="155" t="s">
        <v>1232</v>
      </c>
      <c r="F187" s="158">
        <v>100</v>
      </c>
      <c r="G187" s="155">
        <v>10553</v>
      </c>
      <c r="H187" s="164">
        <v>69.38</v>
      </c>
    </row>
    <row r="189" spans="1:8" ht="11.25" customHeight="1" x14ac:dyDescent="0.2">
      <c r="A189" s="1" t="s">
        <v>1976</v>
      </c>
      <c r="C189" s="2" t="s">
        <v>844</v>
      </c>
      <c r="D189" s="4" t="s">
        <v>1072</v>
      </c>
      <c r="E189" s="16">
        <v>5612</v>
      </c>
      <c r="F189" s="81">
        <v>42</v>
      </c>
    </row>
    <row r="190" spans="1:8" ht="11.25" customHeight="1" x14ac:dyDescent="0.2">
      <c r="C190" s="1" t="s">
        <v>2927</v>
      </c>
      <c r="D190" s="4" t="s">
        <v>653</v>
      </c>
      <c r="E190" s="16">
        <v>872</v>
      </c>
      <c r="F190" s="81">
        <v>6.5</v>
      </c>
    </row>
    <row r="191" spans="1:8" ht="11.25" customHeight="1" x14ac:dyDescent="0.2">
      <c r="C191" s="1" t="s">
        <v>2928</v>
      </c>
      <c r="D191" s="4" t="s">
        <v>655</v>
      </c>
      <c r="E191" s="16">
        <v>2072</v>
      </c>
      <c r="F191" s="81">
        <v>15.5</v>
      </c>
    </row>
    <row r="192" spans="1:8" ht="11.25" customHeight="1" x14ac:dyDescent="0.2">
      <c r="C192" s="1" t="s">
        <v>2929</v>
      </c>
      <c r="D192" s="4" t="s">
        <v>1736</v>
      </c>
      <c r="E192" s="16">
        <v>4816</v>
      </c>
      <c r="F192" s="81">
        <v>36</v>
      </c>
    </row>
    <row r="193" spans="1:8" ht="11.25" customHeight="1" x14ac:dyDescent="0.2">
      <c r="C193" s="1" t="s">
        <v>2318</v>
      </c>
      <c r="E193" s="155" t="s">
        <v>494</v>
      </c>
      <c r="F193" s="158">
        <v>100</v>
      </c>
      <c r="G193" s="155">
        <v>21510</v>
      </c>
      <c r="H193" s="164">
        <v>62.25</v>
      </c>
    </row>
    <row r="194" spans="1:8" ht="11.25" customHeight="1" x14ac:dyDescent="0.2">
      <c r="C194" s="1" t="s">
        <v>2318</v>
      </c>
    </row>
    <row r="195" spans="1:8" ht="11.25" customHeight="1" x14ac:dyDescent="0.2">
      <c r="A195" s="1" t="s">
        <v>1335</v>
      </c>
      <c r="C195" s="1" t="s">
        <v>2930</v>
      </c>
      <c r="D195" s="4" t="s">
        <v>655</v>
      </c>
      <c r="E195" s="16">
        <v>494</v>
      </c>
      <c r="F195" s="81">
        <v>6</v>
      </c>
    </row>
    <row r="196" spans="1:8" ht="11.25" customHeight="1" x14ac:dyDescent="0.2">
      <c r="C196" s="1" t="s">
        <v>2931</v>
      </c>
      <c r="D196" s="4" t="s">
        <v>1072</v>
      </c>
      <c r="E196" s="16">
        <v>2799</v>
      </c>
      <c r="F196" s="81">
        <v>34.200000000000003</v>
      </c>
    </row>
    <row r="197" spans="1:8" ht="11.25" customHeight="1" x14ac:dyDescent="0.2">
      <c r="C197" s="1" t="s">
        <v>1569</v>
      </c>
      <c r="D197" s="4" t="s">
        <v>1071</v>
      </c>
      <c r="E197" s="16">
        <v>855</v>
      </c>
      <c r="F197" s="81">
        <v>10.5</v>
      </c>
    </row>
    <row r="198" spans="1:8" ht="11.25" customHeight="1" x14ac:dyDescent="0.2">
      <c r="C198" s="2" t="s">
        <v>1570</v>
      </c>
      <c r="D198" s="4" t="s">
        <v>1736</v>
      </c>
      <c r="E198" s="16">
        <v>4034</v>
      </c>
      <c r="F198" s="81">
        <v>49.3</v>
      </c>
    </row>
    <row r="199" spans="1:8" ht="11.25" customHeight="1" x14ac:dyDescent="0.2">
      <c r="C199" s="1" t="s">
        <v>2318</v>
      </c>
      <c r="E199" s="155" t="s">
        <v>495</v>
      </c>
      <c r="F199" s="158">
        <v>100</v>
      </c>
      <c r="G199" s="155">
        <v>13688</v>
      </c>
      <c r="H199" s="164">
        <v>60.02</v>
      </c>
    </row>
    <row r="200" spans="1:8" ht="11.25" customHeight="1" x14ac:dyDescent="0.2">
      <c r="C200" s="1" t="s">
        <v>2318</v>
      </c>
    </row>
    <row r="201" spans="1:8" ht="11.25" customHeight="1" x14ac:dyDescent="0.2">
      <c r="A201" s="1" t="s">
        <v>1339</v>
      </c>
      <c r="C201" s="1" t="s">
        <v>1571</v>
      </c>
      <c r="D201" s="4" t="s">
        <v>655</v>
      </c>
      <c r="E201" s="16">
        <v>768</v>
      </c>
      <c r="F201" s="81">
        <v>7.5</v>
      </c>
    </row>
    <row r="202" spans="1:8" ht="11.25" customHeight="1" x14ac:dyDescent="0.2">
      <c r="C202" s="1" t="s">
        <v>1572</v>
      </c>
      <c r="D202" s="4" t="s">
        <v>488</v>
      </c>
      <c r="E202" s="16">
        <v>138</v>
      </c>
      <c r="F202" s="81">
        <v>1.3</v>
      </c>
    </row>
    <row r="203" spans="1:8" ht="11.25" customHeight="1" x14ac:dyDescent="0.2">
      <c r="C203" s="1" t="s">
        <v>1573</v>
      </c>
      <c r="D203" s="4" t="s">
        <v>1072</v>
      </c>
      <c r="E203" s="16">
        <v>3001</v>
      </c>
      <c r="F203" s="81">
        <v>29.1</v>
      </c>
    </row>
    <row r="204" spans="1:8" ht="11.25" customHeight="1" x14ac:dyDescent="0.2">
      <c r="C204" s="2" t="s">
        <v>1574</v>
      </c>
      <c r="D204" s="4" t="s">
        <v>1736</v>
      </c>
      <c r="E204" s="16">
        <v>5261</v>
      </c>
      <c r="F204" s="81">
        <v>51.1</v>
      </c>
    </row>
    <row r="205" spans="1:8" ht="11.25" customHeight="1" x14ac:dyDescent="0.2">
      <c r="C205" s="1" t="s">
        <v>1575</v>
      </c>
      <c r="D205" s="4" t="s">
        <v>1071</v>
      </c>
      <c r="E205" s="16">
        <v>1133</v>
      </c>
      <c r="F205" s="81">
        <v>11</v>
      </c>
    </row>
    <row r="206" spans="1:8" ht="11.25" customHeight="1" x14ac:dyDescent="0.2">
      <c r="C206" s="1" t="s">
        <v>2318</v>
      </c>
      <c r="E206" s="155" t="s">
        <v>496</v>
      </c>
      <c r="F206" s="158">
        <v>100</v>
      </c>
      <c r="G206" s="155">
        <v>16940</v>
      </c>
      <c r="H206" s="164">
        <v>60.91</v>
      </c>
    </row>
    <row r="207" spans="1:8" ht="11.25" customHeight="1" x14ac:dyDescent="0.2">
      <c r="C207" s="1" t="s">
        <v>2318</v>
      </c>
    </row>
    <row r="208" spans="1:8" ht="11.25" customHeight="1" x14ac:dyDescent="0.2">
      <c r="A208" s="1" t="s">
        <v>1977</v>
      </c>
      <c r="C208" s="1" t="s">
        <v>1243</v>
      </c>
      <c r="D208" s="4" t="s">
        <v>487</v>
      </c>
      <c r="E208" s="16">
        <v>454</v>
      </c>
      <c r="F208" s="81">
        <v>3.9</v>
      </c>
    </row>
    <row r="209" spans="1:8" ht="11.25" customHeight="1" x14ac:dyDescent="0.2">
      <c r="C209" s="1" t="s">
        <v>1576</v>
      </c>
      <c r="D209" s="4" t="s">
        <v>1072</v>
      </c>
      <c r="E209" s="16">
        <v>2457</v>
      </c>
      <c r="F209" s="81">
        <v>20.8</v>
      </c>
    </row>
    <row r="210" spans="1:8" ht="11.25" customHeight="1" x14ac:dyDescent="0.2">
      <c r="C210" s="1" t="s">
        <v>1577</v>
      </c>
      <c r="D210" s="4" t="s">
        <v>655</v>
      </c>
      <c r="E210" s="16">
        <v>1463</v>
      </c>
      <c r="F210" s="81">
        <v>12.4</v>
      </c>
    </row>
    <row r="211" spans="1:8" ht="11.25" customHeight="1" x14ac:dyDescent="0.2">
      <c r="C211" s="2" t="s">
        <v>1578</v>
      </c>
      <c r="D211" s="4" t="s">
        <v>1736</v>
      </c>
      <c r="E211" s="16">
        <v>7421</v>
      </c>
      <c r="F211" s="81">
        <v>62.9</v>
      </c>
    </row>
    <row r="212" spans="1:8" ht="11.25" customHeight="1" x14ac:dyDescent="0.2">
      <c r="C212" s="1" t="s">
        <v>2318</v>
      </c>
      <c r="E212" s="155" t="s">
        <v>1165</v>
      </c>
      <c r="F212" s="158">
        <v>100</v>
      </c>
      <c r="G212" s="155">
        <v>17779</v>
      </c>
      <c r="H212" s="164">
        <v>66.510000000000005</v>
      </c>
    </row>
    <row r="213" spans="1:8" ht="11.25" customHeight="1" x14ac:dyDescent="0.2">
      <c r="C213" s="1" t="s">
        <v>2318</v>
      </c>
    </row>
    <row r="214" spans="1:8" ht="11.25" customHeight="1" x14ac:dyDescent="0.2">
      <c r="A214" s="1" t="s">
        <v>1350</v>
      </c>
      <c r="C214" s="2" t="s">
        <v>855</v>
      </c>
      <c r="D214" s="4" t="s">
        <v>1736</v>
      </c>
      <c r="E214" s="16">
        <v>4650</v>
      </c>
      <c r="F214" s="81">
        <v>46.1</v>
      </c>
    </row>
    <row r="215" spans="1:8" ht="11.25" customHeight="1" x14ac:dyDescent="0.2">
      <c r="C215" s="1" t="s">
        <v>1579</v>
      </c>
      <c r="D215" s="4" t="s">
        <v>655</v>
      </c>
      <c r="E215" s="16">
        <v>1100</v>
      </c>
      <c r="F215" s="81">
        <v>10.9</v>
      </c>
    </row>
    <row r="216" spans="1:8" ht="11.25" customHeight="1" x14ac:dyDescent="0.2">
      <c r="C216" s="1" t="s">
        <v>1580</v>
      </c>
      <c r="D216" s="4" t="s">
        <v>1072</v>
      </c>
      <c r="E216" s="16">
        <v>4347</v>
      </c>
      <c r="F216" s="81">
        <v>43</v>
      </c>
    </row>
    <row r="217" spans="1:8" ht="11.25" customHeight="1" x14ac:dyDescent="0.2">
      <c r="C217" s="1" t="s">
        <v>2318</v>
      </c>
      <c r="E217" s="155" t="s">
        <v>1201</v>
      </c>
      <c r="F217" s="158">
        <v>100</v>
      </c>
      <c r="G217" s="155">
        <v>16275</v>
      </c>
      <c r="H217" s="164">
        <v>62.25</v>
      </c>
    </row>
    <row r="219" spans="1:8" ht="11.25" customHeight="1" x14ac:dyDescent="0.2">
      <c r="A219" s="1" t="s">
        <v>1969</v>
      </c>
      <c r="C219" s="1" t="s">
        <v>2826</v>
      </c>
      <c r="D219" s="4" t="s">
        <v>1736</v>
      </c>
      <c r="E219" s="16">
        <v>3433</v>
      </c>
      <c r="F219" s="81">
        <v>26.9</v>
      </c>
    </row>
    <row r="220" spans="1:8" ht="11.25" customHeight="1" x14ac:dyDescent="0.2">
      <c r="C220" s="1" t="s">
        <v>2827</v>
      </c>
      <c r="D220" s="4" t="s">
        <v>1314</v>
      </c>
      <c r="E220" s="16">
        <v>97</v>
      </c>
      <c r="F220" s="81">
        <v>0.8</v>
      </c>
    </row>
    <row r="221" spans="1:8" ht="11.25" customHeight="1" x14ac:dyDescent="0.2">
      <c r="C221" s="1" t="s">
        <v>2828</v>
      </c>
      <c r="D221" s="4" t="s">
        <v>488</v>
      </c>
      <c r="E221" s="16">
        <v>40</v>
      </c>
      <c r="F221" s="81">
        <v>0.3</v>
      </c>
    </row>
    <row r="222" spans="1:8" ht="11.25" customHeight="1" x14ac:dyDescent="0.2">
      <c r="C222" s="1" t="s">
        <v>2829</v>
      </c>
      <c r="D222" s="4" t="s">
        <v>1071</v>
      </c>
      <c r="E222" s="16">
        <v>285</v>
      </c>
      <c r="F222" s="81">
        <v>2.2000000000000002</v>
      </c>
    </row>
    <row r="223" spans="1:8" ht="11.25" customHeight="1" x14ac:dyDescent="0.2">
      <c r="C223" s="1" t="s">
        <v>2830</v>
      </c>
      <c r="D223" s="4" t="s">
        <v>655</v>
      </c>
      <c r="E223" s="16">
        <v>2190</v>
      </c>
      <c r="F223" s="81">
        <v>17.100000000000001</v>
      </c>
    </row>
    <row r="224" spans="1:8" ht="11.25" customHeight="1" x14ac:dyDescent="0.2">
      <c r="C224" s="2" t="s">
        <v>2831</v>
      </c>
      <c r="D224" s="4" t="s">
        <v>1072</v>
      </c>
      <c r="E224" s="16">
        <v>6728</v>
      </c>
      <c r="F224" s="81">
        <v>52.7</v>
      </c>
    </row>
    <row r="225" spans="1:8" ht="11.25" customHeight="1" x14ac:dyDescent="0.2">
      <c r="C225" s="1" t="s">
        <v>2318</v>
      </c>
      <c r="E225" s="155" t="s">
        <v>2567</v>
      </c>
      <c r="F225" s="158">
        <v>100</v>
      </c>
      <c r="G225" s="155">
        <v>22055</v>
      </c>
      <c r="H225" s="164">
        <v>58.04</v>
      </c>
    </row>
    <row r="226" spans="1:8" ht="11.25" customHeight="1" x14ac:dyDescent="0.2">
      <c r="C226" s="1" t="s">
        <v>2318</v>
      </c>
    </row>
    <row r="227" spans="1:8" s="49" customFormat="1" ht="11.25" customHeight="1" x14ac:dyDescent="0.2">
      <c r="A227" s="1" t="s">
        <v>1970</v>
      </c>
      <c r="B227" s="1"/>
      <c r="C227" s="1" t="s">
        <v>2832</v>
      </c>
      <c r="D227" s="4" t="s">
        <v>655</v>
      </c>
      <c r="E227" s="16">
        <v>2473</v>
      </c>
      <c r="F227" s="81">
        <v>23.2</v>
      </c>
      <c r="G227" s="16"/>
      <c r="H227" s="82"/>
    </row>
    <row r="228" spans="1:8" ht="11.25" customHeight="1" x14ac:dyDescent="0.2">
      <c r="C228" s="1" t="s">
        <v>2833</v>
      </c>
      <c r="D228" s="4" t="s">
        <v>1736</v>
      </c>
      <c r="E228" s="16">
        <v>3060</v>
      </c>
      <c r="F228" s="81">
        <v>28.7</v>
      </c>
    </row>
    <row r="229" spans="1:8" ht="11.25" customHeight="1" x14ac:dyDescent="0.2">
      <c r="C229" s="1" t="s">
        <v>2834</v>
      </c>
      <c r="D229" s="4" t="s">
        <v>488</v>
      </c>
      <c r="E229" s="16">
        <v>91</v>
      </c>
      <c r="F229" s="81">
        <v>0.9</v>
      </c>
    </row>
    <row r="230" spans="1:8" ht="11.25" customHeight="1" x14ac:dyDescent="0.2">
      <c r="C230" s="2" t="s">
        <v>2835</v>
      </c>
      <c r="D230" s="4" t="s">
        <v>1072</v>
      </c>
      <c r="E230" s="16">
        <v>5037</v>
      </c>
      <c r="F230" s="81">
        <v>47.2</v>
      </c>
    </row>
    <row r="231" spans="1:8" ht="11.25" customHeight="1" x14ac:dyDescent="0.2">
      <c r="C231" s="1" t="s">
        <v>2318</v>
      </c>
      <c r="E231" s="155" t="s">
        <v>2568</v>
      </c>
      <c r="F231" s="158">
        <v>100</v>
      </c>
      <c r="G231" s="155">
        <v>19493</v>
      </c>
      <c r="H231" s="164">
        <v>54.73</v>
      </c>
    </row>
    <row r="232" spans="1:8" ht="11.25" customHeight="1" x14ac:dyDescent="0.2">
      <c r="C232" s="1" t="s">
        <v>2318</v>
      </c>
    </row>
    <row r="233" spans="1:8" ht="11.25" customHeight="1" x14ac:dyDescent="0.2">
      <c r="A233" s="1" t="s">
        <v>477</v>
      </c>
      <c r="C233" s="2" t="s">
        <v>2836</v>
      </c>
      <c r="D233" s="4" t="s">
        <v>1072</v>
      </c>
      <c r="E233" s="16">
        <v>5656</v>
      </c>
      <c r="F233" s="81">
        <v>47.6</v>
      </c>
    </row>
    <row r="234" spans="1:8" ht="11.25" customHeight="1" x14ac:dyDescent="0.2">
      <c r="C234" s="1" t="s">
        <v>2837</v>
      </c>
      <c r="D234" s="4" t="s">
        <v>655</v>
      </c>
      <c r="E234" s="16">
        <v>2343</v>
      </c>
      <c r="F234" s="81">
        <v>19.7</v>
      </c>
    </row>
    <row r="235" spans="1:8" ht="11.25" customHeight="1" x14ac:dyDescent="0.2">
      <c r="C235" s="1" t="s">
        <v>2838</v>
      </c>
      <c r="D235" s="4" t="s">
        <v>488</v>
      </c>
      <c r="E235" s="16">
        <v>95</v>
      </c>
      <c r="F235" s="81">
        <v>0.8</v>
      </c>
    </row>
    <row r="236" spans="1:8" ht="11.25" customHeight="1" x14ac:dyDescent="0.2">
      <c r="C236" s="1" t="s">
        <v>2839</v>
      </c>
      <c r="D236" s="4" t="s">
        <v>653</v>
      </c>
      <c r="E236" s="16">
        <v>48</v>
      </c>
      <c r="F236" s="81">
        <v>0.4</v>
      </c>
    </row>
    <row r="237" spans="1:8" ht="11.25" customHeight="1" x14ac:dyDescent="0.2">
      <c r="C237" s="1" t="s">
        <v>2840</v>
      </c>
      <c r="D237" s="4" t="s">
        <v>653</v>
      </c>
      <c r="E237" s="16">
        <v>40</v>
      </c>
      <c r="F237" s="81">
        <v>0.3</v>
      </c>
    </row>
    <row r="238" spans="1:8" ht="11.25" customHeight="1" x14ac:dyDescent="0.2">
      <c r="C238" s="1" t="s">
        <v>2841</v>
      </c>
      <c r="D238" s="4" t="s">
        <v>653</v>
      </c>
      <c r="E238" s="16">
        <v>83</v>
      </c>
      <c r="F238" s="81">
        <v>0.7</v>
      </c>
    </row>
    <row r="239" spans="1:8" ht="11.25" customHeight="1" x14ac:dyDescent="0.2">
      <c r="C239" s="1" t="s">
        <v>2842</v>
      </c>
      <c r="D239" s="4" t="s">
        <v>1071</v>
      </c>
      <c r="E239" s="16">
        <v>202</v>
      </c>
      <c r="F239" s="81">
        <v>1.7</v>
      </c>
    </row>
    <row r="240" spans="1:8" ht="11.25" customHeight="1" x14ac:dyDescent="0.2">
      <c r="C240" s="1" t="s">
        <v>2843</v>
      </c>
      <c r="D240" s="4" t="s">
        <v>1736</v>
      </c>
      <c r="E240" s="16">
        <v>3418</v>
      </c>
      <c r="F240" s="81">
        <v>28.8</v>
      </c>
    </row>
    <row r="241" spans="1:8" ht="11.25" customHeight="1" x14ac:dyDescent="0.2">
      <c r="C241" s="1" t="s">
        <v>2318</v>
      </c>
      <c r="E241" s="155" t="s">
        <v>2569</v>
      </c>
      <c r="F241" s="158">
        <v>100</v>
      </c>
      <c r="G241" s="155">
        <v>22308</v>
      </c>
      <c r="H241" s="164">
        <v>53.46</v>
      </c>
    </row>
    <row r="242" spans="1:8" ht="11.25" customHeight="1" x14ac:dyDescent="0.2">
      <c r="C242" s="1" t="s">
        <v>2318</v>
      </c>
    </row>
    <row r="243" spans="1:8" ht="11.25" customHeight="1" x14ac:dyDescent="0.2">
      <c r="A243" s="1" t="s">
        <v>1088</v>
      </c>
      <c r="C243" s="2" t="s">
        <v>1089</v>
      </c>
      <c r="D243" s="4" t="s">
        <v>1072</v>
      </c>
      <c r="E243" s="16">
        <v>5466</v>
      </c>
      <c r="F243" s="81">
        <v>53.6</v>
      </c>
    </row>
    <row r="244" spans="1:8" ht="11.25" customHeight="1" x14ac:dyDescent="0.2">
      <c r="C244" s="1" t="s">
        <v>2844</v>
      </c>
      <c r="D244" s="4" t="s">
        <v>488</v>
      </c>
      <c r="E244" s="16">
        <v>79</v>
      </c>
      <c r="F244" s="81">
        <v>0.8</v>
      </c>
    </row>
    <row r="245" spans="1:8" ht="11.25" customHeight="1" x14ac:dyDescent="0.2">
      <c r="C245" s="1" t="s">
        <v>2845</v>
      </c>
      <c r="D245" s="4" t="s">
        <v>655</v>
      </c>
      <c r="E245" s="16">
        <v>2144</v>
      </c>
      <c r="F245" s="81">
        <v>21</v>
      </c>
    </row>
    <row r="246" spans="1:8" ht="11.25" customHeight="1" x14ac:dyDescent="0.2">
      <c r="C246" s="1" t="s">
        <v>2846</v>
      </c>
      <c r="D246" s="4" t="s">
        <v>1736</v>
      </c>
      <c r="E246" s="16">
        <v>2116</v>
      </c>
      <c r="F246" s="81">
        <v>20.7</v>
      </c>
    </row>
    <row r="247" spans="1:8" ht="11.25" customHeight="1" x14ac:dyDescent="0.2">
      <c r="C247" s="1" t="s">
        <v>2847</v>
      </c>
      <c r="D247" s="4" t="s">
        <v>1071</v>
      </c>
      <c r="E247" s="16">
        <v>398</v>
      </c>
      <c r="F247" s="81">
        <v>3.9</v>
      </c>
    </row>
    <row r="248" spans="1:8" ht="11.25" customHeight="1" x14ac:dyDescent="0.2">
      <c r="C248" s="1" t="s">
        <v>2318</v>
      </c>
      <c r="E248" s="155" t="s">
        <v>2570</v>
      </c>
      <c r="F248" s="158">
        <v>100</v>
      </c>
      <c r="G248" s="155">
        <v>17320</v>
      </c>
      <c r="H248" s="164">
        <v>59</v>
      </c>
    </row>
    <row r="249" spans="1:8" ht="11.25" customHeight="1" x14ac:dyDescent="0.2">
      <c r="A249" s="1" t="s">
        <v>3222</v>
      </c>
      <c r="C249" s="1" t="s">
        <v>2318</v>
      </c>
    </row>
    <row r="250" spans="1:8" ht="11.25" customHeight="1" x14ac:dyDescent="0.2">
      <c r="A250" s="1" t="s">
        <v>1092</v>
      </c>
      <c r="C250" s="1" t="s">
        <v>665</v>
      </c>
      <c r="D250" s="4" t="s">
        <v>1736</v>
      </c>
      <c r="E250" s="16">
        <v>2669</v>
      </c>
      <c r="F250" s="81">
        <v>23.4</v>
      </c>
    </row>
    <row r="251" spans="1:8" ht="11.25" customHeight="1" x14ac:dyDescent="0.2">
      <c r="C251" s="2" t="s">
        <v>2848</v>
      </c>
      <c r="D251" s="4" t="s">
        <v>1072</v>
      </c>
      <c r="E251" s="16">
        <v>7548</v>
      </c>
      <c r="F251" s="81">
        <v>66.099999999999994</v>
      </c>
    </row>
    <row r="252" spans="1:8" ht="11.25" customHeight="1" x14ac:dyDescent="0.2">
      <c r="C252" s="1" t="s">
        <v>2849</v>
      </c>
      <c r="D252" s="4" t="s">
        <v>655</v>
      </c>
      <c r="E252" s="16">
        <v>1088</v>
      </c>
      <c r="F252" s="81">
        <v>9.5</v>
      </c>
    </row>
    <row r="253" spans="1:8" ht="11.25" customHeight="1" x14ac:dyDescent="0.2">
      <c r="C253" s="1" t="s">
        <v>2850</v>
      </c>
      <c r="D253" s="4" t="s">
        <v>488</v>
      </c>
      <c r="E253" s="16">
        <v>118</v>
      </c>
      <c r="F253" s="81">
        <v>1</v>
      </c>
    </row>
    <row r="254" spans="1:8" ht="11.25" customHeight="1" x14ac:dyDescent="0.2">
      <c r="C254" s="1" t="s">
        <v>2318</v>
      </c>
      <c r="E254" s="155" t="s">
        <v>2571</v>
      </c>
      <c r="F254" s="158">
        <v>100</v>
      </c>
      <c r="G254" s="155">
        <v>19955</v>
      </c>
      <c r="H254" s="164">
        <v>57.45</v>
      </c>
    </row>
    <row r="255" spans="1:8" ht="11.25" customHeight="1" x14ac:dyDescent="0.2">
      <c r="C255" s="1" t="s">
        <v>2318</v>
      </c>
    </row>
    <row r="256" spans="1:8" ht="11.25" customHeight="1" x14ac:dyDescent="0.2">
      <c r="A256" s="1" t="s">
        <v>1096</v>
      </c>
      <c r="C256" s="1" t="s">
        <v>2851</v>
      </c>
      <c r="D256" s="4" t="s">
        <v>1071</v>
      </c>
      <c r="E256" s="16">
        <v>301</v>
      </c>
      <c r="F256" s="81">
        <v>2</v>
      </c>
    </row>
    <row r="257" spans="1:8" ht="11.25" customHeight="1" x14ac:dyDescent="0.2">
      <c r="C257" s="1" t="s">
        <v>2852</v>
      </c>
      <c r="D257" s="4" t="s">
        <v>1736</v>
      </c>
      <c r="E257" s="16">
        <v>5150</v>
      </c>
      <c r="F257" s="81">
        <v>33.4</v>
      </c>
    </row>
    <row r="258" spans="1:8" ht="11.25" customHeight="1" x14ac:dyDescent="0.2">
      <c r="C258" s="1" t="s">
        <v>2853</v>
      </c>
      <c r="D258" s="4" t="s">
        <v>488</v>
      </c>
      <c r="E258" s="16">
        <v>122</v>
      </c>
      <c r="F258" s="81">
        <v>0.8</v>
      </c>
    </row>
    <row r="259" spans="1:8" ht="11.25" customHeight="1" x14ac:dyDescent="0.2">
      <c r="C259" s="1" t="s">
        <v>2854</v>
      </c>
      <c r="D259" s="4" t="s">
        <v>487</v>
      </c>
      <c r="E259" s="16">
        <v>231</v>
      </c>
      <c r="F259" s="81">
        <v>1.5</v>
      </c>
    </row>
    <row r="260" spans="1:8" ht="11.25" customHeight="1" x14ac:dyDescent="0.2">
      <c r="C260" s="2" t="s">
        <v>2855</v>
      </c>
      <c r="D260" s="4" t="s">
        <v>1072</v>
      </c>
      <c r="E260" s="16">
        <v>7745</v>
      </c>
      <c r="F260" s="81">
        <v>50.2</v>
      </c>
    </row>
    <row r="261" spans="1:8" ht="11.25" customHeight="1" x14ac:dyDescent="0.2">
      <c r="C261" s="1" t="s">
        <v>2856</v>
      </c>
      <c r="D261" s="4" t="s">
        <v>655</v>
      </c>
      <c r="E261" s="16">
        <v>1874</v>
      </c>
      <c r="F261" s="81">
        <v>12.1</v>
      </c>
    </row>
    <row r="262" spans="1:8" ht="11.25" customHeight="1" x14ac:dyDescent="0.2">
      <c r="C262" s="1" t="s">
        <v>2318</v>
      </c>
      <c r="E262" s="155" t="s">
        <v>2572</v>
      </c>
      <c r="F262" s="158">
        <v>100</v>
      </c>
      <c r="G262" s="155">
        <v>24456</v>
      </c>
      <c r="H262" s="164">
        <v>63.21</v>
      </c>
    </row>
    <row r="263" spans="1:8" ht="11.25" customHeight="1" x14ac:dyDescent="0.2">
      <c r="C263" s="1" t="s">
        <v>2318</v>
      </c>
    </row>
    <row r="264" spans="1:8" ht="11.25" customHeight="1" x14ac:dyDescent="0.2">
      <c r="A264" s="1" t="s">
        <v>1100</v>
      </c>
      <c r="C264" s="1" t="s">
        <v>2857</v>
      </c>
      <c r="D264" s="4" t="s">
        <v>655</v>
      </c>
      <c r="E264" s="16">
        <v>1820</v>
      </c>
      <c r="F264" s="81">
        <v>10.199999999999999</v>
      </c>
    </row>
    <row r="265" spans="1:8" ht="11.25" customHeight="1" x14ac:dyDescent="0.2">
      <c r="C265" s="1" t="s">
        <v>2858</v>
      </c>
      <c r="D265" s="4" t="s">
        <v>1071</v>
      </c>
      <c r="E265" s="16">
        <v>516</v>
      </c>
      <c r="F265" s="81">
        <v>2.9</v>
      </c>
    </row>
    <row r="266" spans="1:8" ht="11.25" customHeight="1" x14ac:dyDescent="0.2">
      <c r="C266" s="2" t="s">
        <v>2859</v>
      </c>
      <c r="D266" s="4" t="s">
        <v>1072</v>
      </c>
      <c r="E266" s="16">
        <v>10605</v>
      </c>
      <c r="F266" s="81">
        <v>59.2</v>
      </c>
    </row>
    <row r="267" spans="1:8" ht="11.25" customHeight="1" x14ac:dyDescent="0.2">
      <c r="C267" s="1" t="s">
        <v>2860</v>
      </c>
      <c r="D267" s="4" t="s">
        <v>1314</v>
      </c>
      <c r="E267" s="16">
        <v>165</v>
      </c>
      <c r="F267" s="81">
        <v>0.9</v>
      </c>
    </row>
    <row r="268" spans="1:8" ht="11.25" customHeight="1" x14ac:dyDescent="0.2">
      <c r="C268" s="1" t="s">
        <v>2861</v>
      </c>
      <c r="D268" s="4" t="s">
        <v>488</v>
      </c>
      <c r="E268" s="16">
        <v>90</v>
      </c>
      <c r="F268" s="81">
        <v>0.5</v>
      </c>
    </row>
    <row r="269" spans="1:8" ht="11.25" customHeight="1" x14ac:dyDescent="0.2">
      <c r="C269" s="1" t="s">
        <v>2862</v>
      </c>
      <c r="D269" s="4" t="s">
        <v>1736</v>
      </c>
      <c r="E269" s="16">
        <v>4721</v>
      </c>
      <c r="F269" s="81">
        <v>26.3</v>
      </c>
    </row>
    <row r="270" spans="1:8" ht="11.25" customHeight="1" x14ac:dyDescent="0.2">
      <c r="C270" s="1" t="s">
        <v>2318</v>
      </c>
      <c r="E270" s="155" t="s">
        <v>2573</v>
      </c>
      <c r="F270" s="158">
        <v>100</v>
      </c>
      <c r="G270" s="155">
        <v>27205</v>
      </c>
      <c r="H270" s="164">
        <v>65.989999999999995</v>
      </c>
    </row>
    <row r="271" spans="1:8" ht="11.25" customHeight="1" x14ac:dyDescent="0.2">
      <c r="C271" s="1" t="s">
        <v>2318</v>
      </c>
    </row>
    <row r="272" spans="1:8" ht="11.25" customHeight="1" x14ac:dyDescent="0.2">
      <c r="A272" s="1" t="s">
        <v>1971</v>
      </c>
      <c r="C272" s="1" t="s">
        <v>680</v>
      </c>
      <c r="D272" s="4" t="s">
        <v>1071</v>
      </c>
      <c r="E272" s="16">
        <v>428</v>
      </c>
      <c r="F272" s="81">
        <v>3.8</v>
      </c>
    </row>
    <row r="273" spans="1:8" ht="11.25" customHeight="1" x14ac:dyDescent="0.2">
      <c r="C273" s="2" t="s">
        <v>2863</v>
      </c>
      <c r="D273" s="4" t="s">
        <v>1072</v>
      </c>
      <c r="E273" s="16">
        <v>5189</v>
      </c>
      <c r="F273" s="81">
        <v>45.6</v>
      </c>
    </row>
    <row r="274" spans="1:8" ht="11.25" customHeight="1" x14ac:dyDescent="0.2">
      <c r="C274" s="1" t="s">
        <v>2864</v>
      </c>
      <c r="D274" s="4" t="s">
        <v>488</v>
      </c>
      <c r="E274" s="16">
        <v>94</v>
      </c>
      <c r="F274" s="81">
        <v>0.8</v>
      </c>
    </row>
    <row r="275" spans="1:8" ht="11.25" customHeight="1" x14ac:dyDescent="0.2">
      <c r="C275" s="1" t="s">
        <v>2865</v>
      </c>
      <c r="D275" s="4" t="s">
        <v>1736</v>
      </c>
      <c r="E275" s="16">
        <v>2787</v>
      </c>
      <c r="F275" s="81">
        <v>24.5</v>
      </c>
    </row>
    <row r="276" spans="1:8" ht="11.25" customHeight="1" x14ac:dyDescent="0.2">
      <c r="C276" s="1" t="s">
        <v>1273</v>
      </c>
      <c r="D276" s="4" t="s">
        <v>655</v>
      </c>
      <c r="E276" s="16">
        <v>2885</v>
      </c>
      <c r="F276" s="81">
        <v>25.3</v>
      </c>
    </row>
    <row r="277" spans="1:8" ht="11.25" customHeight="1" x14ac:dyDescent="0.2">
      <c r="C277" s="1" t="s">
        <v>2318</v>
      </c>
      <c r="E277" s="155" t="s">
        <v>2574</v>
      </c>
      <c r="F277" s="158">
        <v>100</v>
      </c>
      <c r="G277" s="155">
        <v>20798</v>
      </c>
      <c r="H277" s="164">
        <v>54.88</v>
      </c>
    </row>
    <row r="278" spans="1:8" ht="11.25" customHeight="1" x14ac:dyDescent="0.2">
      <c r="C278" s="1" t="s">
        <v>2318</v>
      </c>
    </row>
    <row r="279" spans="1:8" ht="11.25" customHeight="1" x14ac:dyDescent="0.2">
      <c r="A279" s="1" t="s">
        <v>1109</v>
      </c>
      <c r="C279" s="1" t="s">
        <v>2866</v>
      </c>
      <c r="D279" s="4" t="s">
        <v>1071</v>
      </c>
      <c r="E279" s="16">
        <v>296</v>
      </c>
      <c r="F279" s="81">
        <v>2.5</v>
      </c>
    </row>
    <row r="280" spans="1:8" ht="11.25" customHeight="1" x14ac:dyDescent="0.2">
      <c r="C280" s="1" t="s">
        <v>2867</v>
      </c>
      <c r="D280" s="4" t="s">
        <v>1736</v>
      </c>
      <c r="E280" s="16">
        <v>2521</v>
      </c>
      <c r="F280" s="81">
        <v>21.5</v>
      </c>
    </row>
    <row r="281" spans="1:8" ht="11.25" customHeight="1" x14ac:dyDescent="0.2">
      <c r="C281" s="2" t="s">
        <v>2868</v>
      </c>
      <c r="D281" s="4" t="s">
        <v>1072</v>
      </c>
      <c r="E281" s="16">
        <v>6007</v>
      </c>
      <c r="F281" s="81">
        <v>51.2</v>
      </c>
    </row>
    <row r="282" spans="1:8" ht="11.25" customHeight="1" x14ac:dyDescent="0.2">
      <c r="C282" s="1" t="s">
        <v>2869</v>
      </c>
      <c r="D282" s="4" t="s">
        <v>655</v>
      </c>
      <c r="E282" s="16">
        <v>2904</v>
      </c>
      <c r="F282" s="81">
        <v>24.8</v>
      </c>
    </row>
    <row r="283" spans="1:8" ht="11.25" customHeight="1" x14ac:dyDescent="0.2">
      <c r="C283" s="1" t="s">
        <v>2318</v>
      </c>
      <c r="E283" s="155" t="s">
        <v>2575</v>
      </c>
      <c r="F283" s="158">
        <v>100</v>
      </c>
      <c r="G283" s="155">
        <v>20585</v>
      </c>
      <c r="H283" s="164">
        <v>57.09</v>
      </c>
    </row>
    <row r="284" spans="1:8" ht="11.25" customHeight="1" x14ac:dyDescent="0.2">
      <c r="C284" s="1" t="s">
        <v>2318</v>
      </c>
    </row>
    <row r="285" spans="1:8" ht="11.25" customHeight="1" x14ac:dyDescent="0.2">
      <c r="A285" s="1" t="s">
        <v>1972</v>
      </c>
      <c r="C285" s="1" t="s">
        <v>2870</v>
      </c>
      <c r="D285" s="4" t="s">
        <v>488</v>
      </c>
      <c r="E285" s="16">
        <v>181</v>
      </c>
      <c r="F285" s="81">
        <v>1.3</v>
      </c>
    </row>
    <row r="286" spans="1:8" ht="11.25" customHeight="1" x14ac:dyDescent="0.2">
      <c r="C286" s="1" t="s">
        <v>2871</v>
      </c>
      <c r="D286" s="4" t="s">
        <v>1736</v>
      </c>
      <c r="E286" s="16">
        <v>3635</v>
      </c>
      <c r="F286" s="81">
        <v>27</v>
      </c>
    </row>
    <row r="287" spans="1:8" ht="11.25" customHeight="1" x14ac:dyDescent="0.2">
      <c r="C287" s="1" t="s">
        <v>1274</v>
      </c>
      <c r="D287" s="4" t="s">
        <v>655</v>
      </c>
      <c r="E287" s="16">
        <v>3173</v>
      </c>
      <c r="F287" s="81">
        <v>23.5</v>
      </c>
    </row>
    <row r="288" spans="1:8" ht="11.25" customHeight="1" x14ac:dyDescent="0.2">
      <c r="C288" s="2" t="s">
        <v>2872</v>
      </c>
      <c r="D288" s="4" t="s">
        <v>1072</v>
      </c>
      <c r="E288" s="16">
        <v>6495</v>
      </c>
      <c r="F288" s="81">
        <v>48.2</v>
      </c>
    </row>
    <row r="289" spans="1:8" ht="11.25" customHeight="1" x14ac:dyDescent="0.2">
      <c r="C289" s="1" t="s">
        <v>2318</v>
      </c>
      <c r="E289" s="155" t="s">
        <v>2576</v>
      </c>
      <c r="F289" s="158">
        <v>100</v>
      </c>
      <c r="G289" s="155">
        <v>23430</v>
      </c>
      <c r="H289" s="164">
        <v>57.68</v>
      </c>
    </row>
    <row r="290" spans="1:8" ht="11.25" customHeight="1" x14ac:dyDescent="0.2">
      <c r="C290" s="1" t="s">
        <v>2318</v>
      </c>
    </row>
    <row r="291" spans="1:8" ht="11.25" customHeight="1" x14ac:dyDescent="0.2">
      <c r="A291" s="1" t="s">
        <v>1113</v>
      </c>
      <c r="C291" s="1" t="s">
        <v>2873</v>
      </c>
      <c r="D291" s="4" t="s">
        <v>655</v>
      </c>
      <c r="E291" s="16">
        <v>799</v>
      </c>
      <c r="F291" s="81">
        <v>5.7</v>
      </c>
    </row>
    <row r="292" spans="1:8" ht="11.25" customHeight="1" x14ac:dyDescent="0.2">
      <c r="C292" s="1" t="s">
        <v>2874</v>
      </c>
      <c r="D292" s="4" t="s">
        <v>1736</v>
      </c>
      <c r="E292" s="16">
        <v>4177</v>
      </c>
      <c r="F292" s="81">
        <v>29.8</v>
      </c>
    </row>
    <row r="293" spans="1:8" ht="11.25" customHeight="1" x14ac:dyDescent="0.2">
      <c r="C293" s="2" t="s">
        <v>2875</v>
      </c>
      <c r="D293" s="4" t="s">
        <v>1072</v>
      </c>
      <c r="E293" s="16">
        <v>8931</v>
      </c>
      <c r="F293" s="81">
        <v>63.6</v>
      </c>
    </row>
    <row r="294" spans="1:8" ht="11.25" customHeight="1" x14ac:dyDescent="0.2">
      <c r="C294" s="1" t="s">
        <v>2876</v>
      </c>
      <c r="D294" s="4" t="s">
        <v>488</v>
      </c>
      <c r="E294" s="16">
        <v>125</v>
      </c>
      <c r="F294" s="81">
        <v>0.9</v>
      </c>
    </row>
    <row r="295" spans="1:8" ht="11.25" customHeight="1" x14ac:dyDescent="0.2">
      <c r="C295" s="1" t="s">
        <v>2318</v>
      </c>
      <c r="E295" s="155" t="s">
        <v>2577</v>
      </c>
      <c r="F295" s="158">
        <v>100</v>
      </c>
      <c r="G295" s="155">
        <v>23184</v>
      </c>
      <c r="H295" s="164">
        <v>60.68</v>
      </c>
    </row>
    <row r="296" spans="1:8" ht="11.25" customHeight="1" x14ac:dyDescent="0.2">
      <c r="C296" s="1" t="s">
        <v>2318</v>
      </c>
    </row>
    <row r="297" spans="1:8" ht="11.25" customHeight="1" x14ac:dyDescent="0.2">
      <c r="A297" s="1" t="s">
        <v>1118</v>
      </c>
      <c r="C297" s="1" t="s">
        <v>2877</v>
      </c>
      <c r="D297" s="4" t="s">
        <v>1071</v>
      </c>
      <c r="E297" s="16">
        <v>354</v>
      </c>
      <c r="F297" s="81">
        <v>2.8</v>
      </c>
    </row>
    <row r="298" spans="1:8" ht="11.25" customHeight="1" x14ac:dyDescent="0.2">
      <c r="C298" s="1" t="s">
        <v>2878</v>
      </c>
      <c r="D298" s="4" t="s">
        <v>488</v>
      </c>
      <c r="E298" s="16">
        <v>110</v>
      </c>
      <c r="F298" s="81">
        <v>0.9</v>
      </c>
    </row>
    <row r="299" spans="1:8" ht="11.25" customHeight="1" x14ac:dyDescent="0.2">
      <c r="C299" s="2" t="s">
        <v>2879</v>
      </c>
      <c r="D299" s="4" t="s">
        <v>1072</v>
      </c>
      <c r="E299" s="16">
        <v>7215</v>
      </c>
      <c r="F299" s="81">
        <v>56.5</v>
      </c>
    </row>
    <row r="300" spans="1:8" ht="11.25" customHeight="1" x14ac:dyDescent="0.2">
      <c r="C300" s="1" t="s">
        <v>2880</v>
      </c>
      <c r="D300" s="4" t="s">
        <v>655</v>
      </c>
      <c r="E300" s="16">
        <v>1111</v>
      </c>
      <c r="F300" s="81">
        <v>8.6999999999999993</v>
      </c>
    </row>
    <row r="301" spans="1:8" ht="11.25" customHeight="1" x14ac:dyDescent="0.2">
      <c r="C301" s="1" t="s">
        <v>2881</v>
      </c>
      <c r="D301" s="4" t="s">
        <v>1736</v>
      </c>
      <c r="E301" s="16">
        <v>3978</v>
      </c>
      <c r="F301" s="81">
        <v>31.1</v>
      </c>
    </row>
    <row r="302" spans="1:8" ht="11.25" customHeight="1" x14ac:dyDescent="0.2">
      <c r="C302" s="1" t="s">
        <v>2318</v>
      </c>
      <c r="E302" s="155" t="s">
        <v>2578</v>
      </c>
      <c r="F302" s="158">
        <v>100</v>
      </c>
      <c r="G302" s="155">
        <v>22094</v>
      </c>
      <c r="H302" s="164">
        <v>57.9</v>
      </c>
    </row>
    <row r="303" spans="1:8" ht="11.25" customHeight="1" x14ac:dyDescent="0.2">
      <c r="C303" s="1" t="s">
        <v>2318</v>
      </c>
    </row>
    <row r="304" spans="1:8" ht="11.25" customHeight="1" x14ac:dyDescent="0.2">
      <c r="A304" s="1" t="s">
        <v>977</v>
      </c>
      <c r="C304" s="1" t="s">
        <v>2319</v>
      </c>
      <c r="D304" s="4" t="s">
        <v>1071</v>
      </c>
      <c r="E304" s="16">
        <v>414</v>
      </c>
      <c r="F304" s="81">
        <v>4.3</v>
      </c>
    </row>
    <row r="305" spans="1:8" ht="11.25" customHeight="1" x14ac:dyDescent="0.2">
      <c r="C305" s="1" t="s">
        <v>2882</v>
      </c>
      <c r="D305" s="4" t="s">
        <v>655</v>
      </c>
      <c r="E305" s="16">
        <v>1007</v>
      </c>
      <c r="F305" s="81">
        <v>10.6</v>
      </c>
    </row>
    <row r="306" spans="1:8" ht="11.25" customHeight="1" x14ac:dyDescent="0.2">
      <c r="C306" s="1" t="s">
        <v>2883</v>
      </c>
      <c r="D306" s="4" t="s">
        <v>1314</v>
      </c>
      <c r="E306" s="16">
        <v>46</v>
      </c>
      <c r="F306" s="81">
        <v>0.5</v>
      </c>
    </row>
    <row r="307" spans="1:8" ht="11.25" customHeight="1" x14ac:dyDescent="0.2">
      <c r="C307" s="1" t="s">
        <v>2884</v>
      </c>
      <c r="D307" s="4" t="s">
        <v>653</v>
      </c>
      <c r="E307" s="16">
        <v>102</v>
      </c>
      <c r="F307" s="81">
        <v>1.1000000000000001</v>
      </c>
    </row>
    <row r="308" spans="1:8" ht="11.25" customHeight="1" x14ac:dyDescent="0.2">
      <c r="C308" s="2" t="s">
        <v>2885</v>
      </c>
      <c r="D308" s="4" t="s">
        <v>1072</v>
      </c>
      <c r="E308" s="16">
        <v>5330</v>
      </c>
      <c r="F308" s="81">
        <v>56.1</v>
      </c>
    </row>
    <row r="309" spans="1:8" ht="11.25" customHeight="1" x14ac:dyDescent="0.2">
      <c r="C309" s="1" t="s">
        <v>2886</v>
      </c>
      <c r="D309" s="4" t="s">
        <v>1736</v>
      </c>
      <c r="E309" s="16">
        <v>2556</v>
      </c>
      <c r="F309" s="81">
        <v>26.9</v>
      </c>
    </row>
    <row r="310" spans="1:8" ht="11.25" customHeight="1" x14ac:dyDescent="0.2">
      <c r="C310" s="1" t="s">
        <v>2887</v>
      </c>
      <c r="D310" s="4" t="s">
        <v>488</v>
      </c>
      <c r="E310" s="16">
        <v>44</v>
      </c>
      <c r="F310" s="81">
        <v>0.5</v>
      </c>
    </row>
    <row r="311" spans="1:8" ht="11.25" customHeight="1" x14ac:dyDescent="0.2">
      <c r="C311" s="1" t="s">
        <v>2318</v>
      </c>
      <c r="E311" s="155" t="s">
        <v>2579</v>
      </c>
      <c r="F311" s="158">
        <v>100</v>
      </c>
      <c r="G311" s="155">
        <v>16861</v>
      </c>
      <c r="H311" s="164">
        <v>56.47</v>
      </c>
    </row>
    <row r="312" spans="1:8" ht="11.25" customHeight="1" x14ac:dyDescent="0.2">
      <c r="C312" s="1" t="s">
        <v>2318</v>
      </c>
    </row>
    <row r="313" spans="1:8" ht="11.25" customHeight="1" x14ac:dyDescent="0.2">
      <c r="A313" s="1" t="s">
        <v>981</v>
      </c>
      <c r="C313" s="2" t="s">
        <v>1093</v>
      </c>
      <c r="D313" s="4" t="s">
        <v>1072</v>
      </c>
      <c r="E313" s="16">
        <v>4944</v>
      </c>
      <c r="F313" s="81">
        <v>42.7</v>
      </c>
    </row>
    <row r="314" spans="1:8" ht="11.25" customHeight="1" x14ac:dyDescent="0.2">
      <c r="C314" s="1" t="s">
        <v>2888</v>
      </c>
      <c r="D314" s="4" t="s">
        <v>1071</v>
      </c>
      <c r="E314" s="16">
        <v>264</v>
      </c>
      <c r="F314" s="81">
        <v>2.2999999999999998</v>
      </c>
    </row>
    <row r="315" spans="1:8" ht="11.25" customHeight="1" x14ac:dyDescent="0.2">
      <c r="C315" s="1" t="s">
        <v>2889</v>
      </c>
      <c r="D315" s="4" t="s">
        <v>655</v>
      </c>
      <c r="E315" s="16">
        <v>3749</v>
      </c>
      <c r="F315" s="81">
        <v>32.4</v>
      </c>
    </row>
    <row r="316" spans="1:8" ht="11.25" customHeight="1" x14ac:dyDescent="0.2">
      <c r="C316" s="1" t="s">
        <v>2890</v>
      </c>
      <c r="D316" s="4" t="s">
        <v>1736</v>
      </c>
      <c r="E316" s="16">
        <v>2517</v>
      </c>
      <c r="F316" s="81">
        <v>21.8</v>
      </c>
    </row>
    <row r="317" spans="1:8" ht="11.25" customHeight="1" x14ac:dyDescent="0.2">
      <c r="C317" s="1" t="s">
        <v>2891</v>
      </c>
      <c r="D317" s="4" t="s">
        <v>488</v>
      </c>
      <c r="E317" s="16">
        <v>88</v>
      </c>
      <c r="F317" s="81">
        <v>0.8</v>
      </c>
    </row>
    <row r="318" spans="1:8" ht="11.25" customHeight="1" x14ac:dyDescent="0.2">
      <c r="C318" s="1" t="s">
        <v>2318</v>
      </c>
      <c r="E318" s="155" t="s">
        <v>2580</v>
      </c>
      <c r="F318" s="158">
        <v>100</v>
      </c>
      <c r="G318" s="155">
        <v>22844</v>
      </c>
      <c r="H318" s="164">
        <v>50.83</v>
      </c>
    </row>
    <row r="319" spans="1:8" ht="11.25" customHeight="1" x14ac:dyDescent="0.2">
      <c r="C319" s="1" t="s">
        <v>2318</v>
      </c>
    </row>
    <row r="320" spans="1:8" ht="11.25" customHeight="1" x14ac:dyDescent="0.2">
      <c r="A320" s="1" t="s">
        <v>1973</v>
      </c>
      <c r="C320" s="1" t="s">
        <v>2462</v>
      </c>
      <c r="D320" s="4" t="s">
        <v>1736</v>
      </c>
      <c r="E320" s="16">
        <v>2828</v>
      </c>
      <c r="F320" s="81">
        <v>25.3</v>
      </c>
    </row>
    <row r="321" spans="1:8" ht="11.25" customHeight="1" x14ac:dyDescent="0.2">
      <c r="C321" s="2" t="s">
        <v>2892</v>
      </c>
      <c r="D321" s="4" t="s">
        <v>1072</v>
      </c>
      <c r="E321" s="16">
        <v>5872</v>
      </c>
      <c r="F321" s="81">
        <v>52.6</v>
      </c>
    </row>
    <row r="322" spans="1:8" ht="11.25" customHeight="1" x14ac:dyDescent="0.2">
      <c r="C322" s="1" t="s">
        <v>2893</v>
      </c>
      <c r="D322" s="4" t="s">
        <v>488</v>
      </c>
      <c r="E322" s="16">
        <v>95</v>
      </c>
      <c r="F322" s="81">
        <v>0.9</v>
      </c>
    </row>
    <row r="323" spans="1:8" ht="11.25" customHeight="1" x14ac:dyDescent="0.2">
      <c r="C323" s="1" t="s">
        <v>2894</v>
      </c>
      <c r="D323" s="4" t="s">
        <v>655</v>
      </c>
      <c r="E323" s="16">
        <v>2362</v>
      </c>
      <c r="F323" s="81">
        <v>21.2</v>
      </c>
    </row>
    <row r="324" spans="1:8" ht="11.25" customHeight="1" x14ac:dyDescent="0.2">
      <c r="C324" s="1" t="s">
        <v>2318</v>
      </c>
      <c r="E324" s="155" t="s">
        <v>2581</v>
      </c>
      <c r="F324" s="158">
        <v>100</v>
      </c>
      <c r="G324" s="162">
        <v>18993</v>
      </c>
      <c r="H324" s="164">
        <v>58.86</v>
      </c>
    </row>
    <row r="325" spans="1:8" ht="11.25" customHeight="1" x14ac:dyDescent="0.2">
      <c r="C325" s="1" t="s">
        <v>2318</v>
      </c>
    </row>
    <row r="326" spans="1:8" ht="11.25" customHeight="1" x14ac:dyDescent="0.2">
      <c r="A326" s="1" t="s">
        <v>990</v>
      </c>
      <c r="C326" s="1" t="s">
        <v>2895</v>
      </c>
      <c r="D326" s="4" t="s">
        <v>655</v>
      </c>
      <c r="E326" s="16">
        <v>969</v>
      </c>
      <c r="F326" s="81">
        <v>6.7</v>
      </c>
    </row>
    <row r="327" spans="1:8" ht="11.25" customHeight="1" x14ac:dyDescent="0.2">
      <c r="C327" s="1" t="s">
        <v>2896</v>
      </c>
      <c r="D327" s="4" t="s">
        <v>1314</v>
      </c>
      <c r="E327" s="16">
        <v>64</v>
      </c>
      <c r="F327" s="81">
        <v>0.4</v>
      </c>
    </row>
    <row r="328" spans="1:8" ht="11.25" customHeight="1" x14ac:dyDescent="0.2">
      <c r="C328" s="1" t="s">
        <v>1275</v>
      </c>
      <c r="D328" s="4" t="s">
        <v>488</v>
      </c>
      <c r="E328" s="16">
        <v>66</v>
      </c>
      <c r="F328" s="81">
        <v>0.5</v>
      </c>
    </row>
    <row r="329" spans="1:8" ht="11.25" customHeight="1" x14ac:dyDescent="0.2">
      <c r="C329" s="1" t="s">
        <v>2897</v>
      </c>
      <c r="D329" s="4" t="s">
        <v>1736</v>
      </c>
      <c r="E329" s="16">
        <v>4283</v>
      </c>
      <c r="F329" s="81">
        <v>29.8</v>
      </c>
    </row>
    <row r="330" spans="1:8" ht="11.25" customHeight="1" x14ac:dyDescent="0.2">
      <c r="C330" s="2" t="s">
        <v>2898</v>
      </c>
      <c r="D330" s="4" t="s">
        <v>1072</v>
      </c>
      <c r="E330" s="16">
        <v>8583</v>
      </c>
      <c r="F330" s="81">
        <v>59.8</v>
      </c>
    </row>
    <row r="331" spans="1:8" ht="11.25" customHeight="1" x14ac:dyDescent="0.2">
      <c r="C331" s="1" t="s">
        <v>2899</v>
      </c>
      <c r="D331" s="4" t="s">
        <v>1071</v>
      </c>
      <c r="E331" s="16">
        <v>398</v>
      </c>
      <c r="F331" s="81">
        <v>2.8</v>
      </c>
    </row>
    <row r="332" spans="1:8" ht="11.25" customHeight="1" x14ac:dyDescent="0.2">
      <c r="C332" s="1" t="s">
        <v>2318</v>
      </c>
      <c r="E332" s="155" t="s">
        <v>2582</v>
      </c>
      <c r="F332" s="158">
        <v>100</v>
      </c>
      <c r="G332" s="155">
        <v>23309</v>
      </c>
      <c r="H332" s="164">
        <v>61.73</v>
      </c>
    </row>
    <row r="333" spans="1:8" ht="11.25" customHeight="1" x14ac:dyDescent="0.2">
      <c r="C333" s="1" t="s">
        <v>2318</v>
      </c>
    </row>
    <row r="334" spans="1:8" ht="11.25" customHeight="1" x14ac:dyDescent="0.2">
      <c r="A334" s="1" t="s">
        <v>994</v>
      </c>
      <c r="C334" s="1" t="s">
        <v>811</v>
      </c>
      <c r="D334" s="4" t="s">
        <v>655</v>
      </c>
      <c r="E334" s="16">
        <v>5121</v>
      </c>
      <c r="F334" s="81">
        <v>30.8</v>
      </c>
    </row>
    <row r="335" spans="1:8" ht="11.25" customHeight="1" x14ac:dyDescent="0.2">
      <c r="C335" s="1" t="s">
        <v>2900</v>
      </c>
      <c r="D335" s="4" t="s">
        <v>1071</v>
      </c>
      <c r="E335" s="16">
        <v>460</v>
      </c>
      <c r="F335" s="81">
        <v>2.8</v>
      </c>
    </row>
    <row r="336" spans="1:8" ht="11.25" customHeight="1" x14ac:dyDescent="0.2">
      <c r="C336" s="1" t="s">
        <v>2901</v>
      </c>
      <c r="D336" s="4" t="s">
        <v>1736</v>
      </c>
      <c r="E336" s="16">
        <v>4071</v>
      </c>
      <c r="F336" s="81">
        <v>24.5</v>
      </c>
    </row>
    <row r="337" spans="1:8" ht="11.25" customHeight="1" x14ac:dyDescent="0.2">
      <c r="C337" s="1" t="s">
        <v>2902</v>
      </c>
      <c r="D337" s="4" t="s">
        <v>1314</v>
      </c>
      <c r="E337" s="16">
        <v>253</v>
      </c>
      <c r="F337" s="81">
        <v>1.5</v>
      </c>
    </row>
    <row r="338" spans="1:8" ht="11.25" customHeight="1" x14ac:dyDescent="0.2">
      <c r="C338" s="1" t="s">
        <v>2903</v>
      </c>
      <c r="D338" s="4" t="s">
        <v>486</v>
      </c>
      <c r="E338" s="16">
        <v>47</v>
      </c>
      <c r="F338" s="81">
        <v>0.3</v>
      </c>
    </row>
    <row r="339" spans="1:8" ht="11.25" customHeight="1" x14ac:dyDescent="0.2">
      <c r="C339" s="1" t="s">
        <v>2904</v>
      </c>
      <c r="D339" s="4" t="s">
        <v>488</v>
      </c>
      <c r="E339" s="16">
        <v>108</v>
      </c>
      <c r="F339" s="81">
        <v>0.7</v>
      </c>
    </row>
    <row r="340" spans="1:8" ht="11.25" customHeight="1" x14ac:dyDescent="0.2">
      <c r="C340" s="2" t="s">
        <v>2905</v>
      </c>
      <c r="D340" s="4" t="s">
        <v>1072</v>
      </c>
      <c r="E340" s="16">
        <v>6542</v>
      </c>
      <c r="F340" s="81">
        <v>39.4</v>
      </c>
    </row>
    <row r="341" spans="1:8" ht="11.25" customHeight="1" x14ac:dyDescent="0.2">
      <c r="C341" s="1" t="s">
        <v>2318</v>
      </c>
      <c r="E341" s="155" t="s">
        <v>3243</v>
      </c>
      <c r="F341" s="158">
        <v>100</v>
      </c>
      <c r="G341" s="155">
        <v>26440</v>
      </c>
      <c r="H341" s="164">
        <v>63.02</v>
      </c>
    </row>
    <row r="342" spans="1:8" ht="11.25" customHeight="1" x14ac:dyDescent="0.2">
      <c r="C342" s="1" t="s">
        <v>2318</v>
      </c>
    </row>
    <row r="343" spans="1:8" ht="11.25" customHeight="1" x14ac:dyDescent="0.2">
      <c r="A343" s="1" t="s">
        <v>999</v>
      </c>
      <c r="C343" s="1" t="s">
        <v>2906</v>
      </c>
      <c r="D343" s="4" t="s">
        <v>655</v>
      </c>
      <c r="E343" s="16">
        <v>648</v>
      </c>
      <c r="F343" s="81">
        <v>4.4000000000000004</v>
      </c>
    </row>
    <row r="344" spans="1:8" ht="11.25" customHeight="1" x14ac:dyDescent="0.2">
      <c r="C344" s="1" t="s">
        <v>2907</v>
      </c>
      <c r="D344" s="4" t="s">
        <v>1736</v>
      </c>
      <c r="E344" s="16">
        <v>5351</v>
      </c>
      <c r="F344" s="81">
        <v>36.299999999999997</v>
      </c>
    </row>
    <row r="345" spans="1:8" ht="11.25" customHeight="1" x14ac:dyDescent="0.2">
      <c r="C345" s="2" t="s">
        <v>2908</v>
      </c>
      <c r="D345" s="4" t="s">
        <v>1072</v>
      </c>
      <c r="E345" s="16">
        <v>8628</v>
      </c>
      <c r="F345" s="81">
        <v>58.4</v>
      </c>
    </row>
    <row r="346" spans="1:8" ht="11.25" customHeight="1" x14ac:dyDescent="0.2">
      <c r="C346" s="1" t="s">
        <v>2909</v>
      </c>
      <c r="D346" s="4" t="s">
        <v>488</v>
      </c>
      <c r="E346" s="16">
        <v>63</v>
      </c>
      <c r="F346" s="81">
        <v>0.4</v>
      </c>
    </row>
    <row r="347" spans="1:8" ht="11.25" customHeight="1" x14ac:dyDescent="0.2">
      <c r="C347" s="1" t="s">
        <v>2910</v>
      </c>
      <c r="D347" s="4" t="s">
        <v>1314</v>
      </c>
      <c r="E347" s="16">
        <v>73</v>
      </c>
      <c r="F347" s="81">
        <v>0.5</v>
      </c>
    </row>
    <row r="348" spans="1:8" ht="11.25" customHeight="1" x14ac:dyDescent="0.2">
      <c r="C348" s="1" t="s">
        <v>2318</v>
      </c>
      <c r="E348" s="155" t="s">
        <v>3244</v>
      </c>
      <c r="F348" s="158">
        <v>100</v>
      </c>
      <c r="G348" s="155">
        <v>21125</v>
      </c>
      <c r="H348" s="164">
        <v>70.010000000000005</v>
      </c>
    </row>
    <row r="349" spans="1:8" ht="11.25" customHeight="1" x14ac:dyDescent="0.2">
      <c r="C349" s="1" t="s">
        <v>2318</v>
      </c>
    </row>
    <row r="350" spans="1:8" ht="11.25" customHeight="1" x14ac:dyDescent="0.2">
      <c r="A350" s="1" t="s">
        <v>1356</v>
      </c>
      <c r="C350" s="1" t="s">
        <v>1264</v>
      </c>
      <c r="D350" s="4" t="s">
        <v>655</v>
      </c>
      <c r="E350" s="16">
        <v>1483</v>
      </c>
      <c r="F350" s="81">
        <v>14.8</v>
      </c>
    </row>
    <row r="351" spans="1:8" ht="11.25" customHeight="1" x14ac:dyDescent="0.2">
      <c r="C351" s="2" t="s">
        <v>1581</v>
      </c>
      <c r="D351" s="4" t="s">
        <v>1072</v>
      </c>
      <c r="E351" s="16">
        <v>4261</v>
      </c>
      <c r="F351" s="81">
        <v>42.4</v>
      </c>
    </row>
    <row r="352" spans="1:8" ht="11.25" customHeight="1" x14ac:dyDescent="0.2">
      <c r="C352" s="1" t="s">
        <v>1266</v>
      </c>
      <c r="D352" s="4" t="s">
        <v>653</v>
      </c>
      <c r="E352" s="16">
        <v>1563</v>
      </c>
      <c r="F352" s="81">
        <v>15.6</v>
      </c>
    </row>
    <row r="353" spans="1:8" ht="11.25" customHeight="1" x14ac:dyDescent="0.2">
      <c r="C353" s="1" t="s">
        <v>1267</v>
      </c>
      <c r="D353" s="4" t="s">
        <v>1736</v>
      </c>
      <c r="E353" s="16">
        <v>2738</v>
      </c>
      <c r="F353" s="81">
        <v>27.2</v>
      </c>
    </row>
    <row r="354" spans="1:8" ht="11.25" customHeight="1" x14ac:dyDescent="0.2">
      <c r="C354" s="1" t="s">
        <v>2318</v>
      </c>
      <c r="E354" s="155" t="s">
        <v>1202</v>
      </c>
      <c r="F354" s="158">
        <v>100</v>
      </c>
      <c r="G354" s="155">
        <v>20583</v>
      </c>
      <c r="H354" s="164">
        <v>48.88</v>
      </c>
    </row>
    <row r="355" spans="1:8" ht="11.25" customHeight="1" x14ac:dyDescent="0.2">
      <c r="C355" s="1" t="s">
        <v>2318</v>
      </c>
    </row>
    <row r="356" spans="1:8" ht="11.25" customHeight="1" x14ac:dyDescent="0.2">
      <c r="A356" s="1" t="s">
        <v>1360</v>
      </c>
      <c r="C356" s="1" t="s">
        <v>1582</v>
      </c>
      <c r="D356" s="4" t="s">
        <v>1072</v>
      </c>
      <c r="E356" s="16">
        <v>2506</v>
      </c>
      <c r="F356" s="81">
        <v>27.9</v>
      </c>
    </row>
    <row r="357" spans="1:8" ht="11.25" customHeight="1" x14ac:dyDescent="0.2">
      <c r="C357" s="2" t="s">
        <v>1583</v>
      </c>
      <c r="D357" s="4" t="s">
        <v>1736</v>
      </c>
      <c r="E357" s="16">
        <v>4942</v>
      </c>
      <c r="F357" s="81">
        <v>55</v>
      </c>
    </row>
    <row r="358" spans="1:8" ht="11.25" customHeight="1" x14ac:dyDescent="0.2">
      <c r="C358" s="1" t="s">
        <v>1584</v>
      </c>
      <c r="D358" s="4" t="s">
        <v>655</v>
      </c>
      <c r="E358" s="16">
        <v>1199</v>
      </c>
      <c r="F358" s="81">
        <v>13.4</v>
      </c>
    </row>
    <row r="359" spans="1:8" ht="11.25" customHeight="1" x14ac:dyDescent="0.2">
      <c r="C359" s="1" t="s">
        <v>1585</v>
      </c>
      <c r="D359" s="4" t="s">
        <v>487</v>
      </c>
      <c r="E359" s="16">
        <v>329</v>
      </c>
      <c r="F359" s="81">
        <v>3.7</v>
      </c>
    </row>
    <row r="360" spans="1:8" ht="11.25" customHeight="1" x14ac:dyDescent="0.2">
      <c r="C360" s="1" t="s">
        <v>2318</v>
      </c>
      <c r="E360" s="155" t="s">
        <v>1203</v>
      </c>
      <c r="F360" s="158">
        <v>100</v>
      </c>
      <c r="G360" s="155">
        <v>16434</v>
      </c>
      <c r="H360" s="164">
        <v>54.7</v>
      </c>
    </row>
    <row r="361" spans="1:8" ht="11.25" customHeight="1" x14ac:dyDescent="0.2">
      <c r="C361" s="1" t="s">
        <v>2318</v>
      </c>
    </row>
    <row r="362" spans="1:8" ht="11.25" customHeight="1" x14ac:dyDescent="0.2">
      <c r="A362" s="1" t="s">
        <v>1365</v>
      </c>
      <c r="C362" s="2" t="s">
        <v>864</v>
      </c>
      <c r="D362" s="4" t="s">
        <v>1736</v>
      </c>
      <c r="E362" s="16">
        <v>4457</v>
      </c>
      <c r="F362" s="81">
        <v>48</v>
      </c>
    </row>
    <row r="363" spans="1:8" ht="11.25" customHeight="1" x14ac:dyDescent="0.2">
      <c r="C363" s="1" t="s">
        <v>1586</v>
      </c>
      <c r="D363" s="4" t="s">
        <v>1072</v>
      </c>
      <c r="E363" s="16">
        <v>3942</v>
      </c>
      <c r="F363" s="81">
        <v>42.5</v>
      </c>
    </row>
    <row r="364" spans="1:8" ht="11.25" customHeight="1" x14ac:dyDescent="0.2">
      <c r="C364" s="1" t="s">
        <v>1587</v>
      </c>
      <c r="D364" s="4" t="s">
        <v>655</v>
      </c>
      <c r="E364" s="16">
        <v>880</v>
      </c>
      <c r="F364" s="81">
        <v>9.5</v>
      </c>
    </row>
    <row r="365" spans="1:8" ht="11.25" customHeight="1" x14ac:dyDescent="0.2">
      <c r="C365" s="1" t="s">
        <v>2318</v>
      </c>
      <c r="E365" s="155" t="s">
        <v>1204</v>
      </c>
      <c r="F365" s="158">
        <v>100</v>
      </c>
      <c r="G365" s="155">
        <v>16272</v>
      </c>
      <c r="H365" s="164">
        <v>57.2</v>
      </c>
    </row>
    <row r="366" spans="1:8" ht="11.25" customHeight="1" x14ac:dyDescent="0.2">
      <c r="C366" s="1" t="s">
        <v>2318</v>
      </c>
    </row>
    <row r="367" spans="1:8" ht="11.25" customHeight="1" x14ac:dyDescent="0.2">
      <c r="A367" s="1" t="s">
        <v>1372</v>
      </c>
      <c r="C367" s="1" t="s">
        <v>866</v>
      </c>
      <c r="D367" s="4" t="s">
        <v>1071</v>
      </c>
      <c r="E367" s="16">
        <v>701</v>
      </c>
      <c r="F367" s="81">
        <v>5.6</v>
      </c>
    </row>
    <row r="368" spans="1:8" ht="11.25" customHeight="1" x14ac:dyDescent="0.2">
      <c r="C368" s="1" t="s">
        <v>1588</v>
      </c>
      <c r="D368" s="4" t="s">
        <v>1072</v>
      </c>
      <c r="E368" s="16">
        <v>3159</v>
      </c>
      <c r="F368" s="81">
        <v>25.4</v>
      </c>
    </row>
    <row r="369" spans="1:8" ht="11.25" customHeight="1" x14ac:dyDescent="0.2">
      <c r="C369" s="1" t="s">
        <v>1589</v>
      </c>
      <c r="D369" s="4" t="s">
        <v>655</v>
      </c>
      <c r="E369" s="16">
        <v>504</v>
      </c>
      <c r="F369" s="81">
        <v>4.0999999999999996</v>
      </c>
    </row>
    <row r="370" spans="1:8" ht="11.25" customHeight="1" x14ac:dyDescent="0.2">
      <c r="C370" s="2" t="s">
        <v>1590</v>
      </c>
      <c r="D370" s="4" t="s">
        <v>1736</v>
      </c>
      <c r="E370" s="16">
        <v>8063</v>
      </c>
      <c r="F370" s="81">
        <v>64.900000000000006</v>
      </c>
    </row>
    <row r="371" spans="1:8" ht="11.25" customHeight="1" x14ac:dyDescent="0.2">
      <c r="C371" s="1" t="s">
        <v>2318</v>
      </c>
      <c r="E371" s="155" t="s">
        <v>1205</v>
      </c>
      <c r="F371" s="158">
        <v>100</v>
      </c>
      <c r="G371" s="155">
        <v>19169</v>
      </c>
      <c r="H371" s="164">
        <v>64.94</v>
      </c>
    </row>
    <row r="372" spans="1:8" ht="11.25" customHeight="1" x14ac:dyDescent="0.2">
      <c r="C372" s="1" t="s">
        <v>2318</v>
      </c>
    </row>
    <row r="373" spans="1:8" ht="11.25" customHeight="1" x14ac:dyDescent="0.2">
      <c r="A373" s="1" t="s">
        <v>1377</v>
      </c>
      <c r="C373" s="1" t="s">
        <v>1591</v>
      </c>
      <c r="D373" s="4" t="s">
        <v>1072</v>
      </c>
      <c r="E373" s="16">
        <v>2294</v>
      </c>
      <c r="F373" s="81">
        <v>21.7</v>
      </c>
    </row>
    <row r="374" spans="1:8" ht="11.25" customHeight="1" x14ac:dyDescent="0.2">
      <c r="C374" s="1" t="s">
        <v>1592</v>
      </c>
      <c r="D374" s="4" t="s">
        <v>1071</v>
      </c>
      <c r="E374" s="16">
        <v>520</v>
      </c>
      <c r="F374" s="81">
        <v>4.9000000000000004</v>
      </c>
    </row>
    <row r="375" spans="1:8" ht="11.25" customHeight="1" x14ac:dyDescent="0.2">
      <c r="C375" s="1" t="s">
        <v>1593</v>
      </c>
      <c r="D375" s="4" t="s">
        <v>489</v>
      </c>
      <c r="E375" s="16">
        <v>1381</v>
      </c>
      <c r="F375" s="81">
        <v>13.1</v>
      </c>
    </row>
    <row r="376" spans="1:8" ht="11.25" customHeight="1" x14ac:dyDescent="0.2">
      <c r="C376" s="1" t="s">
        <v>1594</v>
      </c>
      <c r="D376" s="4" t="s">
        <v>653</v>
      </c>
      <c r="E376" s="16">
        <v>163</v>
      </c>
      <c r="F376" s="81">
        <v>1.5</v>
      </c>
    </row>
    <row r="377" spans="1:8" ht="11.25" customHeight="1" x14ac:dyDescent="0.2">
      <c r="C377" s="2" t="s">
        <v>1595</v>
      </c>
      <c r="D377" s="4" t="s">
        <v>1736</v>
      </c>
      <c r="E377" s="16">
        <v>5660</v>
      </c>
      <c r="F377" s="81">
        <v>53.6</v>
      </c>
    </row>
    <row r="378" spans="1:8" ht="11.25" customHeight="1" x14ac:dyDescent="0.2">
      <c r="C378" s="1" t="s">
        <v>1596</v>
      </c>
      <c r="D378" s="4" t="s">
        <v>655</v>
      </c>
      <c r="E378" s="16">
        <v>544</v>
      </c>
      <c r="F378" s="81">
        <v>5.2</v>
      </c>
    </row>
    <row r="379" spans="1:8" ht="11.25" customHeight="1" x14ac:dyDescent="0.2">
      <c r="C379" s="1" t="s">
        <v>2318</v>
      </c>
      <c r="E379" s="155" t="s">
        <v>1206</v>
      </c>
      <c r="F379" s="158">
        <v>100</v>
      </c>
      <c r="G379" s="155">
        <v>16507</v>
      </c>
      <c r="H379" s="164">
        <v>64.12</v>
      </c>
    </row>
    <row r="380" spans="1:8" ht="11.25" customHeight="1" x14ac:dyDescent="0.2">
      <c r="C380" s="1" t="s">
        <v>2318</v>
      </c>
    </row>
    <row r="381" spans="1:8" ht="11.25" customHeight="1" x14ac:dyDescent="0.2">
      <c r="A381" s="1" t="s">
        <v>1381</v>
      </c>
      <c r="C381" s="1" t="s">
        <v>1597</v>
      </c>
      <c r="D381" s="4" t="s">
        <v>655</v>
      </c>
      <c r="E381" s="16">
        <v>999</v>
      </c>
      <c r="F381" s="81">
        <v>10.1</v>
      </c>
    </row>
    <row r="382" spans="1:8" ht="11.25" customHeight="1" x14ac:dyDescent="0.2">
      <c r="C382" s="2" t="s">
        <v>1598</v>
      </c>
      <c r="D382" s="4" t="s">
        <v>1072</v>
      </c>
      <c r="E382" s="16">
        <v>5041</v>
      </c>
      <c r="F382" s="81">
        <v>50.7</v>
      </c>
    </row>
    <row r="383" spans="1:8" ht="11.25" customHeight="1" x14ac:dyDescent="0.2">
      <c r="C383" s="1" t="s">
        <v>1599</v>
      </c>
      <c r="D383" s="4" t="s">
        <v>1736</v>
      </c>
      <c r="E383" s="16">
        <v>3897</v>
      </c>
      <c r="F383" s="81">
        <v>39.200000000000003</v>
      </c>
    </row>
    <row r="384" spans="1:8" ht="11.25" customHeight="1" x14ac:dyDescent="0.2">
      <c r="C384" s="1" t="s">
        <v>2318</v>
      </c>
      <c r="E384" s="155" t="s">
        <v>1207</v>
      </c>
      <c r="F384" s="158">
        <v>100</v>
      </c>
      <c r="G384" s="155">
        <v>16011</v>
      </c>
      <c r="H384" s="164">
        <v>62.24</v>
      </c>
    </row>
    <row r="385" spans="1:8" ht="11.25" customHeight="1" x14ac:dyDescent="0.2">
      <c r="C385" s="1" t="s">
        <v>2318</v>
      </c>
    </row>
    <row r="386" spans="1:8" ht="11.25" customHeight="1" x14ac:dyDescent="0.2">
      <c r="A386" s="1" t="s">
        <v>1926</v>
      </c>
      <c r="C386" s="1" t="s">
        <v>1600</v>
      </c>
      <c r="D386" s="4" t="s">
        <v>653</v>
      </c>
      <c r="E386" s="16">
        <v>397</v>
      </c>
      <c r="F386" s="81">
        <v>3.5</v>
      </c>
    </row>
    <row r="387" spans="1:8" ht="11.25" customHeight="1" x14ac:dyDescent="0.2">
      <c r="C387" s="2" t="s">
        <v>1601</v>
      </c>
      <c r="D387" s="4" t="s">
        <v>1736</v>
      </c>
      <c r="E387" s="16">
        <v>6596</v>
      </c>
      <c r="F387" s="81">
        <v>57.8</v>
      </c>
    </row>
    <row r="388" spans="1:8" ht="11.25" customHeight="1" x14ac:dyDescent="0.2">
      <c r="C388" s="1" t="s">
        <v>1602</v>
      </c>
      <c r="D388" s="4" t="s">
        <v>1071</v>
      </c>
      <c r="E388" s="16">
        <v>687</v>
      </c>
      <c r="F388" s="81">
        <v>6</v>
      </c>
    </row>
    <row r="389" spans="1:8" ht="11.25" customHeight="1" x14ac:dyDescent="0.2">
      <c r="C389" s="1" t="s">
        <v>1603</v>
      </c>
      <c r="D389" s="4" t="s">
        <v>655</v>
      </c>
      <c r="E389" s="16">
        <v>730</v>
      </c>
      <c r="F389" s="81">
        <v>6.4</v>
      </c>
    </row>
    <row r="390" spans="1:8" ht="11.25" customHeight="1" x14ac:dyDescent="0.2">
      <c r="C390" s="1" t="s">
        <v>1604</v>
      </c>
      <c r="D390" s="4" t="s">
        <v>1072</v>
      </c>
      <c r="E390" s="17">
        <v>3001</v>
      </c>
      <c r="F390" s="81">
        <v>26.3</v>
      </c>
    </row>
    <row r="391" spans="1:8" ht="11.25" customHeight="1" x14ac:dyDescent="0.2">
      <c r="C391" s="1" t="s">
        <v>2318</v>
      </c>
      <c r="E391" s="155" t="s">
        <v>1208</v>
      </c>
      <c r="F391" s="158">
        <v>100</v>
      </c>
      <c r="G391" s="155">
        <v>18398</v>
      </c>
      <c r="H391" s="164">
        <v>62.13</v>
      </c>
    </row>
    <row r="392" spans="1:8" ht="11.25" customHeight="1" x14ac:dyDescent="0.2">
      <c r="C392" s="1" t="s">
        <v>2318</v>
      </c>
    </row>
    <row r="393" spans="1:8" ht="11.25" customHeight="1" x14ac:dyDescent="0.2">
      <c r="A393" s="1" t="s">
        <v>1931</v>
      </c>
      <c r="C393" s="1" t="s">
        <v>1605</v>
      </c>
      <c r="D393" s="4" t="s">
        <v>488</v>
      </c>
      <c r="E393" s="16">
        <v>192</v>
      </c>
      <c r="F393" s="81">
        <v>1.4</v>
      </c>
    </row>
    <row r="394" spans="1:8" ht="11.25" customHeight="1" x14ac:dyDescent="0.2">
      <c r="C394" s="2" t="s">
        <v>1606</v>
      </c>
      <c r="D394" s="4" t="s">
        <v>1072</v>
      </c>
      <c r="E394" s="16">
        <v>6823</v>
      </c>
      <c r="F394" s="81">
        <v>49.8</v>
      </c>
    </row>
    <row r="395" spans="1:8" ht="11.25" customHeight="1" x14ac:dyDescent="0.2">
      <c r="C395" s="1" t="s">
        <v>1607</v>
      </c>
      <c r="D395" s="4" t="s">
        <v>655</v>
      </c>
      <c r="E395" s="16">
        <v>812</v>
      </c>
      <c r="F395" s="81">
        <v>5.9</v>
      </c>
    </row>
    <row r="396" spans="1:8" ht="11.25" customHeight="1" x14ac:dyDescent="0.2">
      <c r="C396" s="1" t="s">
        <v>1608</v>
      </c>
      <c r="D396" s="4" t="s">
        <v>1736</v>
      </c>
      <c r="E396" s="16">
        <v>5884</v>
      </c>
      <c r="F396" s="81">
        <v>42.9</v>
      </c>
    </row>
    <row r="397" spans="1:8" ht="11.25" customHeight="1" x14ac:dyDescent="0.2">
      <c r="C397" s="1" t="s">
        <v>2318</v>
      </c>
      <c r="E397" s="155" t="s">
        <v>1209</v>
      </c>
      <c r="F397" s="158">
        <v>100</v>
      </c>
      <c r="G397" s="155">
        <v>21200</v>
      </c>
      <c r="H397" s="164">
        <v>64.75</v>
      </c>
    </row>
    <row r="398" spans="1:8" ht="11.25" customHeight="1" x14ac:dyDescent="0.2">
      <c r="C398" s="1" t="s">
        <v>2318</v>
      </c>
    </row>
    <row r="399" spans="1:8" s="2" customFormat="1" ht="11.25" customHeight="1" x14ac:dyDescent="0.2">
      <c r="A399" s="1" t="s">
        <v>2350</v>
      </c>
      <c r="B399" s="1"/>
      <c r="C399" s="2" t="s">
        <v>2352</v>
      </c>
      <c r="D399" s="4" t="s">
        <v>1736</v>
      </c>
      <c r="E399" s="16">
        <v>4260</v>
      </c>
      <c r="F399" s="81">
        <v>55.5</v>
      </c>
      <c r="G399" s="16"/>
      <c r="H399" s="82"/>
    </row>
    <row r="400" spans="1:8" s="2" customFormat="1" ht="11.25" customHeight="1" x14ac:dyDescent="0.2">
      <c r="A400" s="1"/>
      <c r="B400" s="1"/>
      <c r="C400" s="1" t="s">
        <v>2402</v>
      </c>
      <c r="D400" s="4" t="s">
        <v>655</v>
      </c>
      <c r="E400" s="16">
        <v>326</v>
      </c>
      <c r="F400" s="81">
        <v>4.2</v>
      </c>
      <c r="G400" s="16"/>
      <c r="H400" s="82"/>
    </row>
    <row r="401" spans="1:8" ht="11.25" customHeight="1" x14ac:dyDescent="0.2">
      <c r="C401" s="1" t="s">
        <v>2501</v>
      </c>
      <c r="D401" s="4" t="s">
        <v>1072</v>
      </c>
      <c r="E401" s="16">
        <v>3093</v>
      </c>
      <c r="F401" s="81">
        <v>40.299999999999997</v>
      </c>
    </row>
    <row r="402" spans="1:8" s="2" customFormat="1" ht="11.25" customHeight="1" x14ac:dyDescent="0.2">
      <c r="A402" s="1"/>
      <c r="B402" s="1"/>
      <c r="C402" s="1" t="s">
        <v>2318</v>
      </c>
      <c r="D402" s="4"/>
      <c r="E402" s="155" t="s">
        <v>1233</v>
      </c>
      <c r="F402" s="158">
        <v>100</v>
      </c>
      <c r="G402" s="155">
        <v>12743</v>
      </c>
      <c r="H402" s="164">
        <v>60.45</v>
      </c>
    </row>
    <row r="404" spans="1:8" ht="11.25" customHeight="1" x14ac:dyDescent="0.2">
      <c r="A404" s="1" t="s">
        <v>1935</v>
      </c>
      <c r="C404" s="1" t="s">
        <v>1609</v>
      </c>
      <c r="D404" s="4" t="s">
        <v>1736</v>
      </c>
      <c r="E404" s="16">
        <v>5092</v>
      </c>
      <c r="F404" s="81">
        <v>40.1</v>
      </c>
    </row>
    <row r="405" spans="1:8" ht="11.25" customHeight="1" x14ac:dyDescent="0.2">
      <c r="C405" s="1" t="s">
        <v>1610</v>
      </c>
      <c r="D405" s="4" t="s">
        <v>655</v>
      </c>
      <c r="E405" s="16">
        <v>1495</v>
      </c>
      <c r="F405" s="81">
        <v>11.8</v>
      </c>
    </row>
    <row r="406" spans="1:8" ht="11.25" customHeight="1" x14ac:dyDescent="0.2">
      <c r="C406" s="2" t="s">
        <v>1611</v>
      </c>
      <c r="D406" s="4" t="s">
        <v>1072</v>
      </c>
      <c r="E406" s="16">
        <v>6114</v>
      </c>
      <c r="F406" s="81">
        <v>48.1</v>
      </c>
    </row>
    <row r="407" spans="1:8" ht="11.25" customHeight="1" x14ac:dyDescent="0.2">
      <c r="C407" s="1" t="s">
        <v>2318</v>
      </c>
      <c r="E407" s="155" t="s">
        <v>1210</v>
      </c>
      <c r="F407" s="158">
        <v>100</v>
      </c>
      <c r="G407" s="155">
        <v>22124</v>
      </c>
      <c r="H407" s="164">
        <v>57.75</v>
      </c>
    </row>
    <row r="408" spans="1:8" ht="11.25" customHeight="1" x14ac:dyDescent="0.2">
      <c r="C408" s="1" t="s">
        <v>2318</v>
      </c>
    </row>
    <row r="409" spans="1:8" ht="11.25" customHeight="1" x14ac:dyDescent="0.2">
      <c r="A409" s="1" t="s">
        <v>3180</v>
      </c>
      <c r="C409" s="1" t="s">
        <v>1612</v>
      </c>
      <c r="D409" s="4" t="s">
        <v>1072</v>
      </c>
      <c r="E409" s="16">
        <v>4534</v>
      </c>
      <c r="F409" s="81">
        <v>40.9</v>
      </c>
    </row>
    <row r="410" spans="1:8" ht="11.25" customHeight="1" x14ac:dyDescent="0.2">
      <c r="C410" s="2" t="s">
        <v>1613</v>
      </c>
      <c r="D410" s="4" t="s">
        <v>1736</v>
      </c>
      <c r="E410" s="16">
        <v>4643</v>
      </c>
      <c r="F410" s="81">
        <v>41.9</v>
      </c>
    </row>
    <row r="411" spans="1:8" ht="11.25" customHeight="1" x14ac:dyDescent="0.2">
      <c r="C411" s="1" t="s">
        <v>1614</v>
      </c>
      <c r="D411" s="4" t="s">
        <v>653</v>
      </c>
      <c r="E411" s="16">
        <v>926</v>
      </c>
      <c r="F411" s="81">
        <v>8.4</v>
      </c>
    </row>
    <row r="412" spans="1:8" ht="11.25" customHeight="1" x14ac:dyDescent="0.2">
      <c r="C412" s="1" t="s">
        <v>1615</v>
      </c>
      <c r="D412" s="4" t="s">
        <v>655</v>
      </c>
      <c r="E412" s="16">
        <v>973</v>
      </c>
      <c r="F412" s="81">
        <v>8.8000000000000007</v>
      </c>
    </row>
    <row r="413" spans="1:8" ht="11.25" customHeight="1" x14ac:dyDescent="0.2">
      <c r="C413" s="1" t="s">
        <v>2318</v>
      </c>
      <c r="E413" s="155" t="s">
        <v>1211</v>
      </c>
      <c r="F413" s="158">
        <v>100</v>
      </c>
      <c r="G413" s="155">
        <v>20154</v>
      </c>
      <c r="H413" s="164">
        <v>55.2</v>
      </c>
    </row>
    <row r="414" spans="1:8" ht="11.25" customHeight="1" x14ac:dyDescent="0.2">
      <c r="C414" s="1" t="s">
        <v>2318</v>
      </c>
    </row>
    <row r="415" spans="1:8" ht="11.25" customHeight="1" x14ac:dyDescent="0.2">
      <c r="A415" s="1" t="s">
        <v>3185</v>
      </c>
      <c r="C415" s="1" t="s">
        <v>1616</v>
      </c>
      <c r="D415" s="4" t="s">
        <v>1072</v>
      </c>
      <c r="E415" s="16">
        <v>2886</v>
      </c>
      <c r="F415" s="81">
        <v>28.9</v>
      </c>
    </row>
    <row r="416" spans="1:8" ht="11.25" customHeight="1" x14ac:dyDescent="0.2">
      <c r="C416" s="1" t="s">
        <v>1617</v>
      </c>
      <c r="D416" s="4" t="s">
        <v>655</v>
      </c>
      <c r="E416" s="16">
        <v>382</v>
      </c>
      <c r="F416" s="81">
        <v>3.8</v>
      </c>
    </row>
    <row r="417" spans="1:8" ht="11.25" customHeight="1" x14ac:dyDescent="0.2">
      <c r="C417" s="2" t="s">
        <v>1276</v>
      </c>
      <c r="D417" s="4" t="s">
        <v>1736</v>
      </c>
      <c r="E417" s="16">
        <v>6709</v>
      </c>
      <c r="F417" s="81">
        <v>67.3</v>
      </c>
    </row>
    <row r="418" spans="1:8" ht="11.25" customHeight="1" x14ac:dyDescent="0.2">
      <c r="C418" s="1" t="s">
        <v>2318</v>
      </c>
      <c r="E418" s="155" t="s">
        <v>1212</v>
      </c>
      <c r="F418" s="158">
        <v>100</v>
      </c>
      <c r="G418" s="155">
        <v>15087</v>
      </c>
      <c r="H418" s="164">
        <v>66.3</v>
      </c>
    </row>
    <row r="419" spans="1:8" ht="11.25" customHeight="1" x14ac:dyDescent="0.2">
      <c r="C419" s="1" t="s">
        <v>2318</v>
      </c>
    </row>
    <row r="420" spans="1:8" ht="11.25" customHeight="1" x14ac:dyDescent="0.2">
      <c r="A420" s="1" t="s">
        <v>3195</v>
      </c>
      <c r="C420" s="1" t="s">
        <v>1618</v>
      </c>
      <c r="D420" s="4" t="s">
        <v>1071</v>
      </c>
      <c r="E420" s="16">
        <v>568</v>
      </c>
      <c r="F420" s="81">
        <v>4.5</v>
      </c>
    </row>
    <row r="421" spans="1:8" ht="11.25" customHeight="1" x14ac:dyDescent="0.2">
      <c r="C421" s="2" t="s">
        <v>1619</v>
      </c>
      <c r="D421" s="4" t="s">
        <v>1736</v>
      </c>
      <c r="E421" s="16">
        <v>4941</v>
      </c>
      <c r="F421" s="81">
        <v>39</v>
      </c>
    </row>
    <row r="422" spans="1:8" ht="11.25" customHeight="1" x14ac:dyDescent="0.2">
      <c r="C422" s="1" t="s">
        <v>1620</v>
      </c>
      <c r="D422" s="4" t="s">
        <v>1072</v>
      </c>
      <c r="E422" s="16">
        <v>4790</v>
      </c>
      <c r="F422" s="81">
        <v>37.799999999999997</v>
      </c>
    </row>
    <row r="423" spans="1:8" ht="11.25" customHeight="1" x14ac:dyDescent="0.2">
      <c r="C423" s="1" t="s">
        <v>1621</v>
      </c>
      <c r="D423" s="4" t="s">
        <v>655</v>
      </c>
      <c r="E423" s="16">
        <v>2366</v>
      </c>
      <c r="F423" s="81">
        <v>18.7</v>
      </c>
    </row>
    <row r="424" spans="1:8" ht="11.25" customHeight="1" x14ac:dyDescent="0.2">
      <c r="C424" s="1" t="s">
        <v>2318</v>
      </c>
      <c r="E424" s="155" t="s">
        <v>1213</v>
      </c>
      <c r="F424" s="158">
        <v>100</v>
      </c>
      <c r="G424" s="155">
        <v>22665</v>
      </c>
      <c r="H424" s="164">
        <v>56.05</v>
      </c>
    </row>
    <row r="425" spans="1:8" ht="11.25" customHeight="1" x14ac:dyDescent="0.2">
      <c r="C425" s="1" t="s">
        <v>2318</v>
      </c>
    </row>
    <row r="426" spans="1:8" ht="11.25" customHeight="1" x14ac:dyDescent="0.2">
      <c r="A426" s="1" t="s">
        <v>1978</v>
      </c>
      <c r="C426" s="2" t="s">
        <v>2516</v>
      </c>
      <c r="D426" s="4" t="s">
        <v>1736</v>
      </c>
      <c r="E426" s="16">
        <v>8383</v>
      </c>
      <c r="F426" s="81">
        <v>61.6</v>
      </c>
    </row>
    <row r="427" spans="1:8" ht="11.25" customHeight="1" x14ac:dyDescent="0.2">
      <c r="C427" s="1" t="s">
        <v>1622</v>
      </c>
      <c r="D427" s="4" t="s">
        <v>487</v>
      </c>
      <c r="E427" s="16">
        <v>683</v>
      </c>
      <c r="F427" s="81">
        <v>5</v>
      </c>
    </row>
    <row r="428" spans="1:8" ht="11.25" customHeight="1" x14ac:dyDescent="0.2">
      <c r="C428" s="1" t="s">
        <v>1623</v>
      </c>
      <c r="D428" s="4" t="s">
        <v>1072</v>
      </c>
      <c r="E428" s="16">
        <v>3378</v>
      </c>
      <c r="F428" s="81">
        <v>24.8</v>
      </c>
    </row>
    <row r="429" spans="1:8" ht="11.25" customHeight="1" x14ac:dyDescent="0.2">
      <c r="C429" s="1" t="s">
        <v>1268</v>
      </c>
      <c r="D429" s="4" t="s">
        <v>1071</v>
      </c>
      <c r="E429" s="16">
        <v>815</v>
      </c>
      <c r="F429" s="81">
        <v>6</v>
      </c>
    </row>
    <row r="430" spans="1:8" ht="11.25" customHeight="1" x14ac:dyDescent="0.2">
      <c r="C430" s="1" t="s">
        <v>1624</v>
      </c>
      <c r="D430" s="4" t="s">
        <v>655</v>
      </c>
      <c r="E430" s="16">
        <v>355</v>
      </c>
      <c r="F430" s="81">
        <v>2.6</v>
      </c>
    </row>
    <row r="431" spans="1:8" ht="11.25" customHeight="1" x14ac:dyDescent="0.2">
      <c r="C431" s="1" t="s">
        <v>2318</v>
      </c>
      <c r="E431" s="155" t="s">
        <v>1214</v>
      </c>
      <c r="F431" s="158">
        <v>100</v>
      </c>
      <c r="G431" s="155">
        <v>20413</v>
      </c>
      <c r="H431" s="164">
        <v>66.8</v>
      </c>
    </row>
    <row r="432" spans="1:8" ht="11.25" customHeight="1" x14ac:dyDescent="0.2">
      <c r="C432" s="1" t="s">
        <v>2318</v>
      </c>
    </row>
    <row r="433" spans="1:8" ht="11.25" customHeight="1" x14ac:dyDescent="0.2">
      <c r="A433" s="4" t="s">
        <v>415</v>
      </c>
      <c r="C433" s="1" t="s">
        <v>1625</v>
      </c>
      <c r="D433" s="4" t="s">
        <v>1072</v>
      </c>
      <c r="E433" s="16">
        <v>2402</v>
      </c>
      <c r="F433" s="81">
        <v>33</v>
      </c>
    </row>
    <row r="434" spans="1:8" ht="11.25" customHeight="1" x14ac:dyDescent="0.2">
      <c r="C434" s="1" t="s">
        <v>1626</v>
      </c>
      <c r="D434" s="4" t="s">
        <v>655</v>
      </c>
      <c r="E434" s="16">
        <v>1192</v>
      </c>
      <c r="F434" s="81">
        <v>16.399999999999999</v>
      </c>
    </row>
    <row r="435" spans="1:8" ht="11.25" customHeight="1" x14ac:dyDescent="0.2">
      <c r="C435" s="2" t="s">
        <v>1627</v>
      </c>
      <c r="D435" s="4" t="s">
        <v>1736</v>
      </c>
      <c r="E435" s="16">
        <v>3156</v>
      </c>
      <c r="F435" s="81">
        <v>43.4</v>
      </c>
    </row>
    <row r="436" spans="1:8" ht="11.25" customHeight="1" x14ac:dyDescent="0.2">
      <c r="C436" s="1" t="s">
        <v>1628</v>
      </c>
      <c r="D436" s="4" t="s">
        <v>487</v>
      </c>
      <c r="E436" s="16">
        <v>526</v>
      </c>
      <c r="F436" s="81">
        <v>7.2</v>
      </c>
    </row>
    <row r="437" spans="1:8" ht="11.25" customHeight="1" x14ac:dyDescent="0.2">
      <c r="C437" s="1" t="s">
        <v>2318</v>
      </c>
      <c r="E437" s="155" t="s">
        <v>1215</v>
      </c>
      <c r="F437" s="158">
        <v>100</v>
      </c>
      <c r="G437" s="155">
        <v>14660</v>
      </c>
      <c r="H437" s="164">
        <v>49.8</v>
      </c>
    </row>
    <row r="438" spans="1:8" ht="11.25" customHeight="1" x14ac:dyDescent="0.2">
      <c r="C438" s="1" t="s">
        <v>2318</v>
      </c>
    </row>
    <row r="439" spans="1:8" ht="11.25" customHeight="1" x14ac:dyDescent="0.2">
      <c r="A439" s="4" t="s">
        <v>367</v>
      </c>
      <c r="C439" s="1" t="s">
        <v>1629</v>
      </c>
      <c r="D439" s="4" t="s">
        <v>653</v>
      </c>
      <c r="E439" s="16">
        <v>640</v>
      </c>
      <c r="F439" s="81">
        <v>6</v>
      </c>
    </row>
    <row r="440" spans="1:8" ht="11.25" customHeight="1" x14ac:dyDescent="0.2">
      <c r="C440" s="2" t="s">
        <v>1630</v>
      </c>
      <c r="D440" s="4" t="s">
        <v>1736</v>
      </c>
      <c r="E440" s="16">
        <v>4843</v>
      </c>
      <c r="F440" s="81">
        <v>45.5</v>
      </c>
    </row>
    <row r="441" spans="1:8" ht="11.25" customHeight="1" x14ac:dyDescent="0.2">
      <c r="C441" s="1" t="s">
        <v>1631</v>
      </c>
      <c r="D441" s="4" t="s">
        <v>655</v>
      </c>
      <c r="E441" s="16">
        <v>930</v>
      </c>
      <c r="F441" s="81">
        <v>8.6999999999999993</v>
      </c>
    </row>
    <row r="442" spans="1:8" ht="11.25" customHeight="1" x14ac:dyDescent="0.2">
      <c r="C442" s="1" t="s">
        <v>1632</v>
      </c>
      <c r="D442" s="4" t="s">
        <v>1072</v>
      </c>
      <c r="E442" s="16">
        <v>4231</v>
      </c>
      <c r="F442" s="81">
        <v>39.799999999999997</v>
      </c>
    </row>
    <row r="443" spans="1:8" ht="11.25" customHeight="1" x14ac:dyDescent="0.2">
      <c r="C443" s="1" t="s">
        <v>2318</v>
      </c>
      <c r="E443" s="155" t="s">
        <v>1216</v>
      </c>
      <c r="F443" s="158">
        <v>100</v>
      </c>
      <c r="G443" s="155">
        <v>15440</v>
      </c>
      <c r="H443" s="164">
        <v>69.2</v>
      </c>
    </row>
    <row r="444" spans="1:8" ht="11.25" customHeight="1" x14ac:dyDescent="0.2">
      <c r="C444" s="1" t="s">
        <v>2318</v>
      </c>
    </row>
    <row r="445" spans="1:8" ht="11.25" customHeight="1" x14ac:dyDescent="0.2">
      <c r="A445" s="1" t="s">
        <v>420</v>
      </c>
      <c r="C445" s="1" t="s">
        <v>2523</v>
      </c>
      <c r="D445" s="4" t="s">
        <v>655</v>
      </c>
      <c r="E445" s="16">
        <v>747</v>
      </c>
      <c r="F445" s="81">
        <v>8</v>
      </c>
    </row>
    <row r="446" spans="1:8" ht="11.25" customHeight="1" x14ac:dyDescent="0.2">
      <c r="C446" s="1" t="s">
        <v>1633</v>
      </c>
      <c r="D446" s="4" t="s">
        <v>653</v>
      </c>
      <c r="E446" s="16">
        <v>240</v>
      </c>
      <c r="F446" s="81">
        <v>2.6</v>
      </c>
    </row>
    <row r="447" spans="1:8" ht="11.25" customHeight="1" x14ac:dyDescent="0.2">
      <c r="C447" s="2" t="s">
        <v>1634</v>
      </c>
      <c r="D447" s="4" t="s">
        <v>1736</v>
      </c>
      <c r="E447" s="16">
        <v>5977</v>
      </c>
      <c r="F447" s="81">
        <v>63.6</v>
      </c>
    </row>
    <row r="448" spans="1:8" ht="11.25" customHeight="1" x14ac:dyDescent="0.2">
      <c r="C448" s="1" t="s">
        <v>1635</v>
      </c>
      <c r="D448" s="4" t="s">
        <v>487</v>
      </c>
      <c r="E448" s="16">
        <v>585</v>
      </c>
      <c r="F448" s="81">
        <v>6.2</v>
      </c>
    </row>
    <row r="449" spans="1:8" ht="11.25" customHeight="1" x14ac:dyDescent="0.2">
      <c r="C449" s="1" t="s">
        <v>1636</v>
      </c>
      <c r="D449" s="4" t="s">
        <v>1072</v>
      </c>
      <c r="E449" s="16">
        <v>1841</v>
      </c>
      <c r="F449" s="81">
        <v>19.600000000000001</v>
      </c>
    </row>
    <row r="450" spans="1:8" ht="11.25" customHeight="1" x14ac:dyDescent="0.2">
      <c r="C450" s="1" t="s">
        <v>2318</v>
      </c>
      <c r="E450" s="155" t="s">
        <v>1217</v>
      </c>
      <c r="F450" s="158">
        <v>100</v>
      </c>
      <c r="G450" s="155">
        <v>14279</v>
      </c>
      <c r="H450" s="164">
        <v>65.94</v>
      </c>
    </row>
    <row r="451" spans="1:8" ht="11.25" customHeight="1" x14ac:dyDescent="0.2">
      <c r="C451" s="1" t="s">
        <v>2318</v>
      </c>
    </row>
    <row r="452" spans="1:8" ht="11.25" customHeight="1" x14ac:dyDescent="0.2">
      <c r="A452" s="1" t="s">
        <v>425</v>
      </c>
      <c r="C452" s="1" t="s">
        <v>1637</v>
      </c>
      <c r="D452" s="4" t="s">
        <v>1072</v>
      </c>
      <c r="E452" s="16">
        <v>2888</v>
      </c>
      <c r="F452" s="81">
        <v>29.7</v>
      </c>
    </row>
    <row r="453" spans="1:8" ht="11.25" customHeight="1" x14ac:dyDescent="0.2">
      <c r="C453" s="2" t="s">
        <v>1638</v>
      </c>
      <c r="D453" s="4" t="s">
        <v>1736</v>
      </c>
      <c r="E453" s="16">
        <v>5402</v>
      </c>
      <c r="F453" s="81">
        <v>55.6</v>
      </c>
    </row>
    <row r="454" spans="1:8" ht="11.25" customHeight="1" x14ac:dyDescent="0.2">
      <c r="C454" s="1" t="s">
        <v>1639</v>
      </c>
      <c r="D454" s="4" t="s">
        <v>488</v>
      </c>
      <c r="E454" s="16">
        <v>104</v>
      </c>
      <c r="F454" s="81">
        <v>1.1000000000000001</v>
      </c>
    </row>
    <row r="455" spans="1:8" ht="11.25" customHeight="1" x14ac:dyDescent="0.2">
      <c r="C455" s="1" t="s">
        <v>1640</v>
      </c>
      <c r="D455" s="4" t="s">
        <v>655</v>
      </c>
      <c r="E455" s="16">
        <v>762</v>
      </c>
      <c r="F455" s="81">
        <v>7.8</v>
      </c>
    </row>
    <row r="456" spans="1:8" ht="11.25" customHeight="1" x14ac:dyDescent="0.2">
      <c r="C456" s="1" t="s">
        <v>1641</v>
      </c>
      <c r="D456" s="4" t="s">
        <v>1071</v>
      </c>
      <c r="E456" s="16">
        <v>559</v>
      </c>
      <c r="F456" s="81">
        <v>5.8</v>
      </c>
    </row>
    <row r="457" spans="1:8" ht="11.25" customHeight="1" x14ac:dyDescent="0.2">
      <c r="C457" s="1" t="s">
        <v>2318</v>
      </c>
      <c r="E457" s="155" t="s">
        <v>1218</v>
      </c>
      <c r="F457" s="158">
        <v>100</v>
      </c>
      <c r="G457" s="155">
        <v>18937</v>
      </c>
      <c r="H457" s="164">
        <v>51.45</v>
      </c>
    </row>
    <row r="458" spans="1:8" ht="11.25" customHeight="1" x14ac:dyDescent="0.2">
      <c r="C458" s="1" t="s">
        <v>2318</v>
      </c>
    </row>
    <row r="459" spans="1:8" ht="11.25" customHeight="1" x14ac:dyDescent="0.2">
      <c r="A459" s="1" t="s">
        <v>430</v>
      </c>
      <c r="C459" s="1" t="s">
        <v>1642</v>
      </c>
      <c r="D459" s="4" t="s">
        <v>488</v>
      </c>
      <c r="E459" s="16">
        <v>116</v>
      </c>
      <c r="F459" s="81">
        <v>1</v>
      </c>
    </row>
    <row r="460" spans="1:8" ht="11.25" customHeight="1" x14ac:dyDescent="0.2">
      <c r="C460" s="2" t="s">
        <v>1643</v>
      </c>
      <c r="D460" s="4" t="s">
        <v>1736</v>
      </c>
      <c r="E460" s="16">
        <v>5663</v>
      </c>
      <c r="F460" s="81">
        <v>46.5</v>
      </c>
    </row>
    <row r="461" spans="1:8" ht="11.25" customHeight="1" x14ac:dyDescent="0.2">
      <c r="C461" s="1" t="s">
        <v>1644</v>
      </c>
      <c r="D461" s="4" t="s">
        <v>655</v>
      </c>
      <c r="E461" s="16">
        <v>639</v>
      </c>
      <c r="F461" s="81">
        <v>5.2</v>
      </c>
    </row>
    <row r="462" spans="1:8" ht="11.25" customHeight="1" x14ac:dyDescent="0.2">
      <c r="C462" s="1" t="s">
        <v>1645</v>
      </c>
      <c r="D462" s="4" t="s">
        <v>1072</v>
      </c>
      <c r="E462" s="16">
        <v>4879</v>
      </c>
      <c r="F462" s="81">
        <v>40.1</v>
      </c>
    </row>
    <row r="463" spans="1:8" ht="11.25" customHeight="1" x14ac:dyDescent="0.2">
      <c r="C463" s="1" t="s">
        <v>1646</v>
      </c>
      <c r="D463" s="4" t="s">
        <v>1071</v>
      </c>
      <c r="E463" s="16">
        <v>882</v>
      </c>
      <c r="F463" s="81">
        <v>7.2</v>
      </c>
    </row>
    <row r="464" spans="1:8" ht="11.25" customHeight="1" x14ac:dyDescent="0.2">
      <c r="C464" s="1" t="s">
        <v>2318</v>
      </c>
      <c r="E464" s="155" t="s">
        <v>1219</v>
      </c>
      <c r="F464" s="158">
        <v>100</v>
      </c>
      <c r="G464" s="155">
        <v>20180</v>
      </c>
      <c r="H464" s="164">
        <v>60.45</v>
      </c>
    </row>
    <row r="465" spans="1:8" ht="11.25" customHeight="1" x14ac:dyDescent="0.2">
      <c r="C465" s="1" t="s">
        <v>2318</v>
      </c>
    </row>
    <row r="466" spans="1:8" ht="11.25" customHeight="1" x14ac:dyDescent="0.2">
      <c r="A466" s="1" t="s">
        <v>436</v>
      </c>
      <c r="C466" s="2" t="s">
        <v>1647</v>
      </c>
      <c r="D466" s="4" t="s">
        <v>1072</v>
      </c>
      <c r="E466" s="16">
        <v>6429</v>
      </c>
      <c r="F466" s="81">
        <v>51.4</v>
      </c>
    </row>
    <row r="467" spans="1:8" ht="11.25" customHeight="1" x14ac:dyDescent="0.2">
      <c r="C467" s="1" t="s">
        <v>1648</v>
      </c>
      <c r="D467" s="4" t="s">
        <v>488</v>
      </c>
      <c r="E467" s="16">
        <v>196</v>
      </c>
      <c r="F467" s="81">
        <v>1.6</v>
      </c>
    </row>
    <row r="468" spans="1:8" ht="11.25" customHeight="1" x14ac:dyDescent="0.2">
      <c r="C468" s="1" t="s">
        <v>1649</v>
      </c>
      <c r="D468" s="4" t="s">
        <v>655</v>
      </c>
      <c r="E468" s="16">
        <v>1306</v>
      </c>
      <c r="F468" s="81">
        <v>10.4</v>
      </c>
    </row>
    <row r="469" spans="1:8" ht="11.25" customHeight="1" x14ac:dyDescent="0.2">
      <c r="C469" s="1" t="s">
        <v>1650</v>
      </c>
      <c r="D469" s="4" t="s">
        <v>1736</v>
      </c>
      <c r="E469" s="16">
        <v>4582</v>
      </c>
      <c r="F469" s="81">
        <v>36.6</v>
      </c>
    </row>
    <row r="470" spans="1:8" ht="11.25" customHeight="1" x14ac:dyDescent="0.2">
      <c r="C470" s="1" t="s">
        <v>2318</v>
      </c>
      <c r="E470" s="155" t="s">
        <v>1220</v>
      </c>
      <c r="F470" s="158">
        <v>100</v>
      </c>
      <c r="G470" s="155">
        <v>19775</v>
      </c>
      <c r="H470" s="164">
        <v>63.39</v>
      </c>
    </row>
    <row r="471" spans="1:8" ht="11.25" customHeight="1" x14ac:dyDescent="0.2">
      <c r="C471" s="1" t="s">
        <v>2318</v>
      </c>
    </row>
    <row r="472" spans="1:8" ht="11.25" customHeight="1" x14ac:dyDescent="0.2">
      <c r="A472" s="1" t="s">
        <v>441</v>
      </c>
      <c r="C472" s="1" t="s">
        <v>442</v>
      </c>
      <c r="D472" s="4" t="s">
        <v>1071</v>
      </c>
      <c r="E472" s="16">
        <v>2330</v>
      </c>
      <c r="F472" s="81">
        <v>25</v>
      </c>
    </row>
    <row r="473" spans="1:8" ht="11.25" customHeight="1" x14ac:dyDescent="0.2">
      <c r="C473" s="1" t="s">
        <v>1651</v>
      </c>
      <c r="D473" s="4" t="s">
        <v>655</v>
      </c>
      <c r="E473" s="16">
        <v>604</v>
      </c>
      <c r="F473" s="81">
        <v>6.5</v>
      </c>
    </row>
    <row r="474" spans="1:8" ht="11.25" customHeight="1" x14ac:dyDescent="0.2">
      <c r="C474" s="2" t="s">
        <v>1652</v>
      </c>
      <c r="D474" s="4" t="s">
        <v>1736</v>
      </c>
      <c r="E474" s="16">
        <v>5192</v>
      </c>
      <c r="F474" s="81">
        <v>55.8</v>
      </c>
    </row>
    <row r="475" spans="1:8" ht="11.25" customHeight="1" x14ac:dyDescent="0.2">
      <c r="C475" s="1" t="s">
        <v>1653</v>
      </c>
      <c r="D475" s="4" t="s">
        <v>1072</v>
      </c>
      <c r="E475" s="16">
        <v>1181</v>
      </c>
      <c r="F475" s="81">
        <v>12.7</v>
      </c>
    </row>
    <row r="476" spans="1:8" ht="11.25" customHeight="1" x14ac:dyDescent="0.2">
      <c r="C476" s="1" t="s">
        <v>2318</v>
      </c>
      <c r="E476" s="155" t="s">
        <v>1221</v>
      </c>
      <c r="F476" s="158">
        <v>100</v>
      </c>
      <c r="G476" s="155">
        <v>15062</v>
      </c>
      <c r="H476" s="164">
        <v>61.9</v>
      </c>
    </row>
    <row r="477" spans="1:8" ht="11.25" customHeight="1" x14ac:dyDescent="0.2">
      <c r="C477" s="1" t="s">
        <v>2318</v>
      </c>
    </row>
    <row r="478" spans="1:8" ht="11.25" customHeight="1" x14ac:dyDescent="0.2">
      <c r="A478" s="1" t="s">
        <v>446</v>
      </c>
      <c r="C478" s="1" t="s">
        <v>1654</v>
      </c>
      <c r="D478" s="4" t="s">
        <v>655</v>
      </c>
      <c r="E478" s="16">
        <v>1031</v>
      </c>
      <c r="F478" s="81">
        <v>7.2</v>
      </c>
    </row>
    <row r="479" spans="1:8" ht="11.25" customHeight="1" x14ac:dyDescent="0.2">
      <c r="C479" s="2" t="s">
        <v>1655</v>
      </c>
      <c r="D479" s="4" t="s">
        <v>1072</v>
      </c>
      <c r="E479" s="16">
        <v>7267</v>
      </c>
      <c r="F479" s="81">
        <v>51</v>
      </c>
    </row>
    <row r="480" spans="1:8" ht="11.25" customHeight="1" x14ac:dyDescent="0.2">
      <c r="C480" s="1" t="s">
        <v>1656</v>
      </c>
      <c r="D480" s="4" t="s">
        <v>1736</v>
      </c>
      <c r="E480" s="16">
        <v>5746</v>
      </c>
      <c r="F480" s="81">
        <v>40.4</v>
      </c>
    </row>
    <row r="481" spans="1:8" ht="11.25" customHeight="1" x14ac:dyDescent="0.2">
      <c r="C481" s="1" t="s">
        <v>1657</v>
      </c>
      <c r="D481" s="4" t="s">
        <v>488</v>
      </c>
      <c r="E481" s="16">
        <v>199</v>
      </c>
      <c r="F481" s="81">
        <v>1.4</v>
      </c>
    </row>
    <row r="482" spans="1:8" ht="11.25" customHeight="1" x14ac:dyDescent="0.2">
      <c r="C482" s="1" t="s">
        <v>2318</v>
      </c>
      <c r="E482" s="155" t="s">
        <v>1222</v>
      </c>
      <c r="F482" s="158">
        <v>100</v>
      </c>
      <c r="G482" s="155">
        <v>23045</v>
      </c>
      <c r="H482" s="164">
        <v>61.91</v>
      </c>
    </row>
    <row r="483" spans="1:8" ht="11.25" customHeight="1" x14ac:dyDescent="0.2">
      <c r="C483" s="1" t="s">
        <v>2318</v>
      </c>
    </row>
    <row r="484" spans="1:8" ht="11.25" customHeight="1" x14ac:dyDescent="0.2">
      <c r="A484" s="1" t="s">
        <v>905</v>
      </c>
      <c r="C484" s="2" t="s">
        <v>1043</v>
      </c>
      <c r="D484" s="4" t="s">
        <v>1072</v>
      </c>
      <c r="E484" s="16">
        <v>7798</v>
      </c>
      <c r="F484" s="81">
        <v>47</v>
      </c>
    </row>
    <row r="485" spans="1:8" ht="11.25" customHeight="1" x14ac:dyDescent="0.2">
      <c r="C485" s="1" t="s">
        <v>1658</v>
      </c>
      <c r="D485" s="4" t="s">
        <v>1736</v>
      </c>
      <c r="E485" s="16">
        <v>6704</v>
      </c>
      <c r="F485" s="82">
        <v>40.4</v>
      </c>
    </row>
    <row r="486" spans="1:8" ht="11.25" customHeight="1" x14ac:dyDescent="0.2">
      <c r="C486" s="1" t="s">
        <v>1659</v>
      </c>
      <c r="D486" s="3" t="s">
        <v>655</v>
      </c>
      <c r="E486" s="17">
        <v>1955</v>
      </c>
      <c r="F486" s="83">
        <v>11.7</v>
      </c>
      <c r="G486" s="17"/>
    </row>
    <row r="487" spans="1:8" ht="11.25" customHeight="1" x14ac:dyDescent="0.2">
      <c r="C487" s="1" t="s">
        <v>1660</v>
      </c>
      <c r="D487" s="4" t="s">
        <v>488</v>
      </c>
      <c r="E487" s="16">
        <v>147</v>
      </c>
      <c r="F487" s="82">
        <v>0.9</v>
      </c>
    </row>
    <row r="488" spans="1:8" ht="11.25" customHeight="1" x14ac:dyDescent="0.2">
      <c r="C488" s="1" t="s">
        <v>2318</v>
      </c>
      <c r="E488" s="155" t="s">
        <v>1223</v>
      </c>
      <c r="F488" s="158">
        <v>100</v>
      </c>
      <c r="G488" s="155">
        <v>24952</v>
      </c>
      <c r="H488" s="164">
        <v>66.650000000000006</v>
      </c>
    </row>
    <row r="489" spans="1:8" ht="11.25" customHeight="1" x14ac:dyDescent="0.2">
      <c r="C489" s="4" t="s">
        <v>2318</v>
      </c>
      <c r="E489" s="19"/>
      <c r="F489" s="82"/>
      <c r="G489" s="19"/>
    </row>
    <row r="490" spans="1:8" ht="11.25" customHeight="1" x14ac:dyDescent="0.2">
      <c r="A490" s="77" t="s">
        <v>1290</v>
      </c>
      <c r="B490" s="77"/>
      <c r="C490" s="77" t="s">
        <v>1661</v>
      </c>
      <c r="D490" s="78" t="s">
        <v>488</v>
      </c>
      <c r="E490" s="88">
        <v>132</v>
      </c>
      <c r="F490" s="84">
        <v>1.2</v>
      </c>
      <c r="G490" s="88"/>
      <c r="H490" s="84"/>
    </row>
    <row r="491" spans="1:8" ht="11.25" customHeight="1" x14ac:dyDescent="0.2">
      <c r="A491" s="123" t="s">
        <v>446</v>
      </c>
      <c r="B491" s="5"/>
      <c r="C491" s="5" t="s">
        <v>1662</v>
      </c>
      <c r="D491" s="67" t="s">
        <v>655</v>
      </c>
      <c r="E491" s="27">
        <v>813</v>
      </c>
      <c r="F491" s="85">
        <v>7.3</v>
      </c>
      <c r="G491" s="27"/>
      <c r="H491" s="85"/>
    </row>
    <row r="492" spans="1:8" ht="11.25" customHeight="1" x14ac:dyDescent="0.2">
      <c r="A492" s="5"/>
      <c r="B492" s="5"/>
      <c r="C492" s="5" t="s">
        <v>1663</v>
      </c>
      <c r="D492" s="67" t="s">
        <v>1736</v>
      </c>
      <c r="E492" s="27">
        <v>4428</v>
      </c>
      <c r="F492" s="85">
        <v>39.6</v>
      </c>
      <c r="G492" s="27"/>
      <c r="H492" s="85"/>
    </row>
    <row r="493" spans="1:8" ht="11.25" customHeight="1" x14ac:dyDescent="0.2">
      <c r="C493" s="2" t="s">
        <v>1664</v>
      </c>
      <c r="D493" s="4" t="s">
        <v>1072</v>
      </c>
      <c r="E493" s="16">
        <v>5811</v>
      </c>
      <c r="F493" s="81">
        <v>51.9</v>
      </c>
    </row>
    <row r="494" spans="1:8" ht="11.25" customHeight="1" x14ac:dyDescent="0.2">
      <c r="A494" s="4"/>
      <c r="B494" s="4"/>
      <c r="C494" s="1" t="s">
        <v>2318</v>
      </c>
      <c r="E494" s="155" t="s">
        <v>1224</v>
      </c>
      <c r="F494" s="158">
        <v>100</v>
      </c>
      <c r="G494" s="155">
        <v>19354</v>
      </c>
      <c r="H494" s="164">
        <v>57.88</v>
      </c>
    </row>
    <row r="495" spans="1:8" ht="11.25" customHeight="1" x14ac:dyDescent="0.2">
      <c r="A495" s="68"/>
      <c r="B495" s="68"/>
      <c r="C495" s="68" t="s">
        <v>2318</v>
      </c>
      <c r="D495" s="68"/>
      <c r="E495" s="124"/>
      <c r="F495" s="83"/>
      <c r="G495" s="124"/>
      <c r="H495" s="83"/>
    </row>
    <row r="496" spans="1:8" ht="11.25" customHeight="1" x14ac:dyDescent="0.2">
      <c r="A496" s="69" t="s">
        <v>2545</v>
      </c>
      <c r="B496" s="69"/>
      <c r="C496" s="69" t="s">
        <v>1665</v>
      </c>
      <c r="D496" s="69" t="s">
        <v>488</v>
      </c>
      <c r="E496" s="125">
        <v>133</v>
      </c>
      <c r="F496" s="132">
        <v>1.1000000000000001</v>
      </c>
      <c r="G496" s="125"/>
      <c r="H496" s="132"/>
    </row>
    <row r="497" spans="1:8" ht="11.25" customHeight="1" x14ac:dyDescent="0.2">
      <c r="C497" s="1" t="s">
        <v>1666</v>
      </c>
      <c r="D497" s="4" t="s">
        <v>655</v>
      </c>
      <c r="E497" s="16">
        <v>1481</v>
      </c>
      <c r="F497" s="81">
        <v>12.6</v>
      </c>
    </row>
    <row r="498" spans="1:8" ht="11.25" customHeight="1" x14ac:dyDescent="0.2">
      <c r="C498" s="1" t="s">
        <v>1667</v>
      </c>
      <c r="D498" s="4" t="s">
        <v>1071</v>
      </c>
      <c r="E498" s="16">
        <v>674</v>
      </c>
      <c r="F498" s="81">
        <v>5.8</v>
      </c>
    </row>
    <row r="499" spans="1:8" ht="11.25" customHeight="1" x14ac:dyDescent="0.2">
      <c r="C499" s="1" t="s">
        <v>1668</v>
      </c>
      <c r="D499" s="4" t="s">
        <v>1072</v>
      </c>
      <c r="E499" s="16">
        <v>4607</v>
      </c>
      <c r="F499" s="81">
        <v>39.200000000000003</v>
      </c>
    </row>
    <row r="500" spans="1:8" ht="11.25" customHeight="1" x14ac:dyDescent="0.2">
      <c r="C500" s="2" t="s">
        <v>1669</v>
      </c>
      <c r="D500" s="4" t="s">
        <v>1736</v>
      </c>
      <c r="E500" s="16">
        <v>4855</v>
      </c>
      <c r="F500" s="81">
        <v>41.3</v>
      </c>
    </row>
    <row r="501" spans="1:8" ht="11.25" customHeight="1" x14ac:dyDescent="0.2">
      <c r="C501" s="1" t="s">
        <v>2318</v>
      </c>
      <c r="E501" s="155" t="s">
        <v>1225</v>
      </c>
      <c r="F501" s="158">
        <v>100</v>
      </c>
      <c r="G501" s="155">
        <v>19569</v>
      </c>
      <c r="H501" s="164">
        <v>60.12</v>
      </c>
    </row>
    <row r="502" spans="1:8" ht="11.25" customHeight="1" x14ac:dyDescent="0.2">
      <c r="C502" s="1" t="s">
        <v>2318</v>
      </c>
    </row>
    <row r="503" spans="1:8" ht="11.25" customHeight="1" x14ac:dyDescent="0.2">
      <c r="A503" s="1" t="s">
        <v>1979</v>
      </c>
      <c r="C503" s="1" t="s">
        <v>1670</v>
      </c>
      <c r="D503" s="4" t="s">
        <v>1072</v>
      </c>
      <c r="E503" s="16">
        <v>2723</v>
      </c>
      <c r="F503" s="81">
        <v>29.4</v>
      </c>
    </row>
    <row r="504" spans="1:8" ht="11.25" customHeight="1" x14ac:dyDescent="0.2">
      <c r="C504" s="1" t="s">
        <v>2187</v>
      </c>
      <c r="D504" s="4" t="s">
        <v>655</v>
      </c>
      <c r="E504" s="16">
        <v>433</v>
      </c>
      <c r="F504" s="81">
        <v>4.7</v>
      </c>
    </row>
    <row r="505" spans="1:8" ht="11.25" customHeight="1" x14ac:dyDescent="0.2">
      <c r="C505" s="2" t="s">
        <v>2188</v>
      </c>
      <c r="D505" s="4" t="s">
        <v>1736</v>
      </c>
      <c r="E505" s="16">
        <v>5544</v>
      </c>
      <c r="F505" s="81">
        <v>59.8</v>
      </c>
    </row>
    <row r="506" spans="1:8" ht="11.25" customHeight="1" x14ac:dyDescent="0.2">
      <c r="C506" s="1" t="s">
        <v>2189</v>
      </c>
      <c r="D506" s="4" t="s">
        <v>1071</v>
      </c>
      <c r="E506" s="16">
        <v>564</v>
      </c>
      <c r="F506" s="81">
        <v>6.1</v>
      </c>
    </row>
    <row r="507" spans="1:8" ht="11.25" customHeight="1" x14ac:dyDescent="0.2">
      <c r="C507" s="1" t="s">
        <v>2318</v>
      </c>
      <c r="E507" s="155" t="s">
        <v>1226</v>
      </c>
      <c r="F507" s="158">
        <v>100</v>
      </c>
      <c r="G507" s="155">
        <v>15572</v>
      </c>
      <c r="H507" s="164">
        <v>59.62</v>
      </c>
    </row>
    <row r="508" spans="1:8" ht="11.25" customHeight="1" x14ac:dyDescent="0.2">
      <c r="C508" s="1" t="s">
        <v>2318</v>
      </c>
    </row>
    <row r="509" spans="1:8" ht="11.25" customHeight="1" x14ac:dyDescent="0.2">
      <c r="A509" s="1" t="s">
        <v>1981</v>
      </c>
      <c r="C509" s="2" t="s">
        <v>1004</v>
      </c>
      <c r="D509" s="4" t="s">
        <v>1736</v>
      </c>
      <c r="E509" s="16">
        <v>5666</v>
      </c>
      <c r="F509" s="81">
        <v>51.2</v>
      </c>
    </row>
    <row r="510" spans="1:8" ht="11.25" customHeight="1" x14ac:dyDescent="0.2">
      <c r="C510" s="1" t="s">
        <v>2190</v>
      </c>
      <c r="D510" s="4" t="s">
        <v>487</v>
      </c>
      <c r="E510" s="16">
        <v>118</v>
      </c>
      <c r="F510" s="81">
        <v>1.1000000000000001</v>
      </c>
    </row>
    <row r="511" spans="1:8" ht="11.25" customHeight="1" x14ac:dyDescent="0.2">
      <c r="C511" s="1" t="s">
        <v>1269</v>
      </c>
      <c r="D511" s="4" t="s">
        <v>1072</v>
      </c>
      <c r="E511" s="16">
        <v>3783</v>
      </c>
      <c r="F511" s="81">
        <v>34.200000000000003</v>
      </c>
    </row>
    <row r="512" spans="1:8" ht="11.25" customHeight="1" x14ac:dyDescent="0.2">
      <c r="C512" s="1" t="s">
        <v>2191</v>
      </c>
      <c r="D512" s="4" t="s">
        <v>489</v>
      </c>
      <c r="E512" s="16">
        <v>424</v>
      </c>
      <c r="F512" s="81">
        <v>3.8</v>
      </c>
    </row>
    <row r="513" spans="1:8" ht="11.25" customHeight="1" x14ac:dyDescent="0.2">
      <c r="C513" s="1" t="s">
        <v>2192</v>
      </c>
      <c r="D513" s="4" t="s">
        <v>1071</v>
      </c>
      <c r="E513" s="16">
        <v>517</v>
      </c>
      <c r="F513" s="81">
        <v>4.7</v>
      </c>
    </row>
    <row r="514" spans="1:8" ht="11.25" customHeight="1" x14ac:dyDescent="0.2">
      <c r="C514" s="1" t="s">
        <v>2193</v>
      </c>
      <c r="D514" s="4" t="s">
        <v>655</v>
      </c>
      <c r="E514" s="16">
        <v>553</v>
      </c>
      <c r="F514" s="81">
        <v>5</v>
      </c>
    </row>
    <row r="515" spans="1:8" ht="11.25" customHeight="1" x14ac:dyDescent="0.2">
      <c r="C515" s="1" t="s">
        <v>2318</v>
      </c>
      <c r="E515" s="155" t="s">
        <v>1227</v>
      </c>
      <c r="F515" s="158">
        <v>100</v>
      </c>
      <c r="G515" s="155">
        <v>17929</v>
      </c>
      <c r="H515" s="164">
        <v>61.86</v>
      </c>
    </row>
    <row r="516" spans="1:8" ht="11.25" customHeight="1" x14ac:dyDescent="0.2">
      <c r="C516" s="1" t="s">
        <v>2318</v>
      </c>
    </row>
    <row r="517" spans="1:8" ht="11.25" customHeight="1" x14ac:dyDescent="0.2">
      <c r="A517" s="1" t="s">
        <v>2555</v>
      </c>
      <c r="C517" s="1" t="s">
        <v>2380</v>
      </c>
      <c r="D517" s="4" t="s">
        <v>655</v>
      </c>
      <c r="E517" s="16">
        <v>4150</v>
      </c>
      <c r="F517" s="81">
        <v>30.8</v>
      </c>
    </row>
    <row r="518" spans="1:8" ht="11.25" customHeight="1" x14ac:dyDescent="0.2">
      <c r="C518" s="2" t="s">
        <v>2194</v>
      </c>
      <c r="D518" s="4" t="s">
        <v>1736</v>
      </c>
      <c r="E518" s="16">
        <v>5540</v>
      </c>
      <c r="F518" s="81">
        <v>41.1</v>
      </c>
    </row>
    <row r="519" spans="1:8" ht="11.25" customHeight="1" x14ac:dyDescent="0.2">
      <c r="C519" s="1" t="s">
        <v>2195</v>
      </c>
      <c r="D519" s="4" t="s">
        <v>1072</v>
      </c>
      <c r="E519" s="16">
        <v>3797</v>
      </c>
      <c r="F519" s="81">
        <v>28.1</v>
      </c>
    </row>
    <row r="520" spans="1:8" ht="11.25" customHeight="1" x14ac:dyDescent="0.2">
      <c r="C520" s="1" t="s">
        <v>2318</v>
      </c>
      <c r="E520" s="155" t="s">
        <v>1228</v>
      </c>
      <c r="F520" s="158">
        <v>100</v>
      </c>
      <c r="G520" s="155">
        <v>19391</v>
      </c>
      <c r="H520" s="164">
        <v>69.709999999999994</v>
      </c>
    </row>
    <row r="521" spans="1:8" ht="11.25" customHeight="1" x14ac:dyDescent="0.2">
      <c r="C521" s="1" t="s">
        <v>2318</v>
      </c>
    </row>
    <row r="522" spans="1:8" ht="11.25" customHeight="1" x14ac:dyDescent="0.2">
      <c r="A522" s="1" t="s">
        <v>1982</v>
      </c>
      <c r="C522" s="1" t="s">
        <v>3084</v>
      </c>
      <c r="D522" s="4" t="s">
        <v>655</v>
      </c>
      <c r="E522" s="16">
        <v>744</v>
      </c>
      <c r="F522" s="81">
        <v>7</v>
      </c>
    </row>
    <row r="523" spans="1:8" ht="11.25" customHeight="1" x14ac:dyDescent="0.2">
      <c r="C523" s="1" t="s">
        <v>2196</v>
      </c>
      <c r="D523" s="4" t="s">
        <v>1072</v>
      </c>
      <c r="E523" s="16">
        <v>4295</v>
      </c>
      <c r="F523" s="81">
        <v>40.700000000000003</v>
      </c>
    </row>
    <row r="524" spans="1:8" ht="11.25" customHeight="1" x14ac:dyDescent="0.2">
      <c r="C524" s="2" t="s">
        <v>2197</v>
      </c>
      <c r="D524" s="4" t="s">
        <v>1736</v>
      </c>
      <c r="E524" s="16">
        <v>5524</v>
      </c>
      <c r="F524" s="81">
        <v>52.3</v>
      </c>
    </row>
    <row r="525" spans="1:8" ht="11.25" customHeight="1" x14ac:dyDescent="0.2">
      <c r="C525" s="1" t="s">
        <v>2318</v>
      </c>
      <c r="E525" s="155" t="s">
        <v>1229</v>
      </c>
      <c r="F525" s="158">
        <v>100</v>
      </c>
      <c r="G525" s="155">
        <v>17872</v>
      </c>
      <c r="H525" s="164">
        <v>59.29</v>
      </c>
    </row>
    <row r="526" spans="1:8" ht="11.25" customHeight="1" x14ac:dyDescent="0.2">
      <c r="C526" s="1" t="s">
        <v>2318</v>
      </c>
    </row>
    <row r="527" spans="1:8" ht="11.25" customHeight="1" x14ac:dyDescent="0.2">
      <c r="A527" s="1" t="s">
        <v>2564</v>
      </c>
      <c r="C527" s="2" t="s">
        <v>2198</v>
      </c>
      <c r="D527" s="4" t="s">
        <v>1736</v>
      </c>
      <c r="E527" s="16">
        <v>5294</v>
      </c>
      <c r="F527" s="81">
        <v>54.8</v>
      </c>
    </row>
    <row r="528" spans="1:8" ht="11.25" customHeight="1" x14ac:dyDescent="0.2">
      <c r="C528" s="1" t="s">
        <v>2199</v>
      </c>
      <c r="D528" s="4" t="s">
        <v>1072</v>
      </c>
      <c r="E528" s="16">
        <v>1933</v>
      </c>
      <c r="F528" s="81">
        <v>20</v>
      </c>
    </row>
    <row r="529" spans="1:8" ht="11.25" customHeight="1" x14ac:dyDescent="0.2">
      <c r="C529" s="1" t="s">
        <v>2200</v>
      </c>
      <c r="D529" s="4" t="s">
        <v>655</v>
      </c>
      <c r="E529" s="16">
        <v>674</v>
      </c>
      <c r="F529" s="81">
        <v>7</v>
      </c>
    </row>
    <row r="530" spans="1:8" ht="11.25" customHeight="1" x14ac:dyDescent="0.2">
      <c r="C530" s="1" t="s">
        <v>2201</v>
      </c>
      <c r="D530" s="4" t="s">
        <v>1071</v>
      </c>
      <c r="E530" s="16">
        <v>1760</v>
      </c>
      <c r="F530" s="81">
        <v>18.2</v>
      </c>
    </row>
    <row r="531" spans="1:8" ht="11.25" customHeight="1" x14ac:dyDescent="0.2">
      <c r="C531" s="1" t="s">
        <v>2318</v>
      </c>
      <c r="E531" s="155" t="s">
        <v>1230</v>
      </c>
      <c r="F531" s="158">
        <v>100</v>
      </c>
      <c r="G531" s="155">
        <v>15882</v>
      </c>
      <c r="H531" s="164">
        <v>60.93</v>
      </c>
    </row>
    <row r="532" spans="1:8" ht="11.25" customHeight="1" x14ac:dyDescent="0.2">
      <c r="C532" s="1" t="s">
        <v>2318</v>
      </c>
    </row>
    <row r="533" spans="1:8" ht="11.25" customHeight="1" x14ac:dyDescent="0.2">
      <c r="A533" s="1" t="s">
        <v>1534</v>
      </c>
      <c r="C533" s="1" t="s">
        <v>2202</v>
      </c>
      <c r="D533" s="4" t="s">
        <v>655</v>
      </c>
      <c r="E533" s="16">
        <v>2243</v>
      </c>
      <c r="F533" s="81">
        <v>23.3</v>
      </c>
    </row>
    <row r="534" spans="1:8" ht="11.25" customHeight="1" x14ac:dyDescent="0.2">
      <c r="C534" s="1" t="s">
        <v>2203</v>
      </c>
      <c r="D534" s="4" t="s">
        <v>1736</v>
      </c>
      <c r="E534" s="16">
        <v>3101</v>
      </c>
      <c r="F534" s="81">
        <v>32.299999999999997</v>
      </c>
    </row>
    <row r="535" spans="1:8" ht="11.25" customHeight="1" x14ac:dyDescent="0.2">
      <c r="C535" s="1" t="s">
        <v>2204</v>
      </c>
      <c r="D535" s="4" t="s">
        <v>1314</v>
      </c>
      <c r="E535" s="16">
        <v>120</v>
      </c>
      <c r="F535" s="81">
        <v>1.2</v>
      </c>
    </row>
    <row r="536" spans="1:8" ht="11.25" customHeight="1" x14ac:dyDescent="0.2">
      <c r="C536" s="1" t="s">
        <v>2205</v>
      </c>
      <c r="D536" s="4" t="s">
        <v>1071</v>
      </c>
      <c r="E536" s="16">
        <v>582</v>
      </c>
      <c r="F536" s="81">
        <v>6.1</v>
      </c>
    </row>
    <row r="537" spans="1:8" ht="11.25" customHeight="1" x14ac:dyDescent="0.2">
      <c r="C537" s="2" t="s">
        <v>2206</v>
      </c>
      <c r="D537" s="4" t="s">
        <v>1072</v>
      </c>
      <c r="E537" s="16">
        <v>3562</v>
      </c>
      <c r="F537" s="81">
        <v>37.1</v>
      </c>
    </row>
    <row r="538" spans="1:8" ht="11.25" customHeight="1" x14ac:dyDescent="0.2">
      <c r="C538" s="1" t="s">
        <v>2318</v>
      </c>
      <c r="E538" s="155" t="s">
        <v>576</v>
      </c>
      <c r="F538" s="158">
        <v>100</v>
      </c>
      <c r="G538" s="155">
        <v>17367</v>
      </c>
      <c r="H538" s="164">
        <v>55.44</v>
      </c>
    </row>
    <row r="539" spans="1:8" ht="11.25" customHeight="1" x14ac:dyDescent="0.2">
      <c r="C539" s="1" t="s">
        <v>2318</v>
      </c>
    </row>
    <row r="540" spans="1:8" ht="11.25" customHeight="1" x14ac:dyDescent="0.2">
      <c r="A540" s="1" t="s">
        <v>1538</v>
      </c>
      <c r="C540" s="1" t="s">
        <v>1065</v>
      </c>
      <c r="D540" s="4" t="s">
        <v>655</v>
      </c>
      <c r="E540" s="16">
        <v>1597</v>
      </c>
      <c r="F540" s="81">
        <v>11.7</v>
      </c>
    </row>
    <row r="541" spans="1:8" ht="11.25" customHeight="1" x14ac:dyDescent="0.2">
      <c r="C541" s="1" t="s">
        <v>2207</v>
      </c>
      <c r="D541" s="4" t="s">
        <v>1071</v>
      </c>
      <c r="E541" s="16">
        <v>829</v>
      </c>
      <c r="F541" s="81">
        <v>6</v>
      </c>
    </row>
    <row r="542" spans="1:8" ht="11.25" customHeight="1" x14ac:dyDescent="0.2">
      <c r="C542" s="1" t="s">
        <v>2208</v>
      </c>
      <c r="D542" s="4" t="s">
        <v>1072</v>
      </c>
      <c r="E542" s="16">
        <v>4962</v>
      </c>
      <c r="F542" s="81">
        <v>36.299999999999997</v>
      </c>
    </row>
    <row r="543" spans="1:8" ht="11.25" customHeight="1" x14ac:dyDescent="0.2">
      <c r="C543" s="2" t="s">
        <v>2209</v>
      </c>
      <c r="D543" s="4" t="s">
        <v>1736</v>
      </c>
      <c r="E543" s="16">
        <v>6297</v>
      </c>
      <c r="F543" s="81">
        <v>46</v>
      </c>
    </row>
    <row r="544" spans="1:8" ht="11.25" customHeight="1" x14ac:dyDescent="0.2">
      <c r="C544" s="1" t="s">
        <v>2318</v>
      </c>
      <c r="E544" s="155" t="s">
        <v>577</v>
      </c>
      <c r="F544" s="158">
        <v>100</v>
      </c>
      <c r="G544" s="155">
        <v>21364</v>
      </c>
      <c r="H544" s="164">
        <v>64.180000000000007</v>
      </c>
    </row>
    <row r="545" spans="1:8" ht="11.25" customHeight="1" x14ac:dyDescent="0.2">
      <c r="C545" s="1" t="s">
        <v>2318</v>
      </c>
    </row>
    <row r="546" spans="1:8" ht="11.25" customHeight="1" x14ac:dyDescent="0.2">
      <c r="A546" s="1" t="s">
        <v>1543</v>
      </c>
      <c r="C546" s="1" t="s">
        <v>2210</v>
      </c>
      <c r="D546" s="4" t="s">
        <v>653</v>
      </c>
      <c r="E546" s="16">
        <v>218</v>
      </c>
      <c r="F546" s="81">
        <v>1.9</v>
      </c>
    </row>
    <row r="547" spans="1:8" ht="11.25" customHeight="1" x14ac:dyDescent="0.2">
      <c r="C547" s="1" t="s">
        <v>2211</v>
      </c>
      <c r="D547" s="4" t="s">
        <v>1071</v>
      </c>
      <c r="E547" s="16">
        <v>570</v>
      </c>
      <c r="F547" s="81">
        <v>4.9000000000000004</v>
      </c>
    </row>
    <row r="548" spans="1:8" ht="11.25" customHeight="1" x14ac:dyDescent="0.2">
      <c r="C548" s="1" t="s">
        <v>2212</v>
      </c>
      <c r="D548" s="4" t="s">
        <v>655</v>
      </c>
      <c r="E548" s="16">
        <v>912</v>
      </c>
      <c r="F548" s="81">
        <v>7.9</v>
      </c>
    </row>
    <row r="549" spans="1:8" ht="11.25" customHeight="1" x14ac:dyDescent="0.2">
      <c r="C549" s="1" t="s">
        <v>928</v>
      </c>
      <c r="D549" s="4" t="s">
        <v>1072</v>
      </c>
      <c r="E549" s="16">
        <v>4310</v>
      </c>
      <c r="F549" s="81">
        <v>37.1</v>
      </c>
    </row>
    <row r="550" spans="1:8" ht="11.25" customHeight="1" x14ac:dyDescent="0.2">
      <c r="C550" s="2" t="s">
        <v>929</v>
      </c>
      <c r="D550" s="4" t="s">
        <v>1736</v>
      </c>
      <c r="E550" s="16">
        <v>5600</v>
      </c>
      <c r="F550" s="81">
        <v>48.2</v>
      </c>
    </row>
    <row r="551" spans="1:8" ht="11.25" customHeight="1" x14ac:dyDescent="0.2">
      <c r="C551" s="1" t="s">
        <v>2318</v>
      </c>
      <c r="E551" s="155" t="s">
        <v>957</v>
      </c>
      <c r="F551" s="158">
        <v>100</v>
      </c>
      <c r="G551" s="155">
        <v>18285</v>
      </c>
      <c r="H551" s="164">
        <v>63.66</v>
      </c>
    </row>
    <row r="554" spans="1:8" ht="11.25" customHeight="1" x14ac:dyDescent="0.2">
      <c r="A554" s="22" t="s">
        <v>1131</v>
      </c>
      <c r="B554" s="22"/>
      <c r="C554" s="22"/>
      <c r="D554" s="65"/>
      <c r="E554" s="33" t="s">
        <v>762</v>
      </c>
      <c r="F554" s="120"/>
      <c r="G554" s="33">
        <f>SUM(G5:G553)</f>
        <v>1646729</v>
      </c>
      <c r="H554" s="122">
        <f>(989025+2447)/G554*100</f>
        <v>60.208571052067462</v>
      </c>
    </row>
    <row r="556" spans="1:8" s="5" customFormat="1" ht="11.25" customHeight="1" x14ac:dyDescent="0.2">
      <c r="A556" s="6" t="s">
        <v>1289</v>
      </c>
      <c r="B556" s="6"/>
      <c r="C556" s="8"/>
      <c r="D556" s="8"/>
      <c r="E556" s="93"/>
      <c r="F556" s="108"/>
      <c r="G556" s="99"/>
      <c r="H556" s="82"/>
    </row>
    <row r="557" spans="1:8" ht="11.25" customHeight="1" x14ac:dyDescent="0.2">
      <c r="A557" s="273" t="s">
        <v>2934</v>
      </c>
      <c r="B557" s="273"/>
      <c r="C557" s="273"/>
      <c r="D557" s="273"/>
      <c r="E557" s="273"/>
      <c r="F557" s="273"/>
      <c r="G557" s="273"/>
      <c r="H557" s="273"/>
    </row>
    <row r="558" spans="1:8" s="26" customFormat="1" ht="11.25" customHeight="1" x14ac:dyDescent="0.2">
      <c r="A558" s="274" t="s">
        <v>1303</v>
      </c>
      <c r="B558" s="274"/>
      <c r="C558" s="274"/>
      <c r="D558" s="274"/>
      <c r="E558" s="274"/>
      <c r="F558" s="274"/>
      <c r="G558" s="274"/>
      <c r="H558" s="274"/>
    </row>
    <row r="559" spans="1:8" s="26" customFormat="1" ht="11.25" customHeight="1" x14ac:dyDescent="0.2">
      <c r="A559" s="273" t="s">
        <v>2932</v>
      </c>
      <c r="B559" s="273"/>
      <c r="C559" s="273"/>
      <c r="D559" s="273"/>
      <c r="E559" s="273"/>
      <c r="F559" s="273"/>
      <c r="G559" s="273"/>
      <c r="H559" s="273"/>
    </row>
  </sheetData>
  <mergeCells count="5">
    <mergeCell ref="A557:H557"/>
    <mergeCell ref="A558:H558"/>
    <mergeCell ref="A559:H559"/>
    <mergeCell ref="A1:H1"/>
    <mergeCell ref="F2:H2"/>
  </mergeCells>
  <phoneticPr fontId="0" type="noConversion"/>
  <pageMargins left="0.5" right="0.18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4"/>
  <sheetViews>
    <sheetView zoomScaleNormal="100" workbookViewId="0">
      <pane ySplit="3" topLeftCell="A499" activePane="bottomLeft" state="frozen"/>
      <selection activeCell="D505" sqref="D1:D65536"/>
      <selection pane="bottomLeft" activeCell="I521" sqref="I521"/>
    </sheetView>
  </sheetViews>
  <sheetFormatPr defaultRowHeight="11.25" x14ac:dyDescent="0.2"/>
  <cols>
    <col min="1" max="1" width="20.7109375" style="6" customWidth="1"/>
    <col min="2" max="2" width="2.7109375" style="6" customWidth="1"/>
    <col min="3" max="3" width="20.7109375" style="9" customWidth="1"/>
    <col min="4" max="4" width="18.7109375" style="8" customWidth="1"/>
    <col min="5" max="5" width="9.7109375" style="93" customWidth="1"/>
    <col min="6" max="6" width="9.7109375" style="102" customWidth="1"/>
    <col min="7" max="7" width="8.7109375" style="96" customWidth="1"/>
    <col min="8" max="8" width="7.7109375" style="104" customWidth="1"/>
    <col min="9" max="16384" width="9.140625" style="1"/>
  </cols>
  <sheetData>
    <row r="1" spans="1:8" s="71" customFormat="1" ht="24" customHeight="1" x14ac:dyDescent="0.2">
      <c r="A1" s="270" t="s">
        <v>2332</v>
      </c>
      <c r="B1" s="270"/>
      <c r="C1" s="270"/>
      <c r="D1" s="270"/>
      <c r="E1" s="270"/>
      <c r="F1" s="270"/>
      <c r="G1" s="270"/>
      <c r="H1" s="270"/>
    </row>
    <row r="2" spans="1:8" s="46" customFormat="1" ht="42" customHeight="1" thickBot="1" x14ac:dyDescent="0.25">
      <c r="A2" s="36" t="s">
        <v>3255</v>
      </c>
      <c r="B2" s="36"/>
      <c r="C2" s="36"/>
      <c r="D2" s="75" t="s">
        <v>3254</v>
      </c>
      <c r="E2" s="86"/>
      <c r="F2" s="271" t="s">
        <v>2933</v>
      </c>
      <c r="G2" s="271"/>
      <c r="H2" s="271"/>
    </row>
    <row r="3" spans="1:8" s="57" customFormat="1" ht="52.5" customHeight="1" thickBot="1" x14ac:dyDescent="0.25">
      <c r="A3" s="58" t="s">
        <v>1284</v>
      </c>
      <c r="B3" s="59"/>
      <c r="C3" s="59" t="s">
        <v>1300</v>
      </c>
      <c r="D3" s="59" t="s">
        <v>2652</v>
      </c>
      <c r="E3" s="73" t="s">
        <v>1301</v>
      </c>
      <c r="F3" s="74" t="s">
        <v>1286</v>
      </c>
      <c r="G3" s="73" t="s">
        <v>1287</v>
      </c>
      <c r="H3" s="74" t="s">
        <v>1302</v>
      </c>
    </row>
    <row r="4" spans="1:8" s="38" customFormat="1" ht="11.25" customHeight="1" x14ac:dyDescent="0.2">
      <c r="A4" s="70"/>
      <c r="B4" s="70"/>
      <c r="C4" s="63"/>
      <c r="D4" s="142"/>
      <c r="E4" s="92"/>
      <c r="F4" s="106"/>
      <c r="G4" s="98"/>
      <c r="H4" s="107"/>
    </row>
    <row r="5" spans="1:8" s="5" customFormat="1" ht="11.25" customHeight="1" x14ac:dyDescent="0.2">
      <c r="A5" s="10" t="s">
        <v>1003</v>
      </c>
      <c r="B5" s="10"/>
      <c r="C5" s="11" t="s">
        <v>2351</v>
      </c>
      <c r="D5" s="11" t="s">
        <v>655</v>
      </c>
      <c r="E5" s="94">
        <v>482</v>
      </c>
      <c r="F5" s="109">
        <v>3.9199739752765126</v>
      </c>
      <c r="G5" s="100"/>
      <c r="H5" s="110"/>
    </row>
    <row r="6" spans="1:8" s="5" customFormat="1" ht="11.25" customHeight="1" x14ac:dyDescent="0.2">
      <c r="A6" s="10"/>
      <c r="B6" s="10"/>
      <c r="C6" s="12" t="s">
        <v>1004</v>
      </c>
      <c r="D6" s="11" t="s">
        <v>1736</v>
      </c>
      <c r="E6" s="94">
        <v>8492</v>
      </c>
      <c r="F6" s="109">
        <v>69.063109954456735</v>
      </c>
      <c r="G6" s="100"/>
      <c r="H6" s="110"/>
    </row>
    <row r="7" spans="1:8" s="5" customFormat="1" ht="11.25" customHeight="1" x14ac:dyDescent="0.2">
      <c r="A7" s="10"/>
      <c r="B7" s="10"/>
      <c r="C7" s="11" t="s">
        <v>1348</v>
      </c>
      <c r="D7" s="11" t="s">
        <v>1071</v>
      </c>
      <c r="E7" s="94">
        <v>1125</v>
      </c>
      <c r="F7" s="109">
        <v>9.149316851008459</v>
      </c>
      <c r="G7" s="100"/>
      <c r="H7" s="110"/>
    </row>
    <row r="8" spans="1:8" s="5" customFormat="1" ht="11.25" customHeight="1" x14ac:dyDescent="0.2">
      <c r="A8" s="10"/>
      <c r="B8" s="10"/>
      <c r="C8" s="11" t="s">
        <v>832</v>
      </c>
      <c r="D8" s="11" t="s">
        <v>1072</v>
      </c>
      <c r="E8" s="94">
        <v>2197</v>
      </c>
      <c r="F8" s="109">
        <v>17.867599219258295</v>
      </c>
      <c r="G8" s="100"/>
      <c r="H8" s="110"/>
    </row>
    <row r="9" spans="1:8" s="5" customFormat="1" ht="11.25" customHeight="1" x14ac:dyDescent="0.2">
      <c r="A9" s="10"/>
      <c r="B9" s="10"/>
      <c r="C9" s="11"/>
      <c r="D9" s="11" t="s">
        <v>2318</v>
      </c>
      <c r="E9" s="167" t="s">
        <v>594</v>
      </c>
      <c r="F9" s="168">
        <v>100</v>
      </c>
      <c r="G9" s="161">
        <v>22998</v>
      </c>
      <c r="H9" s="164">
        <v>53.56987564136012</v>
      </c>
    </row>
    <row r="10" spans="1:8" s="5" customFormat="1" ht="11.25" customHeight="1" x14ac:dyDescent="0.2">
      <c r="A10" s="10"/>
      <c r="B10" s="10"/>
      <c r="C10" s="11"/>
      <c r="D10" s="11"/>
      <c r="E10" s="94"/>
      <c r="F10" s="109"/>
      <c r="G10" s="100"/>
      <c r="H10" s="110"/>
    </row>
    <row r="11" spans="1:8" ht="11.25" customHeight="1" x14ac:dyDescent="0.2">
      <c r="A11" s="6" t="s">
        <v>2242</v>
      </c>
      <c r="C11" s="7" t="s">
        <v>2314</v>
      </c>
      <c r="D11" s="8" t="s">
        <v>1736</v>
      </c>
      <c r="E11" s="93">
        <v>3380</v>
      </c>
      <c r="F11" s="108">
        <v>58.998079944143832</v>
      </c>
      <c r="G11" s="99"/>
      <c r="H11" s="82"/>
    </row>
    <row r="12" spans="1:8" ht="11.25" customHeight="1" x14ac:dyDescent="0.2">
      <c r="C12" s="8" t="s">
        <v>2315</v>
      </c>
      <c r="D12" s="8" t="s">
        <v>1071</v>
      </c>
      <c r="E12" s="93">
        <v>468</v>
      </c>
      <c r="F12" s="108">
        <v>8.1689649153429933</v>
      </c>
      <c r="G12" s="99"/>
      <c r="H12" s="82"/>
    </row>
    <row r="13" spans="1:8" ht="11.25" customHeight="1" x14ac:dyDescent="0.2">
      <c r="C13" s="8" t="s">
        <v>974</v>
      </c>
      <c r="D13" s="8" t="s">
        <v>1314</v>
      </c>
      <c r="E13" s="93">
        <v>100</v>
      </c>
      <c r="F13" s="108">
        <v>1.7455053237912375</v>
      </c>
      <c r="G13" s="99"/>
      <c r="H13" s="82"/>
    </row>
    <row r="14" spans="1:8" ht="11.25" customHeight="1" x14ac:dyDescent="0.2">
      <c r="C14" s="8" t="s">
        <v>2316</v>
      </c>
      <c r="D14" s="8" t="s">
        <v>1072</v>
      </c>
      <c r="E14" s="93">
        <v>1481</v>
      </c>
      <c r="F14" s="108">
        <v>25.85093384534823</v>
      </c>
      <c r="G14" s="99"/>
      <c r="H14" s="82"/>
    </row>
    <row r="15" spans="1:8" ht="11.25" customHeight="1" x14ac:dyDescent="0.2">
      <c r="C15" s="8" t="s">
        <v>2317</v>
      </c>
      <c r="D15" s="8" t="s">
        <v>655</v>
      </c>
      <c r="E15" s="93">
        <v>300</v>
      </c>
      <c r="F15" s="108">
        <v>5.2365159713737128</v>
      </c>
      <c r="G15" s="99"/>
      <c r="H15" s="82"/>
    </row>
    <row r="16" spans="1:8" s="5" customFormat="1" ht="11.25" customHeight="1" x14ac:dyDescent="0.2">
      <c r="A16" s="10"/>
      <c r="B16" s="10"/>
      <c r="C16" s="11"/>
      <c r="D16" s="30" t="s">
        <v>2318</v>
      </c>
      <c r="E16" s="167" t="s">
        <v>786</v>
      </c>
      <c r="F16" s="168">
        <v>100</v>
      </c>
      <c r="G16" s="161">
        <v>12009</v>
      </c>
      <c r="H16" s="164">
        <v>47.989008243817139</v>
      </c>
    </row>
    <row r="18" spans="1:8" s="5" customFormat="1" ht="11.25" customHeight="1" x14ac:dyDescent="0.2">
      <c r="A18" s="10" t="s">
        <v>1008</v>
      </c>
      <c r="B18" s="10"/>
      <c r="C18" s="11" t="s">
        <v>833</v>
      </c>
      <c r="D18" s="11" t="s">
        <v>655</v>
      </c>
      <c r="E18" s="94">
        <v>754</v>
      </c>
      <c r="F18" s="109">
        <v>6.4192065383960495</v>
      </c>
      <c r="G18" s="100"/>
      <c r="H18" s="110"/>
    </row>
    <row r="19" spans="1:8" s="5" customFormat="1" ht="11.25" customHeight="1" x14ac:dyDescent="0.2">
      <c r="A19" s="10"/>
      <c r="B19" s="10"/>
      <c r="C19" s="11" t="s">
        <v>834</v>
      </c>
      <c r="D19" s="11" t="s">
        <v>1071</v>
      </c>
      <c r="E19" s="94">
        <v>661</v>
      </c>
      <c r="F19" s="109">
        <v>5.6574476417503838</v>
      </c>
      <c r="G19" s="100"/>
      <c r="H19" s="110"/>
    </row>
    <row r="20" spans="1:8" s="5" customFormat="1" ht="11.25" customHeight="1" x14ac:dyDescent="0.2">
      <c r="A20" s="10"/>
      <c r="B20" s="10"/>
      <c r="C20" s="11" t="s">
        <v>835</v>
      </c>
      <c r="D20" s="11" t="s">
        <v>1072</v>
      </c>
      <c r="E20" s="94">
        <v>3151</v>
      </c>
      <c r="F20" s="109">
        <v>26.826153584198874</v>
      </c>
      <c r="G20" s="100"/>
      <c r="H20" s="110"/>
    </row>
    <row r="21" spans="1:8" s="5" customFormat="1" ht="11.25" customHeight="1" x14ac:dyDescent="0.2">
      <c r="A21" s="10"/>
      <c r="B21" s="10"/>
      <c r="C21" s="12" t="s">
        <v>1012</v>
      </c>
      <c r="D21" s="11" t="s">
        <v>1736</v>
      </c>
      <c r="E21" s="94">
        <v>7180</v>
      </c>
      <c r="F21" s="109">
        <v>61.12719223565469</v>
      </c>
      <c r="G21" s="100"/>
      <c r="H21" s="110"/>
    </row>
    <row r="22" spans="1:8" s="5" customFormat="1" ht="11.25" customHeight="1" x14ac:dyDescent="0.2">
      <c r="A22" s="10"/>
      <c r="B22" s="10"/>
      <c r="C22" s="11"/>
      <c r="D22" s="11" t="s">
        <v>2318</v>
      </c>
      <c r="E22" s="167" t="s">
        <v>595</v>
      </c>
      <c r="F22" s="168">
        <v>100.03</v>
      </c>
      <c r="G22" s="161">
        <v>23646</v>
      </c>
      <c r="H22" s="164">
        <v>49.809692971327074</v>
      </c>
    </row>
    <row r="23" spans="1:8" s="5" customFormat="1" ht="11.25" customHeight="1" x14ac:dyDescent="0.2">
      <c r="A23" s="10"/>
      <c r="B23" s="10"/>
      <c r="C23" s="11"/>
      <c r="D23" s="11"/>
      <c r="E23" s="94"/>
      <c r="F23" s="109"/>
      <c r="G23" s="100"/>
      <c r="H23" s="110"/>
    </row>
    <row r="24" spans="1:8" s="5" customFormat="1" ht="11.25" customHeight="1" x14ac:dyDescent="0.2">
      <c r="A24" s="10" t="s">
        <v>1013</v>
      </c>
      <c r="B24" s="10"/>
      <c r="C24" s="11" t="s">
        <v>836</v>
      </c>
      <c r="D24" s="11" t="s">
        <v>1072</v>
      </c>
      <c r="E24" s="94">
        <v>2130</v>
      </c>
      <c r="F24" s="109">
        <v>20.847814336075206</v>
      </c>
      <c r="G24" s="100"/>
      <c r="H24" s="110"/>
    </row>
    <row r="25" spans="1:8" s="5" customFormat="1" ht="11.25" customHeight="1" x14ac:dyDescent="0.2">
      <c r="A25" s="10"/>
      <c r="B25" s="10"/>
      <c r="C25" s="12" t="s">
        <v>1016</v>
      </c>
      <c r="D25" s="11" t="s">
        <v>1736</v>
      </c>
      <c r="E25" s="94">
        <v>6195</v>
      </c>
      <c r="F25" s="109">
        <v>60.663924794359581</v>
      </c>
      <c r="G25" s="100"/>
      <c r="H25" s="110"/>
    </row>
    <row r="26" spans="1:8" s="5" customFormat="1" ht="11.25" customHeight="1" x14ac:dyDescent="0.2">
      <c r="A26" s="10"/>
      <c r="B26" s="10"/>
      <c r="C26" s="11" t="s">
        <v>837</v>
      </c>
      <c r="D26" s="11" t="s">
        <v>655</v>
      </c>
      <c r="E26" s="94">
        <v>643</v>
      </c>
      <c r="F26" s="109">
        <v>6.2965139052095571</v>
      </c>
      <c r="G26" s="100"/>
      <c r="H26" s="110"/>
    </row>
    <row r="27" spans="1:8" s="5" customFormat="1" ht="11.25" customHeight="1" x14ac:dyDescent="0.2">
      <c r="A27" s="10"/>
      <c r="B27" s="10"/>
      <c r="C27" s="11" t="s">
        <v>838</v>
      </c>
      <c r="D27" s="11" t="s">
        <v>1071</v>
      </c>
      <c r="E27" s="94">
        <v>1244</v>
      </c>
      <c r="F27" s="109">
        <v>12.181746964355659</v>
      </c>
      <c r="G27" s="100"/>
      <c r="H27" s="110"/>
    </row>
    <row r="28" spans="1:8" s="5" customFormat="1" ht="11.25" customHeight="1" x14ac:dyDescent="0.2">
      <c r="A28" s="10"/>
      <c r="B28" s="10"/>
      <c r="C28" s="11"/>
      <c r="D28" s="11" t="s">
        <v>2318</v>
      </c>
      <c r="E28" s="167" t="s">
        <v>596</v>
      </c>
      <c r="F28" s="168">
        <v>99.99</v>
      </c>
      <c r="G28" s="161">
        <v>16778</v>
      </c>
      <c r="H28" s="164">
        <v>61.03826439384909</v>
      </c>
    </row>
    <row r="29" spans="1:8" s="5" customFormat="1" ht="11.25" customHeight="1" x14ac:dyDescent="0.2">
      <c r="A29" s="10"/>
      <c r="B29" s="10"/>
      <c r="C29" s="11"/>
      <c r="D29" s="11"/>
      <c r="E29" s="94"/>
      <c r="F29" s="109"/>
      <c r="G29" s="100"/>
      <c r="H29" s="110"/>
    </row>
    <row r="30" spans="1:8" s="5" customFormat="1" ht="11.25" customHeight="1" x14ac:dyDescent="0.2">
      <c r="A30" s="10" t="s">
        <v>1018</v>
      </c>
      <c r="B30" s="10"/>
      <c r="C30" s="12" t="s">
        <v>1019</v>
      </c>
      <c r="D30" s="11" t="s">
        <v>1736</v>
      </c>
      <c r="E30" s="94">
        <v>4593</v>
      </c>
      <c r="F30" s="109">
        <v>58.405391658189224</v>
      </c>
      <c r="G30" s="100"/>
      <c r="H30" s="110"/>
    </row>
    <row r="31" spans="1:8" s="5" customFormat="1" ht="11.25" customHeight="1" x14ac:dyDescent="0.2">
      <c r="A31" s="10"/>
      <c r="B31" s="10"/>
      <c r="C31" s="11" t="s">
        <v>839</v>
      </c>
      <c r="D31" s="11" t="s">
        <v>1071</v>
      </c>
      <c r="E31" s="94">
        <v>948</v>
      </c>
      <c r="F31" s="109">
        <v>12.054933875890132</v>
      </c>
      <c r="G31" s="100"/>
      <c r="H31" s="110"/>
    </row>
    <row r="32" spans="1:8" s="5" customFormat="1" ht="11.25" customHeight="1" x14ac:dyDescent="0.2">
      <c r="A32" s="10"/>
      <c r="B32" s="10"/>
      <c r="C32" s="11" t="s">
        <v>840</v>
      </c>
      <c r="D32" s="11" t="s">
        <v>1072</v>
      </c>
      <c r="E32" s="94">
        <v>2323</v>
      </c>
      <c r="F32" s="109">
        <v>29.539674465920651</v>
      </c>
      <c r="G32" s="100"/>
      <c r="H32" s="110"/>
    </row>
    <row r="33" spans="1:8" s="5" customFormat="1" ht="11.25" customHeight="1" x14ac:dyDescent="0.2">
      <c r="A33" s="10"/>
      <c r="B33" s="10"/>
      <c r="C33" s="11"/>
      <c r="D33" s="11" t="s">
        <v>2318</v>
      </c>
      <c r="E33" s="167" t="s">
        <v>597</v>
      </c>
      <c r="F33" s="168">
        <v>100</v>
      </c>
      <c r="G33" s="161">
        <v>16185</v>
      </c>
      <c r="H33" s="164">
        <v>48.656163113994438</v>
      </c>
    </row>
    <row r="34" spans="1:8" s="5" customFormat="1" ht="11.25" customHeight="1" x14ac:dyDescent="0.2">
      <c r="A34" s="10"/>
      <c r="B34" s="10"/>
      <c r="C34" s="11"/>
      <c r="D34" s="30"/>
      <c r="E34" s="94"/>
      <c r="F34" s="109"/>
      <c r="G34" s="100"/>
      <c r="H34" s="110"/>
    </row>
    <row r="35" spans="1:8" s="5" customFormat="1" ht="11.25" customHeight="1" x14ac:dyDescent="0.2">
      <c r="A35" s="10" t="s">
        <v>2354</v>
      </c>
      <c r="B35" s="10"/>
      <c r="C35" s="11" t="s">
        <v>2322</v>
      </c>
      <c r="D35" s="30" t="s">
        <v>1314</v>
      </c>
      <c r="E35" s="94">
        <v>187</v>
      </c>
      <c r="F35" s="109">
        <v>1.5272786671022542</v>
      </c>
      <c r="G35" s="100"/>
      <c r="H35" s="110"/>
    </row>
    <row r="36" spans="1:8" s="5" customFormat="1" ht="11.25" customHeight="1" x14ac:dyDescent="0.2">
      <c r="A36" s="10"/>
      <c r="B36" s="10"/>
      <c r="C36" s="11" t="s">
        <v>2323</v>
      </c>
      <c r="D36" s="11" t="s">
        <v>1072</v>
      </c>
      <c r="E36" s="94">
        <v>4091</v>
      </c>
      <c r="F36" s="109">
        <v>33.412283567461614</v>
      </c>
      <c r="G36" s="100"/>
      <c r="H36" s="110"/>
    </row>
    <row r="37" spans="1:8" s="5" customFormat="1" ht="11.25" customHeight="1" x14ac:dyDescent="0.2">
      <c r="A37" s="10"/>
      <c r="B37" s="10"/>
      <c r="C37" s="11" t="s">
        <v>2324</v>
      </c>
      <c r="D37" s="11" t="s">
        <v>655</v>
      </c>
      <c r="E37" s="94">
        <v>1144</v>
      </c>
      <c r="F37" s="109">
        <v>9.3533518458020257</v>
      </c>
      <c r="G37" s="100"/>
      <c r="H37" s="110"/>
    </row>
    <row r="38" spans="1:8" s="5" customFormat="1" ht="11.25" customHeight="1" x14ac:dyDescent="0.2">
      <c r="A38" s="10"/>
      <c r="B38" s="10"/>
      <c r="C38" s="12" t="s">
        <v>2325</v>
      </c>
      <c r="D38" s="11" t="s">
        <v>1736</v>
      </c>
      <c r="E38" s="94">
        <v>6664</v>
      </c>
      <c r="F38" s="109">
        <v>54.426657954916692</v>
      </c>
      <c r="G38" s="100"/>
      <c r="H38" s="110"/>
    </row>
    <row r="39" spans="1:8" s="5" customFormat="1" ht="11.25" customHeight="1" x14ac:dyDescent="0.2">
      <c r="A39" s="10"/>
      <c r="B39" s="10"/>
      <c r="C39" s="11" t="s">
        <v>2326</v>
      </c>
      <c r="D39" s="11" t="s">
        <v>488</v>
      </c>
      <c r="E39" s="94">
        <v>158</v>
      </c>
      <c r="F39" s="109">
        <v>1.2904279647174126</v>
      </c>
      <c r="G39" s="100"/>
      <c r="H39" s="110"/>
    </row>
    <row r="40" spans="1:8" s="5" customFormat="1" ht="11.25" customHeight="1" x14ac:dyDescent="0.2">
      <c r="A40" s="10"/>
      <c r="B40" s="10"/>
      <c r="C40" s="11"/>
      <c r="D40" s="11" t="s">
        <v>2318</v>
      </c>
      <c r="E40" s="167" t="s">
        <v>788</v>
      </c>
      <c r="F40" s="168">
        <v>100.01</v>
      </c>
      <c r="G40" s="161">
        <v>22025</v>
      </c>
      <c r="H40" s="164">
        <v>55.959137343927353</v>
      </c>
    </row>
    <row r="41" spans="1:8" s="5" customFormat="1" ht="11.25" customHeight="1" x14ac:dyDescent="0.2">
      <c r="A41" s="10"/>
      <c r="B41" s="10"/>
      <c r="C41" s="11"/>
      <c r="D41" s="11"/>
      <c r="E41" s="94"/>
      <c r="F41" s="109"/>
      <c r="G41" s="100"/>
      <c r="H41" s="110"/>
    </row>
    <row r="42" spans="1:8" s="5" customFormat="1" ht="11.25" customHeight="1" x14ac:dyDescent="0.2">
      <c r="A42" s="10" t="s">
        <v>2360</v>
      </c>
      <c r="B42" s="10"/>
      <c r="C42" s="11" t="s">
        <v>2327</v>
      </c>
      <c r="D42" s="11" t="s">
        <v>1736</v>
      </c>
      <c r="E42" s="94">
        <v>4115</v>
      </c>
      <c r="F42" s="109">
        <v>43.857221689570679</v>
      </c>
      <c r="G42" s="100"/>
      <c r="H42" s="110"/>
    </row>
    <row r="43" spans="1:8" s="5" customFormat="1" ht="11.25" customHeight="1" x14ac:dyDescent="0.2">
      <c r="A43" s="10"/>
      <c r="B43" s="10"/>
      <c r="C43" s="12" t="s">
        <v>2328</v>
      </c>
      <c r="D43" s="11" t="s">
        <v>1072</v>
      </c>
      <c r="E43" s="94">
        <v>4310</v>
      </c>
      <c r="F43" s="109">
        <v>45.914562693086182</v>
      </c>
      <c r="G43" s="100"/>
      <c r="H43" s="110"/>
    </row>
    <row r="44" spans="1:8" s="5" customFormat="1" ht="11.25" customHeight="1" x14ac:dyDescent="0.2">
      <c r="A44" s="10"/>
      <c r="B44" s="10"/>
      <c r="C44" s="11" t="s">
        <v>2329</v>
      </c>
      <c r="D44" s="11" t="s">
        <v>488</v>
      </c>
      <c r="E44" s="94">
        <v>115</v>
      </c>
      <c r="F44" s="109">
        <v>1.2250985405347823</v>
      </c>
      <c r="G44" s="100"/>
      <c r="H44" s="110"/>
    </row>
    <row r="45" spans="1:8" s="5" customFormat="1" ht="11.25" customHeight="1" x14ac:dyDescent="0.2">
      <c r="A45" s="10"/>
      <c r="B45" s="10"/>
      <c r="C45" s="11" t="s">
        <v>2363</v>
      </c>
      <c r="D45" s="11" t="s">
        <v>655</v>
      </c>
      <c r="E45" s="94">
        <v>547</v>
      </c>
      <c r="F45" s="109">
        <v>5.8272078406306598</v>
      </c>
      <c r="G45" s="100"/>
      <c r="H45" s="110"/>
    </row>
    <row r="46" spans="1:8" s="5" customFormat="1" ht="11.25" customHeight="1" x14ac:dyDescent="0.2">
      <c r="A46" s="10"/>
      <c r="B46" s="10"/>
      <c r="C46" s="11" t="s">
        <v>1132</v>
      </c>
      <c r="D46" s="11" t="s">
        <v>1071</v>
      </c>
      <c r="E46" s="94">
        <v>300</v>
      </c>
      <c r="F46" s="109">
        <v>3.1959092361776924</v>
      </c>
      <c r="G46" s="100"/>
      <c r="H46" s="110"/>
    </row>
    <row r="47" spans="1:8" s="5" customFormat="1" ht="11.25" customHeight="1" x14ac:dyDescent="0.2">
      <c r="A47" s="10"/>
      <c r="B47" s="10"/>
      <c r="C47" s="11"/>
      <c r="D47" s="11" t="s">
        <v>2318</v>
      </c>
      <c r="E47" s="167" t="s">
        <v>789</v>
      </c>
      <c r="F47" s="168">
        <v>100.02</v>
      </c>
      <c r="G47" s="161">
        <v>22929</v>
      </c>
      <c r="H47" s="164">
        <v>41.235989358454361</v>
      </c>
    </row>
    <row r="48" spans="1:8" s="5" customFormat="1" ht="11.25" customHeight="1" x14ac:dyDescent="0.2">
      <c r="A48" s="10"/>
      <c r="B48" s="10"/>
      <c r="C48" s="11"/>
      <c r="D48" s="11"/>
      <c r="E48" s="94"/>
      <c r="F48" s="109"/>
      <c r="G48" s="100"/>
      <c r="H48" s="110"/>
    </row>
    <row r="49" spans="1:8" s="5" customFormat="1" ht="11.25" customHeight="1" x14ac:dyDescent="0.2">
      <c r="A49" s="10" t="s">
        <v>1959</v>
      </c>
      <c r="B49" s="10"/>
      <c r="C49" s="12" t="s">
        <v>1960</v>
      </c>
      <c r="D49" s="11" t="s">
        <v>1736</v>
      </c>
      <c r="E49" s="94">
        <v>5964</v>
      </c>
      <c r="F49" s="109">
        <v>67.109260717902558</v>
      </c>
      <c r="G49" s="100"/>
      <c r="H49" s="110"/>
    </row>
    <row r="50" spans="1:8" s="5" customFormat="1" ht="11.25" customHeight="1" x14ac:dyDescent="0.2">
      <c r="A50" s="10"/>
      <c r="B50" s="10"/>
      <c r="C50" s="11" t="s">
        <v>1961</v>
      </c>
      <c r="D50" s="11" t="s">
        <v>1072</v>
      </c>
      <c r="E50" s="94">
        <v>2456</v>
      </c>
      <c r="F50" s="109">
        <v>27.635872622932371</v>
      </c>
      <c r="G50" s="100"/>
      <c r="H50" s="110"/>
    </row>
    <row r="51" spans="1:8" s="5" customFormat="1" ht="11.25" customHeight="1" x14ac:dyDescent="0.2">
      <c r="A51" s="10"/>
      <c r="B51" s="10"/>
      <c r="C51" s="11" t="s">
        <v>1133</v>
      </c>
      <c r="D51" s="11" t="s">
        <v>1071</v>
      </c>
      <c r="E51" s="94">
        <v>467</v>
      </c>
      <c r="F51" s="109">
        <v>5.2548666591650726</v>
      </c>
      <c r="G51" s="100"/>
      <c r="H51" s="110"/>
    </row>
    <row r="52" spans="1:8" s="5" customFormat="1" ht="11.25" customHeight="1" x14ac:dyDescent="0.2">
      <c r="A52" s="10"/>
      <c r="B52" s="10"/>
      <c r="C52" s="11"/>
      <c r="D52" s="11" t="s">
        <v>2318</v>
      </c>
      <c r="E52" s="167" t="s">
        <v>790</v>
      </c>
      <c r="F52" s="168">
        <v>100</v>
      </c>
      <c r="G52" s="161">
        <v>21811</v>
      </c>
      <c r="H52" s="164">
        <v>40.883040667553068</v>
      </c>
    </row>
    <row r="53" spans="1:8" s="5" customFormat="1" ht="11.25" customHeight="1" x14ac:dyDescent="0.2">
      <c r="A53" s="10"/>
      <c r="B53" s="10"/>
      <c r="C53" s="11"/>
      <c r="D53" s="11"/>
      <c r="E53" s="94"/>
      <c r="F53" s="109"/>
      <c r="G53" s="100"/>
      <c r="H53" s="110"/>
    </row>
    <row r="54" spans="1:8" s="5" customFormat="1" ht="11.25" customHeight="1" x14ac:dyDescent="0.2">
      <c r="A54" s="10" t="s">
        <v>1963</v>
      </c>
      <c r="B54" s="10"/>
      <c r="C54" s="11" t="s">
        <v>1134</v>
      </c>
      <c r="D54" s="11" t="s">
        <v>655</v>
      </c>
      <c r="E54" s="94">
        <v>712</v>
      </c>
      <c r="F54" s="109">
        <v>6.4615663853344216</v>
      </c>
      <c r="G54" s="100"/>
      <c r="H54" s="110"/>
    </row>
    <row r="55" spans="1:8" s="5" customFormat="1" ht="11.25" customHeight="1" x14ac:dyDescent="0.2">
      <c r="A55" s="10"/>
      <c r="B55" s="10"/>
      <c r="C55" s="12" t="s">
        <v>1135</v>
      </c>
      <c r="D55" s="11" t="s">
        <v>1736</v>
      </c>
      <c r="E55" s="94">
        <v>5952</v>
      </c>
      <c r="F55" s="109">
        <v>54.015790906615848</v>
      </c>
      <c r="G55" s="100"/>
      <c r="H55" s="110"/>
    </row>
    <row r="56" spans="1:8" s="5" customFormat="1" ht="11.25" customHeight="1" x14ac:dyDescent="0.2">
      <c r="A56" s="10"/>
      <c r="B56" s="10"/>
      <c r="C56" s="11" t="s">
        <v>1136</v>
      </c>
      <c r="D56" s="11" t="s">
        <v>1072</v>
      </c>
      <c r="E56" s="94">
        <v>3636</v>
      </c>
      <c r="F56" s="109">
        <v>32.997549686904435</v>
      </c>
      <c r="G56" s="100"/>
      <c r="H56" s="110"/>
    </row>
    <row r="57" spans="1:8" s="5" customFormat="1" ht="11.25" customHeight="1" x14ac:dyDescent="0.2">
      <c r="A57" s="10"/>
      <c r="B57" s="10"/>
      <c r="C57" s="11" t="s">
        <v>1137</v>
      </c>
      <c r="D57" s="11" t="s">
        <v>488</v>
      </c>
      <c r="E57" s="94">
        <v>109</v>
      </c>
      <c r="F57" s="109">
        <v>0.98920047191215166</v>
      </c>
      <c r="G57" s="100"/>
      <c r="H57" s="110"/>
    </row>
    <row r="58" spans="1:8" s="5" customFormat="1" ht="11.25" customHeight="1" x14ac:dyDescent="0.2">
      <c r="A58" s="10"/>
      <c r="B58" s="10"/>
      <c r="C58" s="11" t="s">
        <v>1138</v>
      </c>
      <c r="D58" s="11" t="s">
        <v>1071</v>
      </c>
      <c r="E58" s="94">
        <v>610</v>
      </c>
      <c r="F58" s="109">
        <v>5.535892549233143</v>
      </c>
      <c r="G58" s="100"/>
      <c r="H58" s="110"/>
    </row>
    <row r="59" spans="1:8" s="5" customFormat="1" ht="11.25" customHeight="1" x14ac:dyDescent="0.2">
      <c r="A59" s="10"/>
      <c r="B59" s="10"/>
      <c r="C59" s="11"/>
      <c r="D59" s="11" t="s">
        <v>2318</v>
      </c>
      <c r="E59" s="167" t="s">
        <v>791</v>
      </c>
      <c r="F59" s="168">
        <v>100</v>
      </c>
      <c r="G59" s="161">
        <v>22464</v>
      </c>
      <c r="H59" s="164">
        <v>49.225427350427353</v>
      </c>
    </row>
    <row r="60" spans="1:8" s="5" customFormat="1" ht="11.25" customHeight="1" x14ac:dyDescent="0.2">
      <c r="A60" s="10"/>
      <c r="B60" s="10"/>
      <c r="C60" s="11"/>
      <c r="D60" s="11"/>
      <c r="E60" s="94"/>
      <c r="F60" s="109"/>
      <c r="G60" s="100"/>
      <c r="H60" s="110"/>
    </row>
    <row r="61" spans="1:8" s="5" customFormat="1" ht="11.25" customHeight="1" x14ac:dyDescent="0.2">
      <c r="A61" s="10" t="s">
        <v>3167</v>
      </c>
      <c r="B61" s="10"/>
      <c r="C61" s="12" t="s">
        <v>3168</v>
      </c>
      <c r="D61" s="11" t="s">
        <v>1736</v>
      </c>
      <c r="E61" s="94">
        <v>4857</v>
      </c>
      <c r="F61" s="109">
        <v>60.193332507126044</v>
      </c>
      <c r="G61" s="100"/>
      <c r="H61" s="110"/>
    </row>
    <row r="62" spans="1:8" s="5" customFormat="1" ht="11.25" customHeight="1" x14ac:dyDescent="0.2">
      <c r="A62" s="10"/>
      <c r="B62" s="10"/>
      <c r="C62" s="11" t="s">
        <v>1139</v>
      </c>
      <c r="D62" s="11" t="s">
        <v>655</v>
      </c>
      <c r="E62" s="94">
        <v>609</v>
      </c>
      <c r="F62" s="109">
        <v>7.5474036435741727</v>
      </c>
      <c r="G62" s="100"/>
      <c r="H62" s="110"/>
    </row>
    <row r="63" spans="1:8" s="5" customFormat="1" ht="11.25" customHeight="1" x14ac:dyDescent="0.2">
      <c r="A63" s="10"/>
      <c r="B63" s="10"/>
      <c r="C63" s="11" t="s">
        <v>2343</v>
      </c>
      <c r="D63" s="11" t="s">
        <v>1071</v>
      </c>
      <c r="E63" s="94">
        <v>613</v>
      </c>
      <c r="F63" s="109">
        <v>7.5969760812987976</v>
      </c>
      <c r="G63" s="100"/>
      <c r="H63" s="110"/>
    </row>
    <row r="64" spans="1:8" s="5" customFormat="1" ht="11.25" customHeight="1" x14ac:dyDescent="0.2">
      <c r="A64" s="10"/>
      <c r="B64" s="10"/>
      <c r="C64" s="11" t="s">
        <v>2358</v>
      </c>
      <c r="D64" s="11" t="s">
        <v>1072</v>
      </c>
      <c r="E64" s="94">
        <v>1990</v>
      </c>
      <c r="F64" s="109">
        <v>24.662287768000994</v>
      </c>
      <c r="G64" s="100"/>
      <c r="H64" s="110"/>
    </row>
    <row r="65" spans="1:8" s="5" customFormat="1" ht="11.25" customHeight="1" x14ac:dyDescent="0.2">
      <c r="A65" s="10"/>
      <c r="B65" s="10"/>
      <c r="C65" s="11"/>
      <c r="D65" s="11" t="s">
        <v>2318</v>
      </c>
      <c r="E65" s="167" t="s">
        <v>1796</v>
      </c>
      <c r="F65" s="168">
        <v>100</v>
      </c>
      <c r="G65" s="161">
        <v>21214</v>
      </c>
      <c r="H65" s="164">
        <v>38.300179126991608</v>
      </c>
    </row>
    <row r="66" spans="1:8" s="5" customFormat="1" ht="11.25" customHeight="1" x14ac:dyDescent="0.2">
      <c r="A66" s="10"/>
      <c r="B66" s="10"/>
      <c r="C66" s="11"/>
      <c r="D66" s="11"/>
      <c r="E66" s="94"/>
      <c r="F66" s="109"/>
      <c r="G66" s="100"/>
      <c r="H66" s="110"/>
    </row>
    <row r="67" spans="1:8" s="5" customFormat="1" ht="11.25" customHeight="1" x14ac:dyDescent="0.2">
      <c r="A67" s="10" t="s">
        <v>1855</v>
      </c>
      <c r="B67" s="10"/>
      <c r="C67" s="11" t="s">
        <v>1140</v>
      </c>
      <c r="D67" s="11" t="s">
        <v>1071</v>
      </c>
      <c r="E67" s="94">
        <v>836</v>
      </c>
      <c r="F67" s="109">
        <v>6.1164764413227974</v>
      </c>
      <c r="G67" s="100"/>
      <c r="H67" s="110"/>
    </row>
    <row r="68" spans="1:8" s="5" customFormat="1" ht="11.25" customHeight="1" x14ac:dyDescent="0.2">
      <c r="A68" s="10"/>
      <c r="B68" s="10"/>
      <c r="C68" s="12" t="s">
        <v>1857</v>
      </c>
      <c r="D68" s="11" t="s">
        <v>1736</v>
      </c>
      <c r="E68" s="94">
        <v>8842</v>
      </c>
      <c r="F68" s="109">
        <v>64.691249634182029</v>
      </c>
      <c r="G68" s="100"/>
      <c r="H68" s="110"/>
    </row>
    <row r="69" spans="1:8" s="5" customFormat="1" ht="11.25" customHeight="1" x14ac:dyDescent="0.2">
      <c r="A69" s="10"/>
      <c r="B69" s="10"/>
      <c r="C69" s="11" t="s">
        <v>1141</v>
      </c>
      <c r="D69" s="11" t="s">
        <v>655</v>
      </c>
      <c r="E69" s="94">
        <v>654</v>
      </c>
      <c r="F69" s="109">
        <v>4.7848990342405617</v>
      </c>
      <c r="G69" s="100"/>
      <c r="H69" s="110"/>
    </row>
    <row r="70" spans="1:8" s="5" customFormat="1" ht="11.25" customHeight="1" x14ac:dyDescent="0.2">
      <c r="A70" s="10"/>
      <c r="B70" s="10"/>
      <c r="C70" s="11" t="s">
        <v>1142</v>
      </c>
      <c r="D70" s="11" t="s">
        <v>1072</v>
      </c>
      <c r="E70" s="94">
        <v>3336</v>
      </c>
      <c r="F70" s="109">
        <v>24.407374890254609</v>
      </c>
      <c r="G70" s="100"/>
      <c r="H70" s="110"/>
    </row>
    <row r="71" spans="1:8" s="5" customFormat="1" ht="11.25" customHeight="1" x14ac:dyDescent="0.2">
      <c r="A71" s="10"/>
      <c r="B71" s="10"/>
      <c r="C71" s="11"/>
      <c r="D71" s="11" t="s">
        <v>2318</v>
      </c>
      <c r="E71" s="167" t="s">
        <v>1797</v>
      </c>
      <c r="F71" s="168">
        <v>100</v>
      </c>
      <c r="G71" s="161">
        <v>27001</v>
      </c>
      <c r="H71" s="164">
        <v>50.787007888596719</v>
      </c>
    </row>
    <row r="72" spans="1:8" s="5" customFormat="1" ht="11.25" customHeight="1" x14ac:dyDescent="0.2">
      <c r="A72" s="10"/>
      <c r="B72" s="10"/>
      <c r="C72" s="11"/>
      <c r="D72" s="11"/>
      <c r="E72" s="94"/>
      <c r="F72" s="109"/>
      <c r="G72" s="100"/>
      <c r="H72" s="110"/>
    </row>
    <row r="73" spans="1:8" s="5" customFormat="1" ht="11.25" customHeight="1" x14ac:dyDescent="0.2">
      <c r="A73" s="10" t="s">
        <v>1860</v>
      </c>
      <c r="B73" s="10"/>
      <c r="C73" s="11" t="s">
        <v>1856</v>
      </c>
      <c r="D73" s="11" t="s">
        <v>655</v>
      </c>
      <c r="E73" s="94">
        <v>307</v>
      </c>
      <c r="F73" s="109">
        <v>2.1466561292588691</v>
      </c>
      <c r="G73" s="100"/>
      <c r="H73" s="110"/>
    </row>
    <row r="74" spans="1:8" s="5" customFormat="1" ht="11.25" customHeight="1" x14ac:dyDescent="0.2">
      <c r="A74" s="10"/>
      <c r="B74" s="10"/>
      <c r="C74" s="11" t="s">
        <v>1143</v>
      </c>
      <c r="D74" s="11" t="s">
        <v>488</v>
      </c>
      <c r="E74" s="94">
        <v>75</v>
      </c>
      <c r="F74" s="109">
        <v>0.52687038988408852</v>
      </c>
      <c r="G74" s="100"/>
      <c r="H74" s="110"/>
    </row>
    <row r="75" spans="1:8" s="5" customFormat="1" ht="11.25" customHeight="1" x14ac:dyDescent="0.2">
      <c r="A75" s="10"/>
      <c r="B75" s="10"/>
      <c r="C75" s="12" t="s">
        <v>1861</v>
      </c>
      <c r="D75" s="11" t="s">
        <v>1736</v>
      </c>
      <c r="E75" s="94">
        <v>8237</v>
      </c>
      <c r="F75" s="109">
        <v>57.864418686336492</v>
      </c>
      <c r="G75" s="100"/>
      <c r="H75" s="110"/>
    </row>
    <row r="76" spans="1:8" s="5" customFormat="1" ht="11.25" customHeight="1" x14ac:dyDescent="0.2">
      <c r="A76" s="10"/>
      <c r="B76" s="10"/>
      <c r="C76" s="11" t="s">
        <v>1144</v>
      </c>
      <c r="D76" s="11" t="s">
        <v>1071</v>
      </c>
      <c r="E76" s="94">
        <v>421</v>
      </c>
      <c r="F76" s="109">
        <v>2.9574991218826838</v>
      </c>
      <c r="G76" s="100"/>
      <c r="H76" s="110"/>
    </row>
    <row r="77" spans="1:8" s="5" customFormat="1" ht="11.25" customHeight="1" x14ac:dyDescent="0.2">
      <c r="A77" s="10"/>
      <c r="B77" s="10"/>
      <c r="C77" s="11" t="s">
        <v>1863</v>
      </c>
      <c r="D77" s="11" t="s">
        <v>1072</v>
      </c>
      <c r="E77" s="94">
        <v>5195</v>
      </c>
      <c r="F77" s="109">
        <v>36.494555672637865</v>
      </c>
      <c r="G77" s="100"/>
      <c r="H77" s="110"/>
    </row>
    <row r="78" spans="1:8" s="5" customFormat="1" ht="11.25" customHeight="1" x14ac:dyDescent="0.2">
      <c r="A78" s="10"/>
      <c r="B78" s="10"/>
      <c r="C78" s="11"/>
      <c r="D78" s="11" t="s">
        <v>2318</v>
      </c>
      <c r="E78" s="167" t="s">
        <v>1798</v>
      </c>
      <c r="F78" s="168">
        <v>99.99</v>
      </c>
      <c r="G78" s="161">
        <v>23626</v>
      </c>
      <c r="H78" s="164">
        <v>60.336070430881236</v>
      </c>
    </row>
    <row r="79" spans="1:8" s="5" customFormat="1" ht="11.25" customHeight="1" x14ac:dyDescent="0.2">
      <c r="A79" s="10"/>
      <c r="B79" s="10"/>
      <c r="C79" s="11"/>
      <c r="D79" s="11"/>
      <c r="E79" s="94"/>
      <c r="F79" s="109"/>
      <c r="G79" s="100"/>
      <c r="H79" s="110"/>
    </row>
    <row r="80" spans="1:8" s="5" customFormat="1" ht="11.25" customHeight="1" x14ac:dyDescent="0.2">
      <c r="A80" s="10" t="s">
        <v>1865</v>
      </c>
      <c r="B80" s="10"/>
      <c r="C80" s="11" t="s">
        <v>1145</v>
      </c>
      <c r="D80" s="11" t="s">
        <v>1072</v>
      </c>
      <c r="E80" s="94">
        <v>3020</v>
      </c>
      <c r="F80" s="109">
        <v>24.315619967793882</v>
      </c>
      <c r="G80" s="100"/>
      <c r="H80" s="110"/>
    </row>
    <row r="81" spans="1:8" s="5" customFormat="1" ht="11.25" customHeight="1" x14ac:dyDescent="0.2">
      <c r="A81" s="10"/>
      <c r="B81" s="10"/>
      <c r="C81" s="12" t="s">
        <v>1867</v>
      </c>
      <c r="D81" s="11" t="s">
        <v>1736</v>
      </c>
      <c r="E81" s="94">
        <v>8274</v>
      </c>
      <c r="F81" s="109">
        <v>66.618357487922708</v>
      </c>
      <c r="G81" s="100"/>
      <c r="H81" s="110"/>
    </row>
    <row r="82" spans="1:8" s="5" customFormat="1" ht="11.25" customHeight="1" x14ac:dyDescent="0.2">
      <c r="A82" s="10"/>
      <c r="B82" s="10"/>
      <c r="C82" s="11" t="s">
        <v>1146</v>
      </c>
      <c r="D82" s="11" t="s">
        <v>655</v>
      </c>
      <c r="E82" s="94">
        <v>348</v>
      </c>
      <c r="F82" s="109">
        <v>2.8019323671497585</v>
      </c>
      <c r="G82" s="100"/>
      <c r="H82" s="110"/>
    </row>
    <row r="83" spans="1:8" s="5" customFormat="1" ht="11.25" customHeight="1" x14ac:dyDescent="0.2">
      <c r="A83" s="10"/>
      <c r="B83" s="10"/>
      <c r="C83" s="11" t="s">
        <v>1017</v>
      </c>
      <c r="D83" s="11" t="s">
        <v>1071</v>
      </c>
      <c r="E83" s="94">
        <v>778</v>
      </c>
      <c r="F83" s="109">
        <v>6.2640901771336548</v>
      </c>
      <c r="G83" s="100"/>
      <c r="H83" s="110"/>
    </row>
    <row r="84" spans="1:8" s="5" customFormat="1" ht="11.25" customHeight="1" x14ac:dyDescent="0.2">
      <c r="A84" s="10"/>
      <c r="B84" s="10"/>
      <c r="C84" s="11"/>
      <c r="D84" s="11" t="s">
        <v>2318</v>
      </c>
      <c r="E84" s="167" t="s">
        <v>1799</v>
      </c>
      <c r="F84" s="168">
        <v>100</v>
      </c>
      <c r="G84" s="161">
        <v>22697</v>
      </c>
      <c r="H84" s="164">
        <v>54.839846675772129</v>
      </c>
    </row>
    <row r="85" spans="1:8" s="5" customFormat="1" ht="11.25" customHeight="1" x14ac:dyDescent="0.2">
      <c r="A85" s="10"/>
      <c r="B85" s="10"/>
      <c r="C85" s="11"/>
      <c r="D85" s="11"/>
      <c r="E85" s="94"/>
      <c r="F85" s="109"/>
      <c r="G85" s="100"/>
      <c r="H85" s="110"/>
    </row>
    <row r="86" spans="1:8" s="5" customFormat="1" ht="11.25" customHeight="1" x14ac:dyDescent="0.2">
      <c r="A86" s="10" t="s">
        <v>1869</v>
      </c>
      <c r="B86" s="10"/>
      <c r="C86" s="12" t="s">
        <v>1147</v>
      </c>
      <c r="D86" s="11" t="s">
        <v>1736</v>
      </c>
      <c r="E86" s="94">
        <v>8849</v>
      </c>
      <c r="F86" s="109">
        <v>60.431605545311754</v>
      </c>
      <c r="G86" s="100"/>
      <c r="H86" s="110"/>
    </row>
    <row r="87" spans="1:8" s="5" customFormat="1" ht="11.25" customHeight="1" x14ac:dyDescent="0.2">
      <c r="A87" s="10"/>
      <c r="B87" s="10"/>
      <c r="C87" s="11" t="s">
        <v>1148</v>
      </c>
      <c r="D87" s="11" t="s">
        <v>1071</v>
      </c>
      <c r="E87" s="94">
        <v>735</v>
      </c>
      <c r="F87" s="109">
        <v>5.0194632247490265</v>
      </c>
      <c r="G87" s="100"/>
      <c r="H87" s="110"/>
    </row>
    <row r="88" spans="1:8" s="5" customFormat="1" ht="11.25" customHeight="1" x14ac:dyDescent="0.2">
      <c r="A88" s="10"/>
      <c r="B88" s="10"/>
      <c r="C88" s="11" t="s">
        <v>1149</v>
      </c>
      <c r="D88" s="11" t="s">
        <v>1072</v>
      </c>
      <c r="E88" s="94">
        <v>4339</v>
      </c>
      <c r="F88" s="109">
        <v>29.651906030185071</v>
      </c>
      <c r="G88" s="100"/>
      <c r="H88" s="110"/>
    </row>
    <row r="89" spans="1:8" s="5" customFormat="1" ht="11.25" customHeight="1" x14ac:dyDescent="0.2">
      <c r="A89" s="10"/>
      <c r="B89" s="10"/>
      <c r="C89" s="11" t="s">
        <v>1150</v>
      </c>
      <c r="D89" s="11" t="s">
        <v>655</v>
      </c>
      <c r="E89" s="94">
        <v>720</v>
      </c>
      <c r="F89" s="109">
        <v>4.9170251997541481</v>
      </c>
      <c r="G89" s="100"/>
      <c r="H89" s="110"/>
    </row>
    <row r="90" spans="1:8" s="5" customFormat="1" ht="11.25" customHeight="1" x14ac:dyDescent="0.2">
      <c r="A90" s="10"/>
      <c r="B90" s="10"/>
      <c r="C90" s="11"/>
      <c r="D90" s="11" t="s">
        <v>2318</v>
      </c>
      <c r="E90" s="167" t="s">
        <v>1800</v>
      </c>
      <c r="F90" s="168">
        <v>100.02</v>
      </c>
      <c r="G90" s="161">
        <v>28518</v>
      </c>
      <c r="H90" s="164">
        <v>51.420155691142433</v>
      </c>
    </row>
    <row r="91" spans="1:8" s="5" customFormat="1" ht="11.25" customHeight="1" x14ac:dyDescent="0.2">
      <c r="A91" s="10"/>
      <c r="B91" s="10"/>
      <c r="C91" s="11"/>
      <c r="D91" s="11"/>
      <c r="E91" s="94"/>
      <c r="F91" s="109"/>
      <c r="G91" s="100"/>
      <c r="H91" s="110"/>
    </row>
    <row r="92" spans="1:8" s="5" customFormat="1" ht="11.25" customHeight="1" x14ac:dyDescent="0.2">
      <c r="A92" s="10" t="s">
        <v>1873</v>
      </c>
      <c r="B92" s="10"/>
      <c r="C92" s="11" t="s">
        <v>1151</v>
      </c>
      <c r="D92" s="11" t="s">
        <v>1071</v>
      </c>
      <c r="E92" s="94">
        <v>916</v>
      </c>
      <c r="F92" s="109">
        <v>10.139473101616117</v>
      </c>
      <c r="G92" s="100"/>
      <c r="H92" s="110"/>
    </row>
    <row r="93" spans="1:8" s="5" customFormat="1" ht="11.25" customHeight="1" x14ac:dyDescent="0.2">
      <c r="A93" s="10"/>
      <c r="B93" s="10"/>
      <c r="C93" s="12" t="s">
        <v>1875</v>
      </c>
      <c r="D93" s="11" t="s">
        <v>1736</v>
      </c>
      <c r="E93" s="94">
        <v>4410</v>
      </c>
      <c r="F93" s="109">
        <v>48.815585565640909</v>
      </c>
      <c r="G93" s="100"/>
      <c r="H93" s="110"/>
    </row>
    <row r="94" spans="1:8" s="5" customFormat="1" ht="11.25" customHeight="1" x14ac:dyDescent="0.2">
      <c r="A94" s="10"/>
      <c r="B94" s="10"/>
      <c r="C94" s="11" t="s">
        <v>1152</v>
      </c>
      <c r="D94" s="11" t="s">
        <v>1072</v>
      </c>
      <c r="E94" s="94">
        <v>2817</v>
      </c>
      <c r="F94" s="109">
        <v>31.182200575603275</v>
      </c>
      <c r="G94" s="100"/>
      <c r="H94" s="110"/>
    </row>
    <row r="95" spans="1:8" s="5" customFormat="1" ht="11.25" customHeight="1" x14ac:dyDescent="0.2">
      <c r="A95" s="10"/>
      <c r="B95" s="10"/>
      <c r="C95" s="11" t="s">
        <v>3122</v>
      </c>
      <c r="D95" s="11" t="s">
        <v>655</v>
      </c>
      <c r="E95" s="94">
        <v>891</v>
      </c>
      <c r="F95" s="109">
        <v>9.8627407571396937</v>
      </c>
      <c r="G95" s="100"/>
      <c r="H95" s="110"/>
    </row>
    <row r="96" spans="1:8" s="5" customFormat="1" ht="11.25" customHeight="1" x14ac:dyDescent="0.2">
      <c r="A96" s="10"/>
      <c r="B96" s="10"/>
      <c r="C96" s="11"/>
      <c r="D96" s="11" t="s">
        <v>2318</v>
      </c>
      <c r="E96" s="167" t="s">
        <v>1801</v>
      </c>
      <c r="F96" s="168">
        <v>100</v>
      </c>
      <c r="G96" s="161">
        <v>21947</v>
      </c>
      <c r="H96" s="164">
        <v>41.404292158381558</v>
      </c>
    </row>
    <row r="97" spans="1:8" s="5" customFormat="1" ht="11.25" customHeight="1" x14ac:dyDescent="0.2">
      <c r="A97" s="10"/>
      <c r="B97" s="10"/>
      <c r="C97" s="11"/>
      <c r="D97" s="11"/>
      <c r="E97" s="94"/>
      <c r="F97" s="109"/>
      <c r="G97" s="100"/>
      <c r="H97" s="110"/>
    </row>
    <row r="98" spans="1:8" s="5" customFormat="1" ht="11.25" customHeight="1" x14ac:dyDescent="0.2">
      <c r="A98" s="10" t="s">
        <v>3211</v>
      </c>
      <c r="B98" s="10"/>
      <c r="C98" s="11" t="s">
        <v>3123</v>
      </c>
      <c r="D98" s="11" t="s">
        <v>1071</v>
      </c>
      <c r="E98" s="94">
        <v>583</v>
      </c>
      <c r="F98" s="109">
        <v>4.1102650874224471</v>
      </c>
      <c r="G98" s="100"/>
      <c r="H98" s="110"/>
    </row>
    <row r="99" spans="1:8" s="5" customFormat="1" ht="11.25" customHeight="1" x14ac:dyDescent="0.2">
      <c r="A99" s="10"/>
      <c r="B99" s="10"/>
      <c r="C99" s="11" t="s">
        <v>3124</v>
      </c>
      <c r="D99" s="11" t="s">
        <v>655</v>
      </c>
      <c r="E99" s="94">
        <v>435</v>
      </c>
      <c r="F99" s="109">
        <v>3.0668358714043995</v>
      </c>
      <c r="G99" s="100"/>
      <c r="H99" s="110"/>
    </row>
    <row r="100" spans="1:8" s="5" customFormat="1" ht="11.25" customHeight="1" x14ac:dyDescent="0.2">
      <c r="A100" s="10"/>
      <c r="B100" s="10"/>
      <c r="C100" s="12" t="s">
        <v>3214</v>
      </c>
      <c r="D100" s="11" t="s">
        <v>1736</v>
      </c>
      <c r="E100" s="94">
        <v>8247</v>
      </c>
      <c r="F100" s="109">
        <v>58.142978003384094</v>
      </c>
      <c r="G100" s="100"/>
      <c r="H100" s="110"/>
    </row>
    <row r="101" spans="1:8" s="5" customFormat="1" ht="11.25" customHeight="1" x14ac:dyDescent="0.2">
      <c r="A101" s="10"/>
      <c r="B101" s="10"/>
      <c r="C101" s="11" t="s">
        <v>3125</v>
      </c>
      <c r="D101" s="11" t="s">
        <v>1072</v>
      </c>
      <c r="E101" s="94">
        <v>4919</v>
      </c>
      <c r="F101" s="109">
        <v>34.679921037789057</v>
      </c>
      <c r="G101" s="100"/>
      <c r="H101" s="110"/>
    </row>
    <row r="102" spans="1:8" s="5" customFormat="1" ht="11.25" customHeight="1" x14ac:dyDescent="0.2">
      <c r="A102" s="10"/>
      <c r="B102" s="10"/>
      <c r="C102" s="11"/>
      <c r="D102" s="11" t="s">
        <v>2318</v>
      </c>
      <c r="E102" s="167" t="s">
        <v>1802</v>
      </c>
      <c r="F102" s="168">
        <v>100</v>
      </c>
      <c r="G102" s="161">
        <v>23818</v>
      </c>
      <c r="H102" s="164">
        <v>59.673356285162484</v>
      </c>
    </row>
    <row r="103" spans="1:8" s="5" customFormat="1" ht="11.25" customHeight="1" x14ac:dyDescent="0.2">
      <c r="A103" s="10"/>
      <c r="B103" s="10"/>
      <c r="C103" s="11"/>
      <c r="D103" s="11"/>
      <c r="E103" s="94"/>
      <c r="F103" s="109"/>
      <c r="G103" s="100"/>
      <c r="H103" s="110"/>
    </row>
    <row r="104" spans="1:8" s="5" customFormat="1" ht="11.25" customHeight="1" x14ac:dyDescent="0.2">
      <c r="A104" s="10" t="s">
        <v>3216</v>
      </c>
      <c r="B104" s="10"/>
      <c r="C104" s="11" t="s">
        <v>3126</v>
      </c>
      <c r="D104" s="11" t="s">
        <v>1071</v>
      </c>
      <c r="E104" s="94">
        <v>560</v>
      </c>
      <c r="F104" s="109">
        <v>4.7619047619047619</v>
      </c>
      <c r="G104" s="100"/>
      <c r="H104" s="110"/>
    </row>
    <row r="105" spans="1:8" s="5" customFormat="1" ht="11.25" customHeight="1" x14ac:dyDescent="0.2">
      <c r="A105" s="10"/>
      <c r="B105" s="10"/>
      <c r="C105" s="12" t="s">
        <v>3217</v>
      </c>
      <c r="D105" s="11" t="s">
        <v>1736</v>
      </c>
      <c r="E105" s="94">
        <v>7761</v>
      </c>
      <c r="F105" s="109">
        <v>65.994897959183675</v>
      </c>
      <c r="G105" s="100"/>
      <c r="H105" s="110"/>
    </row>
    <row r="106" spans="1:8" s="5" customFormat="1" ht="11.25" customHeight="1" x14ac:dyDescent="0.2">
      <c r="A106" s="10"/>
      <c r="B106" s="10"/>
      <c r="C106" s="11" t="s">
        <v>3127</v>
      </c>
      <c r="D106" s="11" t="s">
        <v>1072</v>
      </c>
      <c r="E106" s="94">
        <v>2906</v>
      </c>
      <c r="F106" s="109">
        <v>24.710884353741498</v>
      </c>
      <c r="G106" s="100"/>
      <c r="H106" s="110"/>
    </row>
    <row r="107" spans="1:8" s="5" customFormat="1" ht="11.25" customHeight="1" x14ac:dyDescent="0.2">
      <c r="A107" s="10"/>
      <c r="B107" s="10"/>
      <c r="C107" s="11" t="s">
        <v>3128</v>
      </c>
      <c r="D107" s="11" t="s">
        <v>655</v>
      </c>
      <c r="E107" s="94">
        <v>533</v>
      </c>
      <c r="F107" s="109">
        <v>4.5323129251700678</v>
      </c>
      <c r="G107" s="100"/>
      <c r="H107" s="110"/>
    </row>
    <row r="108" spans="1:8" s="5" customFormat="1" ht="11.25" customHeight="1" x14ac:dyDescent="0.2">
      <c r="A108" s="10"/>
      <c r="B108" s="10"/>
      <c r="C108" s="11"/>
      <c r="D108" s="11" t="s">
        <v>2318</v>
      </c>
      <c r="E108" s="167" t="s">
        <v>1803</v>
      </c>
      <c r="F108" s="168">
        <v>100</v>
      </c>
      <c r="G108" s="161">
        <v>21660</v>
      </c>
      <c r="H108" s="164">
        <v>54.381348107109879</v>
      </c>
    </row>
    <row r="109" spans="1:8" s="5" customFormat="1" ht="11.25" customHeight="1" x14ac:dyDescent="0.2">
      <c r="A109" s="10"/>
      <c r="B109" s="10"/>
      <c r="C109" s="11"/>
      <c r="D109" s="11"/>
      <c r="E109" s="94"/>
      <c r="F109" s="109"/>
      <c r="G109" s="100"/>
      <c r="H109" s="110"/>
    </row>
    <row r="110" spans="1:8" s="5" customFormat="1" ht="11.25" customHeight="1" x14ac:dyDescent="0.2">
      <c r="A110" s="10" t="s">
        <v>3220</v>
      </c>
      <c r="B110" s="10"/>
      <c r="C110" s="11" t="s">
        <v>3129</v>
      </c>
      <c r="D110" s="11" t="s">
        <v>1071</v>
      </c>
      <c r="E110" s="94">
        <v>876</v>
      </c>
      <c r="F110" s="109">
        <v>10.0747556066705</v>
      </c>
      <c r="G110" s="100"/>
      <c r="H110" s="110"/>
    </row>
    <row r="111" spans="1:8" s="5" customFormat="1" ht="11.25" customHeight="1" x14ac:dyDescent="0.2">
      <c r="A111" s="10"/>
      <c r="B111" s="10"/>
      <c r="C111" s="12" t="s">
        <v>3225</v>
      </c>
      <c r="D111" s="11" t="s">
        <v>1736</v>
      </c>
      <c r="E111" s="94">
        <v>5118</v>
      </c>
      <c r="F111" s="109">
        <v>58.861414606095451</v>
      </c>
      <c r="G111" s="100"/>
      <c r="H111" s="110"/>
    </row>
    <row r="112" spans="1:8" s="5" customFormat="1" ht="11.25" customHeight="1" x14ac:dyDescent="0.2">
      <c r="A112" s="10"/>
      <c r="B112" s="10"/>
      <c r="C112" s="11" t="s">
        <v>3130</v>
      </c>
      <c r="D112" s="11" t="s">
        <v>1072</v>
      </c>
      <c r="E112" s="94">
        <v>2701</v>
      </c>
      <c r="F112" s="109">
        <v>31.013829787234044</v>
      </c>
      <c r="G112" s="100"/>
      <c r="H112" s="110"/>
    </row>
    <row r="113" spans="1:8" s="5" customFormat="1" ht="11.25" customHeight="1" x14ac:dyDescent="0.2">
      <c r="A113" s="10"/>
      <c r="B113" s="10"/>
      <c r="C113" s="11"/>
      <c r="D113" s="11" t="s">
        <v>2318</v>
      </c>
      <c r="E113" s="167" t="s">
        <v>1804</v>
      </c>
      <c r="F113" s="168">
        <v>99.95</v>
      </c>
      <c r="G113" s="161">
        <v>20847</v>
      </c>
      <c r="H113" s="164">
        <v>41.842951024128169</v>
      </c>
    </row>
    <row r="114" spans="1:8" s="5" customFormat="1" ht="11.25" customHeight="1" x14ac:dyDescent="0.2">
      <c r="A114" s="10"/>
      <c r="B114" s="10"/>
      <c r="C114" s="11"/>
      <c r="D114" s="11"/>
      <c r="E114" s="94"/>
      <c r="F114" s="109"/>
      <c r="G114" s="100"/>
      <c r="H114" s="110"/>
    </row>
    <row r="115" spans="1:8" s="5" customFormat="1" ht="11.25" customHeight="1" x14ac:dyDescent="0.2">
      <c r="A115" s="10" t="s">
        <v>3227</v>
      </c>
      <c r="B115" s="10"/>
      <c r="C115" s="11" t="s">
        <v>3131</v>
      </c>
      <c r="D115" s="11" t="s">
        <v>1072</v>
      </c>
      <c r="E115" s="94">
        <v>2576</v>
      </c>
      <c r="F115" s="109">
        <v>33.187322854934301</v>
      </c>
      <c r="G115" s="100"/>
      <c r="H115" s="110"/>
    </row>
    <row r="116" spans="1:8" s="5" customFormat="1" ht="11.25" customHeight="1" x14ac:dyDescent="0.2">
      <c r="A116" s="10"/>
      <c r="B116" s="10"/>
      <c r="C116" s="11" t="s">
        <v>3132</v>
      </c>
      <c r="D116" s="11" t="s">
        <v>1071</v>
      </c>
      <c r="E116" s="94">
        <v>536</v>
      </c>
      <c r="F116" s="109">
        <v>6.9054367431074457</v>
      </c>
      <c r="G116" s="100"/>
      <c r="H116" s="110"/>
    </row>
    <row r="117" spans="1:8" s="5" customFormat="1" ht="11.25" customHeight="1" x14ac:dyDescent="0.2">
      <c r="A117" s="10"/>
      <c r="B117" s="10"/>
      <c r="C117" s="12" t="s">
        <v>3229</v>
      </c>
      <c r="D117" s="11" t="s">
        <v>1736</v>
      </c>
      <c r="E117" s="94">
        <v>4556</v>
      </c>
      <c r="F117" s="109">
        <v>58.696212316413302</v>
      </c>
      <c r="G117" s="100"/>
      <c r="H117" s="110"/>
    </row>
    <row r="118" spans="1:8" s="5" customFormat="1" ht="11.25" customHeight="1" x14ac:dyDescent="0.2">
      <c r="A118" s="10"/>
      <c r="B118" s="10"/>
      <c r="C118" s="11" t="s">
        <v>3133</v>
      </c>
      <c r="D118" s="11" t="s">
        <v>488</v>
      </c>
      <c r="E118" s="94">
        <v>94</v>
      </c>
      <c r="F118" s="109">
        <v>1.2110280855449627</v>
      </c>
      <c r="G118" s="100"/>
      <c r="H118" s="110"/>
    </row>
    <row r="119" spans="1:8" s="5" customFormat="1" ht="11.25" customHeight="1" x14ac:dyDescent="0.2">
      <c r="A119" s="10"/>
      <c r="B119" s="10"/>
      <c r="C119" s="11"/>
      <c r="D119" s="11" t="s">
        <v>2318</v>
      </c>
      <c r="E119" s="167" t="s">
        <v>1805</v>
      </c>
      <c r="F119" s="168">
        <v>100</v>
      </c>
      <c r="G119" s="161">
        <v>19703</v>
      </c>
      <c r="H119" s="164">
        <v>39.486372633609093</v>
      </c>
    </row>
    <row r="120" spans="1:8" s="5" customFormat="1" ht="11.25" customHeight="1" x14ac:dyDescent="0.2">
      <c r="A120" s="10"/>
      <c r="B120" s="10"/>
      <c r="C120" s="11"/>
      <c r="D120" s="11"/>
      <c r="E120" s="94"/>
      <c r="F120" s="109"/>
      <c r="G120" s="100"/>
      <c r="H120" s="110"/>
    </row>
    <row r="121" spans="1:8" s="5" customFormat="1" ht="11.25" customHeight="1" x14ac:dyDescent="0.2">
      <c r="A121" s="10" t="s">
        <v>3231</v>
      </c>
      <c r="B121" s="10"/>
      <c r="C121" s="11" t="s">
        <v>3134</v>
      </c>
      <c r="D121" s="11" t="s">
        <v>655</v>
      </c>
      <c r="E121" s="94">
        <v>2085</v>
      </c>
      <c r="F121" s="109">
        <v>18.497161107168207</v>
      </c>
      <c r="G121" s="100"/>
      <c r="H121" s="110"/>
    </row>
    <row r="122" spans="1:8" s="5" customFormat="1" ht="11.25" customHeight="1" x14ac:dyDescent="0.2">
      <c r="A122" s="10"/>
      <c r="B122" s="10"/>
      <c r="C122" s="11" t="s">
        <v>3135</v>
      </c>
      <c r="D122" s="11" t="s">
        <v>1072</v>
      </c>
      <c r="E122" s="94">
        <v>3269</v>
      </c>
      <c r="F122" s="109">
        <v>29.001064584811925</v>
      </c>
      <c r="G122" s="100"/>
      <c r="H122" s="110"/>
    </row>
    <row r="123" spans="1:8" s="5" customFormat="1" ht="11.25" customHeight="1" x14ac:dyDescent="0.2">
      <c r="A123" s="10"/>
      <c r="B123" s="10"/>
      <c r="C123" s="12" t="s">
        <v>3232</v>
      </c>
      <c r="D123" s="11" t="s">
        <v>1736</v>
      </c>
      <c r="E123" s="94">
        <v>5468</v>
      </c>
      <c r="F123" s="109">
        <v>48.509581263307311</v>
      </c>
      <c r="G123" s="100"/>
      <c r="H123" s="110"/>
    </row>
    <row r="124" spans="1:8" s="5" customFormat="1" ht="11.25" customHeight="1" x14ac:dyDescent="0.2">
      <c r="A124" s="10"/>
      <c r="B124" s="10"/>
      <c r="C124" s="11" t="s">
        <v>3136</v>
      </c>
      <c r="D124" s="11" t="s">
        <v>1071</v>
      </c>
      <c r="E124" s="94">
        <v>450</v>
      </c>
      <c r="F124" s="109">
        <v>3.9921930447125624</v>
      </c>
      <c r="G124" s="100"/>
      <c r="H124" s="110"/>
    </row>
    <row r="125" spans="1:8" s="5" customFormat="1" ht="11.25" customHeight="1" x14ac:dyDescent="0.2">
      <c r="A125" s="10"/>
      <c r="B125" s="10"/>
      <c r="C125" s="11"/>
      <c r="D125" s="11" t="s">
        <v>2318</v>
      </c>
      <c r="E125" s="167" t="s">
        <v>1806</v>
      </c>
      <c r="F125" s="168">
        <v>100</v>
      </c>
      <c r="G125" s="161">
        <v>22464</v>
      </c>
      <c r="H125" s="164">
        <v>50.338319088319089</v>
      </c>
    </row>
    <row r="126" spans="1:8" s="5" customFormat="1" ht="11.25" customHeight="1" x14ac:dyDescent="0.2">
      <c r="A126" s="10"/>
      <c r="B126" s="10"/>
      <c r="C126" s="11"/>
      <c r="D126" s="11"/>
      <c r="E126" s="94"/>
      <c r="F126" s="109"/>
      <c r="G126" s="100"/>
      <c r="H126" s="110"/>
    </row>
    <row r="127" spans="1:8" s="5" customFormat="1" ht="11.25" customHeight="1" x14ac:dyDescent="0.2">
      <c r="A127" s="10" t="s">
        <v>3235</v>
      </c>
      <c r="B127" s="10"/>
      <c r="C127" s="12" t="s">
        <v>3238</v>
      </c>
      <c r="D127" s="11" t="s">
        <v>1736</v>
      </c>
      <c r="E127" s="94">
        <v>6379</v>
      </c>
      <c r="F127" s="109">
        <v>58.743899069895946</v>
      </c>
      <c r="G127" s="100"/>
      <c r="H127" s="110"/>
    </row>
    <row r="128" spans="1:8" s="5" customFormat="1" ht="11.25" customHeight="1" x14ac:dyDescent="0.2">
      <c r="A128" s="10"/>
      <c r="B128" s="10"/>
      <c r="C128" s="11" t="s">
        <v>3137</v>
      </c>
      <c r="D128" s="11" t="s">
        <v>655</v>
      </c>
      <c r="E128" s="94">
        <v>1183</v>
      </c>
      <c r="F128" s="109">
        <v>10.894189151855603</v>
      </c>
      <c r="G128" s="100"/>
      <c r="H128" s="110"/>
    </row>
    <row r="129" spans="1:8" s="5" customFormat="1" ht="11.25" customHeight="1" x14ac:dyDescent="0.2">
      <c r="A129" s="10"/>
      <c r="B129" s="10"/>
      <c r="C129" s="11" t="s">
        <v>3138</v>
      </c>
      <c r="D129" s="11" t="s">
        <v>1072</v>
      </c>
      <c r="E129" s="94">
        <v>3297</v>
      </c>
      <c r="F129" s="109">
        <v>30.361911778248459</v>
      </c>
      <c r="G129" s="100"/>
      <c r="H129" s="110"/>
    </row>
    <row r="130" spans="1:8" s="5" customFormat="1" ht="11.25" customHeight="1" x14ac:dyDescent="0.2">
      <c r="A130" s="10"/>
      <c r="B130" s="10"/>
      <c r="C130" s="11"/>
      <c r="D130" s="11" t="s">
        <v>2318</v>
      </c>
      <c r="E130" s="167" t="s">
        <v>1807</v>
      </c>
      <c r="F130" s="168">
        <v>100</v>
      </c>
      <c r="G130" s="161">
        <v>22524</v>
      </c>
      <c r="H130" s="164">
        <v>48.526016693304918</v>
      </c>
    </row>
    <row r="131" spans="1:8" s="5" customFormat="1" ht="11.25" customHeight="1" x14ac:dyDescent="0.2">
      <c r="A131" s="10"/>
      <c r="B131" s="10"/>
      <c r="C131" s="11"/>
      <c r="D131" s="11"/>
      <c r="E131" s="94"/>
      <c r="F131" s="109"/>
      <c r="G131" s="100"/>
      <c r="H131" s="110"/>
    </row>
    <row r="132" spans="1:8" s="5" customFormat="1" ht="11.25" customHeight="1" x14ac:dyDescent="0.2">
      <c r="A132" s="10" t="s">
        <v>3240</v>
      </c>
      <c r="B132" s="10"/>
      <c r="C132" s="11" t="s">
        <v>3139</v>
      </c>
      <c r="D132" s="11" t="s">
        <v>1072</v>
      </c>
      <c r="E132" s="94">
        <v>7226</v>
      </c>
      <c r="F132" s="109">
        <v>41.863159724233824</v>
      </c>
      <c r="G132" s="100"/>
      <c r="H132" s="110"/>
    </row>
    <row r="133" spans="1:8" s="5" customFormat="1" ht="11.25" customHeight="1" x14ac:dyDescent="0.2">
      <c r="A133" s="10"/>
      <c r="B133" s="10"/>
      <c r="C133" s="12" t="s">
        <v>1170</v>
      </c>
      <c r="D133" s="11" t="s">
        <v>1736</v>
      </c>
      <c r="E133" s="94">
        <v>9190</v>
      </c>
      <c r="F133" s="109">
        <v>53.241411273970215</v>
      </c>
      <c r="G133" s="100"/>
      <c r="H133" s="110"/>
    </row>
    <row r="134" spans="1:8" s="5" customFormat="1" ht="11.25" customHeight="1" x14ac:dyDescent="0.2">
      <c r="A134" s="10"/>
      <c r="B134" s="10"/>
      <c r="C134" s="11" t="s">
        <v>3140</v>
      </c>
      <c r="D134" s="11" t="s">
        <v>655</v>
      </c>
      <c r="E134" s="94">
        <v>342</v>
      </c>
      <c r="F134" s="109">
        <v>1.981345229129251</v>
      </c>
      <c r="G134" s="100"/>
      <c r="H134" s="110"/>
    </row>
    <row r="135" spans="1:8" s="5" customFormat="1" ht="11.25" customHeight="1" x14ac:dyDescent="0.2">
      <c r="A135" s="10"/>
      <c r="B135" s="10"/>
      <c r="C135" s="11" t="s">
        <v>3141</v>
      </c>
      <c r="D135" s="11" t="s">
        <v>1071</v>
      </c>
      <c r="E135" s="94">
        <v>503</v>
      </c>
      <c r="F135" s="109">
        <v>2.914083772666705</v>
      </c>
      <c r="G135" s="100"/>
      <c r="H135" s="110"/>
    </row>
    <row r="136" spans="1:8" s="5" customFormat="1" ht="11.25" customHeight="1" x14ac:dyDescent="0.2">
      <c r="A136" s="10"/>
      <c r="B136" s="10"/>
      <c r="C136" s="11"/>
      <c r="D136" s="11" t="s">
        <v>2318</v>
      </c>
      <c r="E136" s="167" t="s">
        <v>1808</v>
      </c>
      <c r="F136" s="168">
        <v>100</v>
      </c>
      <c r="G136" s="161">
        <v>28836</v>
      </c>
      <c r="H136" s="164">
        <v>59.921625745595783</v>
      </c>
    </row>
    <row r="137" spans="1:8" s="5" customFormat="1" ht="11.25" customHeight="1" x14ac:dyDescent="0.2">
      <c r="A137" s="10"/>
      <c r="B137" s="10"/>
      <c r="C137" s="11"/>
      <c r="D137" s="11"/>
      <c r="E137" s="94"/>
      <c r="F137" s="109"/>
      <c r="G137" s="100"/>
      <c r="H137" s="110"/>
    </row>
    <row r="138" spans="1:8" s="5" customFormat="1" ht="11.25" customHeight="1" x14ac:dyDescent="0.2">
      <c r="A138" s="10" t="s">
        <v>1172</v>
      </c>
      <c r="B138" s="10"/>
      <c r="C138" s="11" t="s">
        <v>3142</v>
      </c>
      <c r="D138" s="11" t="s">
        <v>1071</v>
      </c>
      <c r="E138" s="94">
        <v>715</v>
      </c>
      <c r="F138" s="109">
        <v>5.8993399339933994</v>
      </c>
      <c r="G138" s="100"/>
      <c r="H138" s="110"/>
    </row>
    <row r="139" spans="1:8" s="5" customFormat="1" ht="11.25" customHeight="1" x14ac:dyDescent="0.2">
      <c r="A139" s="10"/>
      <c r="B139" s="10"/>
      <c r="C139" s="11" t="s">
        <v>3143</v>
      </c>
      <c r="D139" s="11" t="s">
        <v>655</v>
      </c>
      <c r="E139" s="94">
        <v>696</v>
      </c>
      <c r="F139" s="109">
        <v>5.7425742574257432</v>
      </c>
      <c r="G139" s="100"/>
      <c r="H139" s="110"/>
    </row>
    <row r="140" spans="1:8" s="5" customFormat="1" ht="11.25" customHeight="1" x14ac:dyDescent="0.2">
      <c r="A140" s="10"/>
      <c r="B140" s="10"/>
      <c r="C140" s="12" t="s">
        <v>1173</v>
      </c>
      <c r="D140" s="11" t="s">
        <v>1736</v>
      </c>
      <c r="E140" s="94">
        <v>7815</v>
      </c>
      <c r="F140" s="109">
        <v>64.480198019801975</v>
      </c>
      <c r="G140" s="100"/>
      <c r="H140" s="110"/>
    </row>
    <row r="141" spans="1:8" s="5" customFormat="1" ht="11.25" customHeight="1" x14ac:dyDescent="0.2">
      <c r="A141" s="10"/>
      <c r="B141" s="10"/>
      <c r="C141" s="11" t="s">
        <v>1175</v>
      </c>
      <c r="D141" s="11" t="s">
        <v>1072</v>
      </c>
      <c r="E141" s="94">
        <v>2894</v>
      </c>
      <c r="F141" s="109">
        <v>23.877887788778878</v>
      </c>
      <c r="G141" s="100"/>
      <c r="H141" s="110"/>
    </row>
    <row r="142" spans="1:8" s="5" customFormat="1" ht="11.25" customHeight="1" x14ac:dyDescent="0.2">
      <c r="A142" s="10"/>
      <c r="B142" s="10"/>
      <c r="C142" s="11"/>
      <c r="D142" s="11" t="s">
        <v>2318</v>
      </c>
      <c r="E142" s="167" t="s">
        <v>1809</v>
      </c>
      <c r="F142" s="168">
        <v>100</v>
      </c>
      <c r="G142" s="161">
        <v>26461</v>
      </c>
      <c r="H142" s="164">
        <v>45.909073731151508</v>
      </c>
    </row>
    <row r="143" spans="1:8" s="5" customFormat="1" ht="11.25" customHeight="1" x14ac:dyDescent="0.2">
      <c r="A143" s="10"/>
      <c r="B143" s="10"/>
      <c r="C143" s="11"/>
      <c r="D143" s="11"/>
      <c r="E143" s="94"/>
      <c r="F143" s="109"/>
      <c r="G143" s="100"/>
      <c r="H143" s="110"/>
    </row>
    <row r="144" spans="1:8" s="5" customFormat="1" ht="11.25" customHeight="1" x14ac:dyDescent="0.2">
      <c r="A144" s="10" t="s">
        <v>1176</v>
      </c>
      <c r="B144" s="10"/>
      <c r="C144" s="12" t="s">
        <v>3144</v>
      </c>
      <c r="D144" s="11" t="s">
        <v>1736</v>
      </c>
      <c r="E144" s="94">
        <v>12304</v>
      </c>
      <c r="F144" s="109">
        <v>75.290662097662462</v>
      </c>
      <c r="G144" s="100"/>
      <c r="H144" s="110"/>
    </row>
    <row r="145" spans="1:8" s="5" customFormat="1" ht="11.25" customHeight="1" x14ac:dyDescent="0.2">
      <c r="A145" s="10"/>
      <c r="B145" s="10"/>
      <c r="C145" s="11" t="s">
        <v>3145</v>
      </c>
      <c r="D145" s="11" t="s">
        <v>1072</v>
      </c>
      <c r="E145" s="94">
        <v>2860</v>
      </c>
      <c r="F145" s="109">
        <v>17.500917880308407</v>
      </c>
      <c r="G145" s="100"/>
      <c r="H145" s="110"/>
    </row>
    <row r="146" spans="1:8" s="5" customFormat="1" ht="11.25" customHeight="1" x14ac:dyDescent="0.2">
      <c r="A146" s="10"/>
      <c r="B146" s="10"/>
      <c r="C146" s="11" t="s">
        <v>3146</v>
      </c>
      <c r="D146" s="11" t="s">
        <v>655</v>
      </c>
      <c r="E146" s="94">
        <v>485</v>
      </c>
      <c r="F146" s="109">
        <v>2.9678129971851668</v>
      </c>
      <c r="G146" s="100"/>
      <c r="H146" s="110"/>
    </row>
    <row r="147" spans="1:8" s="5" customFormat="1" ht="11.25" customHeight="1" x14ac:dyDescent="0.2">
      <c r="A147" s="10"/>
      <c r="B147" s="10"/>
      <c r="C147" s="11" t="s">
        <v>3147</v>
      </c>
      <c r="D147" s="11" t="s">
        <v>1071</v>
      </c>
      <c r="E147" s="94">
        <v>624</v>
      </c>
      <c r="F147" s="109">
        <v>3.8183820829763802</v>
      </c>
      <c r="G147" s="100"/>
      <c r="H147" s="110"/>
    </row>
    <row r="148" spans="1:8" s="5" customFormat="1" ht="11.25" customHeight="1" x14ac:dyDescent="0.2">
      <c r="A148" s="10"/>
      <c r="B148" s="10"/>
      <c r="C148" s="11" t="s">
        <v>3148</v>
      </c>
      <c r="D148" s="11" t="s">
        <v>488</v>
      </c>
      <c r="E148" s="94">
        <v>69</v>
      </c>
      <c r="F148" s="109">
        <v>0.42222494186758047</v>
      </c>
      <c r="G148" s="100"/>
      <c r="H148" s="110"/>
    </row>
    <row r="149" spans="1:8" s="5" customFormat="1" ht="11.25" customHeight="1" x14ac:dyDescent="0.2">
      <c r="A149" s="10"/>
      <c r="B149" s="10"/>
      <c r="C149" s="11"/>
      <c r="D149" s="11" t="s">
        <v>2318</v>
      </c>
      <c r="E149" s="167" t="s">
        <v>1810</v>
      </c>
      <c r="F149" s="168">
        <v>100</v>
      </c>
      <c r="G149" s="161">
        <v>33108</v>
      </c>
      <c r="H149" s="164">
        <v>49.414038902984174</v>
      </c>
    </row>
    <row r="150" spans="1:8" s="5" customFormat="1" ht="11.25" customHeight="1" x14ac:dyDescent="0.2">
      <c r="A150" s="10"/>
      <c r="B150" s="10"/>
      <c r="C150" s="11"/>
      <c r="D150" s="11"/>
      <c r="E150" s="94"/>
      <c r="F150" s="109"/>
      <c r="G150" s="100"/>
      <c r="H150" s="110"/>
    </row>
    <row r="151" spans="1:8" s="5" customFormat="1" ht="11.25" customHeight="1" x14ac:dyDescent="0.2">
      <c r="A151" s="10" t="s">
        <v>1183</v>
      </c>
      <c r="B151" s="10"/>
      <c r="C151" s="11" t="s">
        <v>3149</v>
      </c>
      <c r="D151" s="11" t="s">
        <v>1314</v>
      </c>
      <c r="E151" s="94">
        <v>132</v>
      </c>
      <c r="F151" s="109">
        <v>0.93856655290102398</v>
      </c>
      <c r="G151" s="100"/>
      <c r="H151" s="110"/>
    </row>
    <row r="152" spans="1:8" s="5" customFormat="1" ht="11.25" customHeight="1" x14ac:dyDescent="0.2">
      <c r="A152" s="10"/>
      <c r="B152" s="10"/>
      <c r="C152" s="11" t="s">
        <v>3150</v>
      </c>
      <c r="D152" s="11" t="s">
        <v>1071</v>
      </c>
      <c r="E152" s="94">
        <v>646</v>
      </c>
      <c r="F152" s="109">
        <v>4.5932878270762227</v>
      </c>
      <c r="G152" s="100"/>
      <c r="H152" s="110"/>
    </row>
    <row r="153" spans="1:8" s="5" customFormat="1" ht="11.25" customHeight="1" x14ac:dyDescent="0.2">
      <c r="A153" s="10"/>
      <c r="B153" s="10"/>
      <c r="C153" s="11" t="s">
        <v>3151</v>
      </c>
      <c r="D153" s="11" t="s">
        <v>655</v>
      </c>
      <c r="E153" s="94">
        <v>640</v>
      </c>
      <c r="F153" s="109">
        <v>4.5506257110352673</v>
      </c>
      <c r="G153" s="100"/>
      <c r="H153" s="110"/>
    </row>
    <row r="154" spans="1:8" s="5" customFormat="1" ht="11.25" customHeight="1" x14ac:dyDescent="0.2">
      <c r="A154" s="10"/>
      <c r="B154" s="10"/>
      <c r="C154" s="11" t="s">
        <v>3152</v>
      </c>
      <c r="D154" s="11" t="s">
        <v>1072</v>
      </c>
      <c r="E154" s="94">
        <v>5414</v>
      </c>
      <c r="F154" s="109">
        <v>38.495449374288967</v>
      </c>
      <c r="G154" s="100"/>
      <c r="H154" s="110"/>
    </row>
    <row r="155" spans="1:8" s="5" customFormat="1" ht="11.25" customHeight="1" x14ac:dyDescent="0.2">
      <c r="A155" s="10"/>
      <c r="B155" s="10"/>
      <c r="C155" s="12" t="s">
        <v>3153</v>
      </c>
      <c r="D155" s="11" t="s">
        <v>1736</v>
      </c>
      <c r="E155" s="94">
        <v>7232</v>
      </c>
      <c r="F155" s="109">
        <v>51.42207053469852</v>
      </c>
      <c r="G155" s="100"/>
      <c r="H155" s="110"/>
    </row>
    <row r="156" spans="1:8" s="5" customFormat="1" ht="11.25" customHeight="1" x14ac:dyDescent="0.2">
      <c r="A156" s="10"/>
      <c r="B156" s="10"/>
      <c r="C156" s="11"/>
      <c r="D156" s="11" t="s">
        <v>2318</v>
      </c>
      <c r="E156" s="167" t="s">
        <v>1811</v>
      </c>
      <c r="F156" s="168">
        <v>100</v>
      </c>
      <c r="G156" s="161">
        <v>23792</v>
      </c>
      <c r="H156" s="164">
        <v>59.208977807666443</v>
      </c>
    </row>
    <row r="157" spans="1:8" s="5" customFormat="1" ht="11.25" customHeight="1" x14ac:dyDescent="0.2">
      <c r="A157" s="10"/>
      <c r="B157" s="10"/>
      <c r="C157" s="11"/>
      <c r="D157" s="11"/>
      <c r="E157" s="94"/>
      <c r="F157" s="109"/>
      <c r="G157" s="100"/>
      <c r="H157" s="110"/>
    </row>
    <row r="158" spans="1:8" s="5" customFormat="1" ht="11.25" customHeight="1" x14ac:dyDescent="0.2">
      <c r="A158" s="10" t="s">
        <v>1188</v>
      </c>
      <c r="B158" s="10"/>
      <c r="C158" s="11" t="s">
        <v>3154</v>
      </c>
      <c r="D158" s="11" t="s">
        <v>1072</v>
      </c>
      <c r="E158" s="94">
        <v>4995</v>
      </c>
      <c r="F158" s="109">
        <v>33.129933010545862</v>
      </c>
      <c r="G158" s="100"/>
      <c r="H158" s="110"/>
    </row>
    <row r="159" spans="1:8" s="5" customFormat="1" ht="11.25" customHeight="1" x14ac:dyDescent="0.2">
      <c r="A159" s="10"/>
      <c r="B159" s="10"/>
      <c r="C159" s="11" t="s">
        <v>3155</v>
      </c>
      <c r="D159" s="11" t="s">
        <v>1071</v>
      </c>
      <c r="E159" s="94">
        <v>1070</v>
      </c>
      <c r="F159" s="109">
        <v>7.0969025668236387</v>
      </c>
      <c r="G159" s="100"/>
      <c r="H159" s="110"/>
    </row>
    <row r="160" spans="1:8" s="5" customFormat="1" ht="11.25" customHeight="1" x14ac:dyDescent="0.2">
      <c r="A160" s="10"/>
      <c r="B160" s="10"/>
      <c r="C160" s="12" t="s">
        <v>1190</v>
      </c>
      <c r="D160" s="11" t="s">
        <v>1736</v>
      </c>
      <c r="E160" s="94">
        <v>8478</v>
      </c>
      <c r="F160" s="109">
        <v>56.231345758440007</v>
      </c>
      <c r="G160" s="100"/>
      <c r="H160" s="110"/>
    </row>
    <row r="161" spans="1:8" s="5" customFormat="1" ht="11.25" customHeight="1" x14ac:dyDescent="0.2">
      <c r="A161" s="10"/>
      <c r="B161" s="10"/>
      <c r="C161" s="11" t="s">
        <v>3156</v>
      </c>
      <c r="D161" s="11" t="s">
        <v>655</v>
      </c>
      <c r="E161" s="94">
        <v>534</v>
      </c>
      <c r="F161" s="109">
        <v>3.5518186641904892</v>
      </c>
      <c r="G161" s="100"/>
      <c r="H161" s="110"/>
    </row>
    <row r="162" spans="1:8" s="5" customFormat="1" ht="11.25" customHeight="1" x14ac:dyDescent="0.2">
      <c r="A162" s="10"/>
      <c r="B162" s="10"/>
      <c r="C162" s="11"/>
      <c r="D162" s="11" t="s">
        <v>2318</v>
      </c>
      <c r="E162" s="167" t="s">
        <v>1812</v>
      </c>
      <c r="F162" s="168">
        <v>100.01</v>
      </c>
      <c r="G162" s="161">
        <v>26946</v>
      </c>
      <c r="H162" s="164">
        <v>56.000890670229346</v>
      </c>
    </row>
    <row r="163" spans="1:8" s="5" customFormat="1" ht="11.25" customHeight="1" x14ac:dyDescent="0.2">
      <c r="A163" s="10"/>
      <c r="B163" s="10"/>
      <c r="C163" s="11"/>
      <c r="D163" s="11"/>
      <c r="E163" s="94"/>
      <c r="F163" s="109"/>
      <c r="G163" s="100"/>
      <c r="H163" s="110"/>
    </row>
    <row r="164" spans="1:8" s="5" customFormat="1" ht="11.25" customHeight="1" x14ac:dyDescent="0.2">
      <c r="A164" s="10" t="s">
        <v>1023</v>
      </c>
      <c r="B164" s="10"/>
      <c r="C164" s="12" t="s">
        <v>841</v>
      </c>
      <c r="D164" s="11" t="s">
        <v>1736</v>
      </c>
      <c r="E164" s="94">
        <v>5157</v>
      </c>
      <c r="F164" s="109">
        <v>59.180628873077801</v>
      </c>
      <c r="G164" s="100"/>
      <c r="H164" s="110"/>
    </row>
    <row r="165" spans="1:8" s="5" customFormat="1" ht="11.25" customHeight="1" x14ac:dyDescent="0.2">
      <c r="A165" s="10"/>
      <c r="B165" s="10"/>
      <c r="C165" s="11" t="s">
        <v>842</v>
      </c>
      <c r="D165" s="11" t="s">
        <v>1072</v>
      </c>
      <c r="E165" s="94">
        <v>1471</v>
      </c>
      <c r="F165" s="109">
        <v>16.880881340371815</v>
      </c>
      <c r="G165" s="100"/>
      <c r="H165" s="110"/>
    </row>
    <row r="166" spans="1:8" s="5" customFormat="1" ht="11.25" customHeight="1" x14ac:dyDescent="0.2">
      <c r="A166" s="10"/>
      <c r="B166" s="10"/>
      <c r="C166" s="11" t="s">
        <v>843</v>
      </c>
      <c r="D166" s="11" t="s">
        <v>1071</v>
      </c>
      <c r="E166" s="94">
        <v>1568</v>
      </c>
      <c r="F166" s="109">
        <v>17.9940325912325</v>
      </c>
      <c r="G166" s="100"/>
      <c r="H166" s="110"/>
    </row>
    <row r="167" spans="1:8" s="5" customFormat="1" ht="11.25" customHeight="1" x14ac:dyDescent="0.2">
      <c r="A167" s="10"/>
      <c r="B167" s="10"/>
      <c r="C167" s="11" t="s">
        <v>1330</v>
      </c>
      <c r="D167" s="11" t="s">
        <v>655</v>
      </c>
      <c r="E167" s="94">
        <v>518</v>
      </c>
      <c r="F167" s="109">
        <v>5.9444571953178791</v>
      </c>
      <c r="G167" s="100"/>
      <c r="H167" s="110"/>
    </row>
    <row r="168" spans="1:8" s="5" customFormat="1" ht="11.25" customHeight="1" x14ac:dyDescent="0.2">
      <c r="A168" s="10"/>
      <c r="B168" s="10"/>
      <c r="C168" s="11"/>
      <c r="D168" s="11" t="s">
        <v>2318</v>
      </c>
      <c r="E168" s="167" t="s">
        <v>598</v>
      </c>
      <c r="F168" s="168">
        <v>100</v>
      </c>
      <c r="G168" s="161">
        <v>17741</v>
      </c>
      <c r="H168" s="164">
        <v>49.21932247336678</v>
      </c>
    </row>
    <row r="169" spans="1:8" s="5" customFormat="1" ht="11.25" customHeight="1" x14ac:dyDescent="0.2">
      <c r="A169" s="10"/>
      <c r="B169" s="10"/>
      <c r="C169" s="11"/>
      <c r="D169" s="11"/>
      <c r="E169" s="94"/>
      <c r="F169" s="109"/>
      <c r="G169" s="100"/>
      <c r="H169" s="110"/>
    </row>
    <row r="170" spans="1:8" s="5" customFormat="1" ht="11.25" customHeight="1" x14ac:dyDescent="0.2">
      <c r="A170" s="10" t="s">
        <v>1331</v>
      </c>
      <c r="B170" s="10"/>
      <c r="C170" s="11" t="s">
        <v>844</v>
      </c>
      <c r="D170" s="11" t="s">
        <v>1072</v>
      </c>
      <c r="E170" s="94">
        <v>6364</v>
      </c>
      <c r="F170" s="109">
        <v>44.250528328119572</v>
      </c>
      <c r="G170" s="100"/>
      <c r="H170" s="110"/>
    </row>
    <row r="171" spans="1:8" s="5" customFormat="1" ht="11.25" customHeight="1" x14ac:dyDescent="0.2">
      <c r="A171" s="10"/>
      <c r="B171" s="10"/>
      <c r="C171" s="11" t="s">
        <v>845</v>
      </c>
      <c r="D171" s="11" t="s">
        <v>655</v>
      </c>
      <c r="E171" s="94">
        <v>922</v>
      </c>
      <c r="F171" s="109">
        <v>6.4094542926659708</v>
      </c>
      <c r="G171" s="100"/>
      <c r="H171" s="110"/>
    </row>
    <row r="172" spans="1:8" s="5" customFormat="1" ht="11.25" customHeight="1" x14ac:dyDescent="0.2">
      <c r="A172" s="10"/>
      <c r="B172" s="10"/>
      <c r="C172" s="11" t="s">
        <v>846</v>
      </c>
      <c r="D172" s="11" t="s">
        <v>653</v>
      </c>
      <c r="E172" s="94">
        <v>235</v>
      </c>
      <c r="F172" s="109">
        <v>1.6336461591936045</v>
      </c>
      <c r="G172" s="100"/>
      <c r="H172" s="110"/>
    </row>
    <row r="173" spans="1:8" s="5" customFormat="1" ht="11.25" customHeight="1" x14ac:dyDescent="0.2">
      <c r="A173" s="10"/>
      <c r="B173" s="10"/>
      <c r="C173" s="12" t="s">
        <v>1333</v>
      </c>
      <c r="D173" s="11" t="s">
        <v>1736</v>
      </c>
      <c r="E173" s="94">
        <v>6864</v>
      </c>
      <c r="F173" s="109">
        <v>47.716371220020854</v>
      </c>
      <c r="G173" s="100"/>
      <c r="H173" s="110"/>
    </row>
    <row r="174" spans="1:8" s="5" customFormat="1" ht="11.25" customHeight="1" x14ac:dyDescent="0.2">
      <c r="A174" s="10"/>
      <c r="B174" s="10"/>
      <c r="C174" s="11"/>
      <c r="D174" s="11" t="s">
        <v>2318</v>
      </c>
      <c r="E174" s="167" t="s">
        <v>599</v>
      </c>
      <c r="F174" s="168">
        <v>100.01</v>
      </c>
      <c r="G174" s="161">
        <v>23185</v>
      </c>
      <c r="H174" s="164">
        <v>62.18675868018115</v>
      </c>
    </row>
    <row r="175" spans="1:8" s="5" customFormat="1" ht="11.25" customHeight="1" x14ac:dyDescent="0.2">
      <c r="A175" s="10"/>
      <c r="B175" s="10"/>
      <c r="C175" s="11"/>
      <c r="D175" s="11"/>
      <c r="E175" s="94"/>
      <c r="F175" s="109"/>
      <c r="G175" s="100"/>
      <c r="H175" s="110"/>
    </row>
    <row r="176" spans="1:8" s="5" customFormat="1" ht="11.25" customHeight="1" x14ac:dyDescent="0.2">
      <c r="A176" s="10" t="s">
        <v>1335</v>
      </c>
      <c r="B176" s="10"/>
      <c r="C176" s="11" t="s">
        <v>1337</v>
      </c>
      <c r="D176" s="11" t="s">
        <v>1072</v>
      </c>
      <c r="E176" s="94">
        <v>2217</v>
      </c>
      <c r="F176" s="109">
        <v>24.410922704250165</v>
      </c>
      <c r="G176" s="100"/>
      <c r="H176" s="110"/>
    </row>
    <row r="177" spans="1:8" s="5" customFormat="1" ht="11.25" customHeight="1" x14ac:dyDescent="0.2">
      <c r="A177" s="10"/>
      <c r="B177" s="10"/>
      <c r="C177" s="11" t="s">
        <v>847</v>
      </c>
      <c r="D177" s="11" t="s">
        <v>655</v>
      </c>
      <c r="E177" s="94">
        <v>383</v>
      </c>
      <c r="F177" s="109">
        <v>4.2171327901343316</v>
      </c>
      <c r="G177" s="100"/>
      <c r="H177" s="110"/>
    </row>
    <row r="178" spans="1:8" s="5" customFormat="1" ht="11.25" customHeight="1" x14ac:dyDescent="0.2">
      <c r="A178" s="10"/>
      <c r="B178" s="10"/>
      <c r="C178" s="11" t="s">
        <v>848</v>
      </c>
      <c r="D178" s="11" t="s">
        <v>1071</v>
      </c>
      <c r="E178" s="94">
        <v>728</v>
      </c>
      <c r="F178" s="109">
        <v>8.0158555384276582</v>
      </c>
      <c r="G178" s="100"/>
      <c r="H178" s="110"/>
    </row>
    <row r="179" spans="1:8" s="5" customFormat="1" ht="11.25" customHeight="1" x14ac:dyDescent="0.2">
      <c r="A179" s="10"/>
      <c r="B179" s="10"/>
      <c r="C179" s="12" t="s">
        <v>1338</v>
      </c>
      <c r="D179" s="11" t="s">
        <v>1736</v>
      </c>
      <c r="E179" s="94">
        <v>5754</v>
      </c>
      <c r="F179" s="109">
        <v>63.356088967187837</v>
      </c>
      <c r="G179" s="100"/>
      <c r="H179" s="110"/>
    </row>
    <row r="180" spans="1:8" s="5" customFormat="1" ht="11.25" customHeight="1" x14ac:dyDescent="0.2">
      <c r="A180" s="10"/>
      <c r="B180" s="10"/>
      <c r="C180" s="11"/>
      <c r="D180" s="11" t="s">
        <v>2318</v>
      </c>
      <c r="E180" s="167" t="s">
        <v>600</v>
      </c>
      <c r="F180" s="168">
        <v>100</v>
      </c>
      <c r="G180" s="161">
        <v>17779</v>
      </c>
      <c r="H180" s="164">
        <v>51.223353394454129</v>
      </c>
    </row>
    <row r="181" spans="1:8" s="5" customFormat="1" ht="11.25" customHeight="1" x14ac:dyDescent="0.2">
      <c r="A181" s="10"/>
      <c r="B181" s="10"/>
      <c r="C181" s="11"/>
      <c r="D181" s="11"/>
      <c r="E181" s="94"/>
      <c r="F181" s="109"/>
      <c r="G181" s="100"/>
      <c r="H181" s="110"/>
    </row>
    <row r="182" spans="1:8" s="5" customFormat="1" ht="11.25" customHeight="1" x14ac:dyDescent="0.2">
      <c r="A182" s="10" t="s">
        <v>1339</v>
      </c>
      <c r="B182" s="10"/>
      <c r="C182" s="11" t="s">
        <v>849</v>
      </c>
      <c r="D182" s="11" t="s">
        <v>653</v>
      </c>
      <c r="E182" s="94">
        <v>488</v>
      </c>
      <c r="F182" s="109">
        <v>4.5443630424638357</v>
      </c>
      <c r="G182" s="100"/>
      <c r="H182" s="110"/>
    </row>
    <row r="183" spans="1:8" s="5" customFormat="1" ht="11.25" customHeight="1" x14ac:dyDescent="0.2">
      <c r="A183" s="10"/>
      <c r="B183" s="10"/>
      <c r="C183" s="11" t="s">
        <v>850</v>
      </c>
      <c r="D183" s="11" t="s">
        <v>655</v>
      </c>
      <c r="E183" s="94">
        <v>823</v>
      </c>
      <c r="F183" s="109">
        <v>7.6808212785814272</v>
      </c>
      <c r="G183" s="100"/>
      <c r="H183" s="110"/>
    </row>
    <row r="184" spans="1:8" s="5" customFormat="1" ht="11.25" customHeight="1" x14ac:dyDescent="0.2">
      <c r="A184" s="10"/>
      <c r="B184" s="10"/>
      <c r="C184" s="11" t="s">
        <v>851</v>
      </c>
      <c r="D184" s="11" t="s">
        <v>1072</v>
      </c>
      <c r="E184" s="94">
        <v>2912</v>
      </c>
      <c r="F184" s="109">
        <v>27.176854876341576</v>
      </c>
      <c r="G184" s="100"/>
      <c r="H184" s="110"/>
    </row>
    <row r="185" spans="1:8" s="5" customFormat="1" ht="11.25" customHeight="1" x14ac:dyDescent="0.2">
      <c r="A185" s="10"/>
      <c r="B185" s="10"/>
      <c r="C185" s="12" t="s">
        <v>852</v>
      </c>
      <c r="D185" s="11" t="s">
        <v>1736</v>
      </c>
      <c r="E185" s="94">
        <v>6492</v>
      </c>
      <c r="F185" s="109">
        <v>60.587960802613161</v>
      </c>
      <c r="G185" s="100"/>
      <c r="H185" s="110"/>
    </row>
    <row r="186" spans="1:8" s="5" customFormat="1" ht="11.25" customHeight="1" x14ac:dyDescent="0.2">
      <c r="A186" s="10"/>
      <c r="B186" s="10"/>
      <c r="C186" s="11"/>
      <c r="D186" s="11" t="s">
        <v>2318</v>
      </c>
      <c r="E186" s="167" t="s">
        <v>601</v>
      </c>
      <c r="F186" s="168">
        <v>99.99</v>
      </c>
      <c r="G186" s="161">
        <v>17356</v>
      </c>
      <c r="H186" s="164">
        <v>61.920949527540905</v>
      </c>
    </row>
    <row r="187" spans="1:8" s="5" customFormat="1" ht="11.25" customHeight="1" x14ac:dyDescent="0.2">
      <c r="A187" s="10"/>
      <c r="B187" s="10"/>
      <c r="C187" s="11"/>
      <c r="D187" s="11"/>
      <c r="E187" s="94"/>
      <c r="F187" s="109"/>
      <c r="G187" s="100"/>
      <c r="H187" s="110"/>
    </row>
    <row r="188" spans="1:8" s="5" customFormat="1" ht="11.25" customHeight="1" x14ac:dyDescent="0.2">
      <c r="A188" s="10" t="s">
        <v>1344</v>
      </c>
      <c r="B188" s="10"/>
      <c r="C188" s="11" t="s">
        <v>853</v>
      </c>
      <c r="D188" s="11" t="s">
        <v>1072</v>
      </c>
      <c r="E188" s="94">
        <v>1432</v>
      </c>
      <c r="F188" s="109">
        <v>14.993194429902628</v>
      </c>
      <c r="G188" s="100"/>
      <c r="H188" s="110"/>
    </row>
    <row r="189" spans="1:8" s="5" customFormat="1" ht="11.25" customHeight="1" x14ac:dyDescent="0.2">
      <c r="A189" s="10"/>
      <c r="B189" s="10"/>
      <c r="C189" s="12" t="s">
        <v>1346</v>
      </c>
      <c r="D189" s="11" t="s">
        <v>1736</v>
      </c>
      <c r="E189" s="94">
        <v>6063</v>
      </c>
      <c r="F189" s="109">
        <v>63.480263846717619</v>
      </c>
      <c r="G189" s="100"/>
      <c r="H189" s="110"/>
    </row>
    <row r="190" spans="1:8" s="5" customFormat="1" ht="11.25" customHeight="1" x14ac:dyDescent="0.2">
      <c r="A190" s="10"/>
      <c r="B190" s="10"/>
      <c r="C190" s="11" t="s">
        <v>854</v>
      </c>
      <c r="D190" s="11" t="s">
        <v>1071</v>
      </c>
      <c r="E190" s="94">
        <v>2056</v>
      </c>
      <c r="F190" s="109">
        <v>21.526541723379751</v>
      </c>
      <c r="G190" s="100"/>
      <c r="H190" s="110"/>
    </row>
    <row r="191" spans="1:8" s="5" customFormat="1" ht="11.25" customHeight="1" x14ac:dyDescent="0.2">
      <c r="A191" s="10"/>
      <c r="B191" s="10"/>
      <c r="C191" s="11"/>
      <c r="D191" s="11" t="s">
        <v>2318</v>
      </c>
      <c r="E191" s="167" t="s">
        <v>602</v>
      </c>
      <c r="F191" s="168">
        <v>100</v>
      </c>
      <c r="G191" s="161">
        <v>16133</v>
      </c>
      <c r="H191" s="164">
        <v>59.387590652699437</v>
      </c>
    </row>
    <row r="192" spans="1:8" s="5" customFormat="1" ht="11.25" customHeight="1" x14ac:dyDescent="0.2">
      <c r="A192" s="10"/>
      <c r="B192" s="10"/>
      <c r="C192" s="11"/>
      <c r="D192" s="11"/>
      <c r="E192" s="94"/>
      <c r="F192" s="109"/>
      <c r="G192" s="100"/>
      <c r="H192" s="110"/>
    </row>
    <row r="193" spans="1:8" s="5" customFormat="1" ht="11.25" customHeight="1" x14ac:dyDescent="0.2">
      <c r="A193" s="10" t="s">
        <v>1350</v>
      </c>
      <c r="B193" s="10"/>
      <c r="C193" s="12" t="s">
        <v>855</v>
      </c>
      <c r="D193" s="11" t="s">
        <v>1736</v>
      </c>
      <c r="E193" s="94">
        <v>5149</v>
      </c>
      <c r="F193" s="109">
        <v>54.637096774193552</v>
      </c>
      <c r="G193" s="100"/>
      <c r="H193" s="110"/>
    </row>
    <row r="194" spans="1:8" s="5" customFormat="1" ht="11.25" customHeight="1" x14ac:dyDescent="0.2">
      <c r="A194" s="10"/>
      <c r="B194" s="10"/>
      <c r="C194" s="11" t="s">
        <v>856</v>
      </c>
      <c r="D194" s="11" t="s">
        <v>655</v>
      </c>
      <c r="E194" s="94">
        <v>961</v>
      </c>
      <c r="F194" s="109">
        <v>10.197368421052632</v>
      </c>
      <c r="G194" s="100"/>
      <c r="H194" s="110"/>
    </row>
    <row r="195" spans="1:8" s="5" customFormat="1" ht="11.25" customHeight="1" x14ac:dyDescent="0.2">
      <c r="A195" s="10"/>
      <c r="B195" s="10"/>
      <c r="C195" s="11" t="s">
        <v>857</v>
      </c>
      <c r="D195" s="11" t="s">
        <v>1072</v>
      </c>
      <c r="E195" s="94">
        <v>3314</v>
      </c>
      <c r="F195" s="109">
        <v>35.165534804753818</v>
      </c>
      <c r="G195" s="100"/>
      <c r="H195" s="110"/>
    </row>
    <row r="196" spans="1:8" s="5" customFormat="1" ht="11.25" customHeight="1" x14ac:dyDescent="0.2">
      <c r="A196" s="10"/>
      <c r="B196" s="10"/>
      <c r="C196" s="11"/>
      <c r="D196" s="11" t="s">
        <v>2318</v>
      </c>
      <c r="E196" s="167" t="s">
        <v>603</v>
      </c>
      <c r="F196" s="168">
        <v>100</v>
      </c>
      <c r="G196" s="161">
        <v>16061</v>
      </c>
      <c r="H196" s="164">
        <v>58.763464292385279</v>
      </c>
    </row>
    <row r="197" spans="1:8" s="5" customFormat="1" ht="11.25" customHeight="1" x14ac:dyDescent="0.2">
      <c r="A197" s="10"/>
      <c r="B197" s="10"/>
      <c r="C197" s="11"/>
      <c r="D197" s="11"/>
      <c r="E197" s="94"/>
      <c r="F197" s="109"/>
      <c r="G197" s="100"/>
      <c r="H197" s="110"/>
    </row>
    <row r="198" spans="1:8" s="5" customFormat="1" ht="11.25" customHeight="1" x14ac:dyDescent="0.2">
      <c r="A198" s="10" t="s">
        <v>1192</v>
      </c>
      <c r="B198" s="10"/>
      <c r="C198" s="11" t="s">
        <v>3157</v>
      </c>
      <c r="D198" s="11" t="s">
        <v>653</v>
      </c>
      <c r="E198" s="94">
        <v>100</v>
      </c>
      <c r="F198" s="109">
        <v>1.004217714400482</v>
      </c>
      <c r="G198" s="100"/>
      <c r="H198" s="110"/>
    </row>
    <row r="199" spans="1:8" s="5" customFormat="1" ht="11.25" customHeight="1" x14ac:dyDescent="0.2">
      <c r="A199" s="10"/>
      <c r="B199" s="10"/>
      <c r="C199" s="11" t="s">
        <v>3158</v>
      </c>
      <c r="D199" s="11" t="s">
        <v>483</v>
      </c>
      <c r="E199" s="94">
        <v>29</v>
      </c>
      <c r="F199" s="109">
        <v>0.29122313717613979</v>
      </c>
      <c r="G199" s="100"/>
      <c r="H199" s="110"/>
    </row>
    <row r="200" spans="1:8" s="5" customFormat="1" ht="11.25" customHeight="1" x14ac:dyDescent="0.2">
      <c r="A200" s="10"/>
      <c r="B200" s="10"/>
      <c r="C200" s="11" t="s">
        <v>3159</v>
      </c>
      <c r="D200" s="11" t="s">
        <v>1071</v>
      </c>
      <c r="E200" s="94">
        <v>376</v>
      </c>
      <c r="F200" s="109">
        <v>3.7758586061458126</v>
      </c>
      <c r="G200" s="100"/>
      <c r="H200" s="110"/>
    </row>
    <row r="201" spans="1:8" s="5" customFormat="1" ht="11.25" customHeight="1" x14ac:dyDescent="0.2">
      <c r="A201" s="10"/>
      <c r="B201" s="10"/>
      <c r="C201" s="11" t="s">
        <v>3160</v>
      </c>
      <c r="D201" s="11" t="s">
        <v>655</v>
      </c>
      <c r="E201" s="94">
        <v>2842</v>
      </c>
      <c r="F201" s="109">
        <v>28.539867443261702</v>
      </c>
      <c r="G201" s="100"/>
      <c r="H201" s="110"/>
    </row>
    <row r="202" spans="1:8" s="5" customFormat="1" ht="11.25" customHeight="1" x14ac:dyDescent="0.2">
      <c r="A202" s="10"/>
      <c r="B202" s="10"/>
      <c r="C202" s="11" t="s">
        <v>3161</v>
      </c>
      <c r="D202" s="11" t="s">
        <v>1072</v>
      </c>
      <c r="E202" s="94">
        <v>3127</v>
      </c>
      <c r="F202" s="109">
        <v>31.401887929303072</v>
      </c>
      <c r="G202" s="100"/>
      <c r="H202" s="110"/>
    </row>
    <row r="203" spans="1:8" s="5" customFormat="1" ht="11.25" customHeight="1" x14ac:dyDescent="0.2">
      <c r="A203" s="10"/>
      <c r="B203" s="10"/>
      <c r="C203" s="12" t="s">
        <v>467</v>
      </c>
      <c r="D203" s="11" t="s">
        <v>1736</v>
      </c>
      <c r="E203" s="94">
        <v>3484</v>
      </c>
      <c r="F203" s="109">
        <v>34.986945169712797</v>
      </c>
      <c r="G203" s="100"/>
      <c r="H203" s="110"/>
    </row>
    <row r="204" spans="1:8" s="5" customFormat="1" ht="11.25" customHeight="1" x14ac:dyDescent="0.2">
      <c r="A204" s="10"/>
      <c r="B204" s="10"/>
      <c r="C204" s="11"/>
      <c r="D204" s="11" t="s">
        <v>2318</v>
      </c>
      <c r="E204" s="167" t="s">
        <v>1813</v>
      </c>
      <c r="F204" s="168">
        <v>100</v>
      </c>
      <c r="G204" s="161">
        <v>19847</v>
      </c>
      <c r="H204" s="164">
        <v>50.254446515846226</v>
      </c>
    </row>
    <row r="205" spans="1:8" s="5" customFormat="1" ht="11.25" customHeight="1" x14ac:dyDescent="0.2">
      <c r="A205" s="10"/>
      <c r="B205" s="10"/>
      <c r="C205" s="11"/>
      <c r="D205" s="11"/>
      <c r="E205" s="94"/>
      <c r="F205" s="109"/>
      <c r="G205" s="100"/>
      <c r="H205" s="110"/>
    </row>
    <row r="206" spans="1:8" s="5" customFormat="1" ht="11.25" customHeight="1" x14ac:dyDescent="0.2">
      <c r="A206" s="10" t="s">
        <v>469</v>
      </c>
      <c r="B206" s="10"/>
      <c r="C206" s="11" t="s">
        <v>3162</v>
      </c>
      <c r="D206" s="11" t="s">
        <v>1736</v>
      </c>
      <c r="E206" s="94">
        <v>3860</v>
      </c>
      <c r="F206" s="109">
        <v>32.404298186702484</v>
      </c>
      <c r="G206" s="100"/>
      <c r="H206" s="110"/>
    </row>
    <row r="207" spans="1:8" s="5" customFormat="1" ht="11.25" customHeight="1" x14ac:dyDescent="0.2">
      <c r="A207" s="10"/>
      <c r="B207" s="10"/>
      <c r="C207" s="11" t="s">
        <v>3163</v>
      </c>
      <c r="D207" s="11" t="s">
        <v>655</v>
      </c>
      <c r="E207" s="94">
        <v>3250</v>
      </c>
      <c r="F207" s="109">
        <v>27.283411685695096</v>
      </c>
      <c r="G207" s="100"/>
      <c r="H207" s="110"/>
    </row>
    <row r="208" spans="1:8" s="5" customFormat="1" ht="11.25" customHeight="1" x14ac:dyDescent="0.2">
      <c r="A208" s="10"/>
      <c r="B208" s="10"/>
      <c r="C208" s="12" t="s">
        <v>472</v>
      </c>
      <c r="D208" s="11" t="s">
        <v>1072</v>
      </c>
      <c r="E208" s="94">
        <v>4802</v>
      </c>
      <c r="F208" s="109">
        <v>40.312290127602417</v>
      </c>
      <c r="G208" s="100"/>
      <c r="H208" s="110"/>
    </row>
    <row r="209" spans="1:8" s="5" customFormat="1" ht="11.25" customHeight="1" x14ac:dyDescent="0.2">
      <c r="A209" s="10"/>
      <c r="B209" s="10"/>
      <c r="C209" s="11"/>
      <c r="D209" s="11" t="s">
        <v>2318</v>
      </c>
      <c r="E209" s="167" t="s">
        <v>1814</v>
      </c>
      <c r="F209" s="168">
        <v>100</v>
      </c>
      <c r="G209" s="161">
        <v>22317</v>
      </c>
      <c r="H209" s="164">
        <v>53.515257427073529</v>
      </c>
    </row>
    <row r="210" spans="1:8" s="5" customFormat="1" ht="11.25" customHeight="1" x14ac:dyDescent="0.2">
      <c r="A210" s="10"/>
      <c r="B210" s="10"/>
      <c r="C210" s="11"/>
      <c r="D210" s="11"/>
      <c r="E210" s="94"/>
      <c r="F210" s="109"/>
      <c r="G210" s="100"/>
      <c r="H210" s="110"/>
    </row>
    <row r="211" spans="1:8" s="5" customFormat="1" ht="11.25" customHeight="1" x14ac:dyDescent="0.2">
      <c r="A211" s="10" t="s">
        <v>473</v>
      </c>
      <c r="B211" s="10"/>
      <c r="C211" s="11" t="s">
        <v>3164</v>
      </c>
      <c r="D211" s="11" t="s">
        <v>1736</v>
      </c>
      <c r="E211" s="94">
        <v>4373</v>
      </c>
      <c r="F211" s="109">
        <v>40.544576648428084</v>
      </c>
      <c r="G211" s="100"/>
      <c r="H211" s="110"/>
    </row>
    <row r="212" spans="1:8" s="5" customFormat="1" ht="11.25" customHeight="1" x14ac:dyDescent="0.2">
      <c r="A212" s="10"/>
      <c r="B212" s="10"/>
      <c r="C212" s="11" t="s">
        <v>3165</v>
      </c>
      <c r="D212" s="11" t="s">
        <v>1071</v>
      </c>
      <c r="E212" s="94">
        <v>460</v>
      </c>
      <c r="F212" s="109">
        <v>4.265974218677548</v>
      </c>
      <c r="G212" s="100"/>
      <c r="H212" s="110"/>
    </row>
    <row r="213" spans="1:8" s="5" customFormat="1" ht="11.25" customHeight="1" x14ac:dyDescent="0.2">
      <c r="A213" s="10"/>
      <c r="B213" s="10"/>
      <c r="C213" s="11" t="s">
        <v>3166</v>
      </c>
      <c r="D213" s="11" t="s">
        <v>655</v>
      </c>
      <c r="E213" s="94">
        <v>1494</v>
      </c>
      <c r="F213" s="109">
        <v>13.855142353704904</v>
      </c>
      <c r="G213" s="100"/>
      <c r="H213" s="110"/>
    </row>
    <row r="214" spans="1:8" s="5" customFormat="1" ht="11.25" customHeight="1" x14ac:dyDescent="0.2">
      <c r="A214" s="10"/>
      <c r="B214" s="10"/>
      <c r="C214" s="12" t="s">
        <v>656</v>
      </c>
      <c r="D214" s="11" t="s">
        <v>1072</v>
      </c>
      <c r="E214" s="94">
        <v>4456</v>
      </c>
      <c r="F214" s="109">
        <v>41.324306779189463</v>
      </c>
      <c r="G214" s="100"/>
      <c r="H214" s="110"/>
    </row>
    <row r="215" spans="1:8" s="5" customFormat="1" ht="11.25" customHeight="1" x14ac:dyDescent="0.2">
      <c r="A215" s="10"/>
      <c r="B215" s="10"/>
      <c r="C215" s="11"/>
      <c r="D215" s="11" t="s">
        <v>2318</v>
      </c>
      <c r="E215" s="167" t="s">
        <v>1815</v>
      </c>
      <c r="F215" s="168">
        <v>99.99</v>
      </c>
      <c r="G215" s="161">
        <v>21400</v>
      </c>
      <c r="H215" s="164">
        <v>50.537383177570092</v>
      </c>
    </row>
    <row r="216" spans="1:8" s="5" customFormat="1" ht="11.25" customHeight="1" x14ac:dyDescent="0.2">
      <c r="A216" s="10"/>
      <c r="B216" s="10"/>
      <c r="C216" s="11"/>
      <c r="D216" s="11"/>
      <c r="E216" s="94"/>
      <c r="F216" s="109"/>
      <c r="G216" s="100"/>
      <c r="H216" s="110"/>
    </row>
    <row r="217" spans="1:8" s="5" customFormat="1" ht="11.25" customHeight="1" x14ac:dyDescent="0.2">
      <c r="A217" s="10" t="s">
        <v>477</v>
      </c>
      <c r="B217" s="10"/>
      <c r="C217" s="12" t="s">
        <v>478</v>
      </c>
      <c r="D217" s="11" t="s">
        <v>1072</v>
      </c>
      <c r="E217" s="94">
        <v>4769</v>
      </c>
      <c r="F217" s="109">
        <v>43.947968476357268</v>
      </c>
      <c r="G217" s="100"/>
      <c r="H217" s="110"/>
    </row>
    <row r="218" spans="1:8" s="5" customFormat="1" ht="11.25" customHeight="1" x14ac:dyDescent="0.2">
      <c r="A218" s="10"/>
      <c r="B218" s="10"/>
      <c r="C218" s="11" t="s">
        <v>657</v>
      </c>
      <c r="D218" s="11" t="s">
        <v>1071</v>
      </c>
      <c r="E218" s="94">
        <v>420</v>
      </c>
      <c r="F218" s="109">
        <v>3.8713245460411096</v>
      </c>
      <c r="G218" s="100"/>
      <c r="H218" s="110"/>
    </row>
    <row r="219" spans="1:8" s="5" customFormat="1" ht="11.25" customHeight="1" x14ac:dyDescent="0.2">
      <c r="A219" s="10"/>
      <c r="B219" s="10"/>
      <c r="C219" s="11" t="s">
        <v>658</v>
      </c>
      <c r="D219" s="11" t="s">
        <v>488</v>
      </c>
      <c r="E219" s="94">
        <v>83</v>
      </c>
      <c r="F219" s="109">
        <v>0.76504746981288596</v>
      </c>
      <c r="G219" s="100"/>
      <c r="H219" s="110"/>
    </row>
    <row r="220" spans="1:8" s="5" customFormat="1" ht="11.25" customHeight="1" x14ac:dyDescent="0.2">
      <c r="A220" s="10"/>
      <c r="B220" s="10"/>
      <c r="C220" s="11" t="s">
        <v>659</v>
      </c>
      <c r="D220" s="11" t="s">
        <v>655</v>
      </c>
      <c r="E220" s="94">
        <v>1845</v>
      </c>
      <c r="F220" s="109">
        <v>17.006175684394876</v>
      </c>
      <c r="G220" s="100"/>
      <c r="H220" s="110"/>
    </row>
    <row r="221" spans="1:8" s="5" customFormat="1" ht="11.25" customHeight="1" x14ac:dyDescent="0.2">
      <c r="A221" s="10"/>
      <c r="B221" s="10"/>
      <c r="C221" s="11" t="s">
        <v>660</v>
      </c>
      <c r="D221" s="11" t="s">
        <v>483</v>
      </c>
      <c r="E221" s="94">
        <v>98</v>
      </c>
      <c r="F221" s="109">
        <v>0.90330906074292572</v>
      </c>
      <c r="G221" s="100"/>
      <c r="H221" s="110"/>
    </row>
    <row r="222" spans="1:8" s="5" customFormat="1" ht="11.25" customHeight="1" x14ac:dyDescent="0.2">
      <c r="A222" s="10"/>
      <c r="B222" s="10"/>
      <c r="C222" s="11" t="s">
        <v>661</v>
      </c>
      <c r="D222" s="11" t="s">
        <v>1736</v>
      </c>
      <c r="E222" s="94">
        <v>3634</v>
      </c>
      <c r="F222" s="109">
        <v>33.496174762650938</v>
      </c>
      <c r="G222" s="100"/>
      <c r="H222" s="110"/>
    </row>
    <row r="223" spans="1:8" s="5" customFormat="1" ht="11.25" customHeight="1" x14ac:dyDescent="0.2">
      <c r="A223" s="10"/>
      <c r="B223" s="10"/>
      <c r="C223" s="11"/>
      <c r="D223" s="11" t="s">
        <v>2318</v>
      </c>
      <c r="E223" s="167" t="s">
        <v>1816</v>
      </c>
      <c r="F223" s="168">
        <v>99.99</v>
      </c>
      <c r="G223" s="161">
        <v>20907</v>
      </c>
      <c r="H223" s="164">
        <v>52.09738365140862</v>
      </c>
    </row>
    <row r="224" spans="1:8" s="5" customFormat="1" ht="11.25" customHeight="1" x14ac:dyDescent="0.2">
      <c r="A224" s="10"/>
      <c r="B224" s="10"/>
      <c r="C224" s="11"/>
      <c r="D224" s="11"/>
      <c r="E224" s="94"/>
      <c r="F224" s="109"/>
      <c r="G224" s="100"/>
      <c r="H224" s="110"/>
    </row>
    <row r="225" spans="1:8" s="5" customFormat="1" ht="11.25" customHeight="1" x14ac:dyDescent="0.2">
      <c r="A225" s="10" t="s">
        <v>1088</v>
      </c>
      <c r="B225" s="10"/>
      <c r="C225" s="12" t="s">
        <v>1089</v>
      </c>
      <c r="D225" s="11" t="s">
        <v>1072</v>
      </c>
      <c r="E225" s="94">
        <v>5752</v>
      </c>
      <c r="F225" s="109">
        <v>56.692292529075495</v>
      </c>
      <c r="G225" s="100"/>
      <c r="H225" s="110"/>
    </row>
    <row r="226" spans="1:8" s="5" customFormat="1" ht="11.25" customHeight="1" x14ac:dyDescent="0.2">
      <c r="A226" s="10"/>
      <c r="B226" s="10"/>
      <c r="C226" s="11" t="s">
        <v>662</v>
      </c>
      <c r="D226" s="11" t="s">
        <v>655</v>
      </c>
      <c r="E226" s="94">
        <v>913</v>
      </c>
      <c r="F226" s="109">
        <v>8.9986201458702944</v>
      </c>
      <c r="G226" s="100"/>
      <c r="H226" s="110"/>
    </row>
    <row r="227" spans="1:8" s="5" customFormat="1" ht="11.25" customHeight="1" x14ac:dyDescent="0.2">
      <c r="A227" s="10"/>
      <c r="B227" s="10"/>
      <c r="C227" s="11" t="s">
        <v>663</v>
      </c>
      <c r="D227" s="11" t="s">
        <v>1736</v>
      </c>
      <c r="E227" s="94">
        <v>2641</v>
      </c>
      <c r="F227" s="109">
        <v>26.029962546816481</v>
      </c>
      <c r="G227" s="100"/>
      <c r="H227" s="110"/>
    </row>
    <row r="228" spans="1:8" s="5" customFormat="1" ht="11.25" customHeight="1" x14ac:dyDescent="0.2">
      <c r="A228" s="10"/>
      <c r="B228" s="10"/>
      <c r="C228" s="11" t="s">
        <v>664</v>
      </c>
      <c r="D228" s="11" t="s">
        <v>1071</v>
      </c>
      <c r="E228" s="94">
        <v>840</v>
      </c>
      <c r="F228" s="109">
        <v>8.279124778237728</v>
      </c>
      <c r="G228" s="100"/>
      <c r="H228" s="110"/>
    </row>
    <row r="229" spans="1:8" s="5" customFormat="1" ht="11.25" customHeight="1" x14ac:dyDescent="0.2">
      <c r="A229" s="10"/>
      <c r="B229" s="10"/>
      <c r="C229" s="11"/>
      <c r="D229" s="11" t="s">
        <v>2318</v>
      </c>
      <c r="E229" s="167" t="s">
        <v>1817</v>
      </c>
      <c r="F229" s="168">
        <v>100</v>
      </c>
      <c r="G229" s="161">
        <v>18290</v>
      </c>
      <c r="H229" s="164">
        <v>55.626025150355389</v>
      </c>
    </row>
    <row r="230" spans="1:8" s="5" customFormat="1" ht="11.25" customHeight="1" x14ac:dyDescent="0.2">
      <c r="A230" s="10"/>
      <c r="B230" s="10"/>
      <c r="C230" s="11"/>
      <c r="D230" s="11"/>
      <c r="E230" s="94"/>
      <c r="F230" s="109"/>
      <c r="G230" s="100"/>
      <c r="H230" s="110"/>
    </row>
    <row r="231" spans="1:8" s="5" customFormat="1" ht="11.25" customHeight="1" x14ac:dyDescent="0.2">
      <c r="A231" s="10" t="s">
        <v>1092</v>
      </c>
      <c r="B231" s="10"/>
      <c r="C231" s="12" t="s">
        <v>1094</v>
      </c>
      <c r="D231" s="11" t="s">
        <v>1072</v>
      </c>
      <c r="E231" s="94">
        <v>4765</v>
      </c>
      <c r="F231" s="109">
        <v>47.346390379646195</v>
      </c>
      <c r="G231" s="100"/>
      <c r="H231" s="110"/>
    </row>
    <row r="232" spans="1:8" s="5" customFormat="1" ht="11.25" customHeight="1" x14ac:dyDescent="0.2">
      <c r="A232" s="10"/>
      <c r="B232" s="10"/>
      <c r="C232" s="11" t="s">
        <v>665</v>
      </c>
      <c r="D232" s="11" t="s">
        <v>1736</v>
      </c>
      <c r="E232" s="94">
        <v>3474</v>
      </c>
      <c r="F232" s="109">
        <v>34.525939177101968</v>
      </c>
      <c r="G232" s="100"/>
      <c r="H232" s="110"/>
    </row>
    <row r="233" spans="1:8" s="5" customFormat="1" ht="11.25" customHeight="1" x14ac:dyDescent="0.2">
      <c r="A233" s="10"/>
      <c r="B233" s="10"/>
      <c r="C233" s="11" t="s">
        <v>666</v>
      </c>
      <c r="D233" s="11" t="s">
        <v>655</v>
      </c>
      <c r="E233" s="94">
        <v>1366</v>
      </c>
      <c r="F233" s="109">
        <v>13.575829854899624</v>
      </c>
      <c r="G233" s="100"/>
      <c r="H233" s="110"/>
    </row>
    <row r="234" spans="1:8" s="5" customFormat="1" ht="11.25" customHeight="1" x14ac:dyDescent="0.2">
      <c r="A234" s="10"/>
      <c r="B234" s="10"/>
      <c r="C234" s="11" t="s">
        <v>667</v>
      </c>
      <c r="D234" s="11" t="s">
        <v>488</v>
      </c>
      <c r="E234" s="94">
        <v>76</v>
      </c>
      <c r="F234" s="109">
        <v>0.75531703438680176</v>
      </c>
      <c r="G234" s="100"/>
      <c r="H234" s="110"/>
    </row>
    <row r="235" spans="1:8" s="5" customFormat="1" ht="11.25" customHeight="1" x14ac:dyDescent="0.2">
      <c r="A235" s="10"/>
      <c r="B235" s="10"/>
      <c r="C235" s="11" t="s">
        <v>668</v>
      </c>
      <c r="D235" s="11" t="s">
        <v>1071</v>
      </c>
      <c r="E235" s="94">
        <v>335</v>
      </c>
      <c r="F235" s="109">
        <v>3.3293579805207711</v>
      </c>
      <c r="G235" s="100"/>
      <c r="H235" s="110"/>
    </row>
    <row r="236" spans="1:8" s="5" customFormat="1" ht="11.25" customHeight="1" x14ac:dyDescent="0.2">
      <c r="A236" s="10"/>
      <c r="B236" s="10"/>
      <c r="C236" s="11" t="s">
        <v>669</v>
      </c>
      <c r="D236" s="11" t="s">
        <v>653</v>
      </c>
      <c r="E236" s="94">
        <v>46</v>
      </c>
      <c r="F236" s="109">
        <v>0.45716557344464326</v>
      </c>
      <c r="G236" s="100"/>
      <c r="H236" s="110"/>
    </row>
    <row r="237" spans="1:8" s="5" customFormat="1" ht="11.25" customHeight="1" x14ac:dyDescent="0.2">
      <c r="A237" s="10"/>
      <c r="B237" s="10"/>
      <c r="C237" s="11"/>
      <c r="D237" s="11" t="s">
        <v>2318</v>
      </c>
      <c r="E237" s="167" t="s">
        <v>1818</v>
      </c>
      <c r="F237" s="168">
        <v>99.99</v>
      </c>
      <c r="G237" s="161">
        <v>19506</v>
      </c>
      <c r="H237" s="164">
        <v>51.804572951912235</v>
      </c>
    </row>
    <row r="238" spans="1:8" s="5" customFormat="1" ht="11.25" customHeight="1" x14ac:dyDescent="0.2">
      <c r="A238" s="10"/>
      <c r="B238" s="10"/>
      <c r="C238" s="11"/>
      <c r="D238" s="11"/>
      <c r="E238" s="94"/>
      <c r="F238" s="109"/>
      <c r="G238" s="100"/>
      <c r="H238" s="110"/>
    </row>
    <row r="239" spans="1:8" s="5" customFormat="1" ht="11.25" customHeight="1" x14ac:dyDescent="0.2">
      <c r="A239" s="10" t="s">
        <v>1096</v>
      </c>
      <c r="B239" s="10"/>
      <c r="C239" s="11" t="s">
        <v>670</v>
      </c>
      <c r="D239" s="11" t="s">
        <v>1071</v>
      </c>
      <c r="E239" s="94">
        <v>630</v>
      </c>
      <c r="F239" s="109">
        <v>5.2282157676348548</v>
      </c>
      <c r="G239" s="100"/>
      <c r="H239" s="110"/>
    </row>
    <row r="240" spans="1:8" s="5" customFormat="1" ht="11.25" customHeight="1" x14ac:dyDescent="0.2">
      <c r="A240" s="10"/>
      <c r="B240" s="10"/>
      <c r="C240" s="11" t="s">
        <v>671</v>
      </c>
      <c r="D240" s="11" t="s">
        <v>1736</v>
      </c>
      <c r="E240" s="94">
        <v>4368</v>
      </c>
      <c r="F240" s="109">
        <v>36.258962655601657</v>
      </c>
      <c r="G240" s="100"/>
      <c r="H240" s="110"/>
    </row>
    <row r="241" spans="1:8" s="5" customFormat="1" ht="11.25" customHeight="1" x14ac:dyDescent="0.2">
      <c r="A241" s="10"/>
      <c r="B241" s="10"/>
      <c r="C241" s="12" t="s">
        <v>1099</v>
      </c>
      <c r="D241" s="11" t="s">
        <v>1072</v>
      </c>
      <c r="E241" s="94">
        <v>5785</v>
      </c>
      <c r="F241" s="109">
        <v>48.008298755186722</v>
      </c>
      <c r="G241" s="100"/>
      <c r="H241" s="110"/>
    </row>
    <row r="242" spans="1:8" s="5" customFormat="1" ht="11.25" customHeight="1" x14ac:dyDescent="0.2">
      <c r="A242" s="10"/>
      <c r="B242" s="10"/>
      <c r="C242" s="11" t="s">
        <v>672</v>
      </c>
      <c r="D242" s="11" t="s">
        <v>488</v>
      </c>
      <c r="E242" s="94">
        <v>69</v>
      </c>
      <c r="F242" s="109">
        <v>0.57261410788381739</v>
      </c>
      <c r="G242" s="100"/>
      <c r="H242" s="110"/>
    </row>
    <row r="243" spans="1:8" s="5" customFormat="1" ht="11.25" customHeight="1" x14ac:dyDescent="0.2">
      <c r="A243" s="10"/>
      <c r="B243" s="10"/>
      <c r="C243" s="11" t="s">
        <v>673</v>
      </c>
      <c r="D243" s="11" t="s">
        <v>655</v>
      </c>
      <c r="E243" s="94">
        <v>1198</v>
      </c>
      <c r="F243" s="109">
        <v>9.9419087136929463</v>
      </c>
      <c r="G243" s="100"/>
      <c r="H243" s="110"/>
    </row>
    <row r="244" spans="1:8" s="5" customFormat="1" ht="11.25" customHeight="1" x14ac:dyDescent="0.2">
      <c r="A244" s="10"/>
      <c r="B244" s="10"/>
      <c r="C244" s="11"/>
      <c r="D244" s="11" t="s">
        <v>2318</v>
      </c>
      <c r="E244" s="167" t="s">
        <v>1819</v>
      </c>
      <c r="F244" s="168">
        <v>100.01</v>
      </c>
      <c r="G244" s="161">
        <v>21183</v>
      </c>
      <c r="H244" s="164">
        <v>56.993815795685222</v>
      </c>
    </row>
    <row r="245" spans="1:8" s="5" customFormat="1" ht="11.25" customHeight="1" x14ac:dyDescent="0.2">
      <c r="A245" s="10"/>
      <c r="B245" s="10"/>
      <c r="C245" s="11"/>
      <c r="D245" s="11"/>
      <c r="E245" s="94"/>
      <c r="F245" s="109"/>
      <c r="G245" s="100"/>
      <c r="H245" s="110"/>
    </row>
    <row r="246" spans="1:8" s="5" customFormat="1" ht="11.25" customHeight="1" x14ac:dyDescent="0.2">
      <c r="A246" s="10" t="s">
        <v>1100</v>
      </c>
      <c r="B246" s="10"/>
      <c r="C246" s="11" t="s">
        <v>674</v>
      </c>
      <c r="D246" s="11" t="s">
        <v>1736</v>
      </c>
      <c r="E246" s="94">
        <v>5819</v>
      </c>
      <c r="F246" s="109">
        <v>37.580728493929215</v>
      </c>
      <c r="G246" s="100"/>
      <c r="H246" s="110"/>
    </row>
    <row r="247" spans="1:8" s="5" customFormat="1" ht="11.25" customHeight="1" x14ac:dyDescent="0.2">
      <c r="A247" s="10"/>
      <c r="B247" s="10"/>
      <c r="C247" s="11" t="s">
        <v>675</v>
      </c>
      <c r="D247" s="11" t="s">
        <v>655</v>
      </c>
      <c r="E247" s="94">
        <v>1970</v>
      </c>
      <c r="F247" s="109">
        <v>12.722810643244639</v>
      </c>
      <c r="G247" s="100"/>
      <c r="H247" s="110"/>
    </row>
    <row r="248" spans="1:8" s="5" customFormat="1" ht="11.25" customHeight="1" x14ac:dyDescent="0.2">
      <c r="A248" s="10"/>
      <c r="B248" s="10"/>
      <c r="C248" s="12" t="s">
        <v>1103</v>
      </c>
      <c r="D248" s="11" t="s">
        <v>1072</v>
      </c>
      <c r="E248" s="94">
        <v>7528</v>
      </c>
      <c r="F248" s="109">
        <v>48.617928183931802</v>
      </c>
      <c r="G248" s="100"/>
      <c r="H248" s="110"/>
    </row>
    <row r="249" spans="1:8" s="5" customFormat="1" ht="11.25" customHeight="1" x14ac:dyDescent="0.2">
      <c r="A249" s="10"/>
      <c r="B249" s="10"/>
      <c r="C249" s="11" t="s">
        <v>676</v>
      </c>
      <c r="D249" s="11" t="s">
        <v>1314</v>
      </c>
      <c r="E249" s="94">
        <v>92</v>
      </c>
      <c r="F249" s="109">
        <v>0.59416171531903894</v>
      </c>
      <c r="G249" s="100"/>
      <c r="H249" s="110"/>
    </row>
    <row r="250" spans="1:8" s="5" customFormat="1" ht="11.25" customHeight="1" x14ac:dyDescent="0.2">
      <c r="A250" s="10"/>
      <c r="B250" s="10"/>
      <c r="C250" s="11" t="s">
        <v>677</v>
      </c>
      <c r="D250" s="11" t="s">
        <v>488</v>
      </c>
      <c r="E250" s="94">
        <v>75</v>
      </c>
      <c r="F250" s="109">
        <v>0.48437096357530351</v>
      </c>
      <c r="G250" s="100"/>
      <c r="H250" s="110"/>
    </row>
    <row r="251" spans="1:8" s="5" customFormat="1" ht="11.25" customHeight="1" x14ac:dyDescent="0.2">
      <c r="A251" s="10"/>
      <c r="B251" s="10"/>
      <c r="C251" s="11"/>
      <c r="D251" s="11" t="s">
        <v>2318</v>
      </c>
      <c r="E251" s="167" t="s">
        <v>768</v>
      </c>
      <c r="F251" s="168">
        <v>100</v>
      </c>
      <c r="G251" s="161">
        <v>23145</v>
      </c>
      <c r="H251" s="164">
        <v>66.999351911860018</v>
      </c>
    </row>
    <row r="252" spans="1:8" s="5" customFormat="1" ht="11.25" customHeight="1" x14ac:dyDescent="0.2">
      <c r="A252" s="10"/>
      <c r="B252" s="10"/>
      <c r="C252" s="11"/>
      <c r="D252" s="11"/>
      <c r="E252" s="94"/>
      <c r="F252" s="109"/>
      <c r="G252" s="100"/>
      <c r="H252" s="110"/>
    </row>
    <row r="253" spans="1:8" s="5" customFormat="1" ht="11.25" customHeight="1" x14ac:dyDescent="0.2">
      <c r="A253" s="10" t="s">
        <v>1105</v>
      </c>
      <c r="B253" s="10"/>
      <c r="C253" s="12" t="s">
        <v>678</v>
      </c>
      <c r="D253" s="11" t="s">
        <v>655</v>
      </c>
      <c r="E253" s="94">
        <v>5638</v>
      </c>
      <c r="F253" s="109">
        <v>50.637686366085866</v>
      </c>
      <c r="G253" s="100"/>
      <c r="H253" s="110"/>
    </row>
    <row r="254" spans="1:8" s="5" customFormat="1" ht="11.25" customHeight="1" x14ac:dyDescent="0.2">
      <c r="A254" s="10"/>
      <c r="B254" s="10"/>
      <c r="C254" s="11" t="s">
        <v>679</v>
      </c>
      <c r="D254" s="11" t="s">
        <v>1736</v>
      </c>
      <c r="E254" s="94">
        <v>2793</v>
      </c>
      <c r="F254" s="109">
        <v>25.085324232081913</v>
      </c>
      <c r="G254" s="100"/>
      <c r="H254" s="110"/>
    </row>
    <row r="255" spans="1:8" s="5" customFormat="1" ht="11.25" customHeight="1" x14ac:dyDescent="0.2">
      <c r="A255" s="10"/>
      <c r="B255" s="10"/>
      <c r="C255" s="11" t="s">
        <v>680</v>
      </c>
      <c r="D255" s="11" t="s">
        <v>1071</v>
      </c>
      <c r="E255" s="94">
        <v>419</v>
      </c>
      <c r="F255" s="109">
        <v>3.7632477097179811</v>
      </c>
      <c r="G255" s="100"/>
      <c r="H255" s="110"/>
    </row>
    <row r="256" spans="1:8" s="5" customFormat="1" ht="11.25" customHeight="1" x14ac:dyDescent="0.2">
      <c r="A256" s="10"/>
      <c r="B256" s="10"/>
      <c r="C256" s="11" t="s">
        <v>681</v>
      </c>
      <c r="D256" s="11" t="s">
        <v>1072</v>
      </c>
      <c r="E256" s="94">
        <v>2284</v>
      </c>
      <c r="F256" s="109">
        <v>20.513741692114245</v>
      </c>
      <c r="G256" s="100"/>
      <c r="H256" s="110"/>
    </row>
    <row r="257" spans="1:8" s="5" customFormat="1" ht="11.25" customHeight="1" x14ac:dyDescent="0.2">
      <c r="A257" s="10"/>
      <c r="B257" s="10"/>
      <c r="C257" s="11"/>
      <c r="D257" s="11" t="s">
        <v>2318</v>
      </c>
      <c r="E257" s="167" t="s">
        <v>769</v>
      </c>
      <c r="F257" s="168">
        <v>100</v>
      </c>
      <c r="G257" s="161">
        <v>18930</v>
      </c>
      <c r="H257" s="164">
        <v>59.11251980982567</v>
      </c>
    </row>
    <row r="258" spans="1:8" s="5" customFormat="1" ht="11.25" customHeight="1" x14ac:dyDescent="0.2">
      <c r="A258" s="10"/>
      <c r="B258" s="10"/>
      <c r="C258" s="11"/>
      <c r="D258" s="11"/>
      <c r="E258" s="94"/>
      <c r="F258" s="109"/>
      <c r="G258" s="100"/>
      <c r="H258" s="110"/>
    </row>
    <row r="259" spans="1:8" s="5" customFormat="1" ht="11.25" customHeight="1" x14ac:dyDescent="0.2">
      <c r="A259" s="10" t="s">
        <v>1109</v>
      </c>
      <c r="B259" s="10"/>
      <c r="C259" s="12" t="s">
        <v>1110</v>
      </c>
      <c r="D259" s="11" t="s">
        <v>1072</v>
      </c>
      <c r="E259" s="94">
        <v>5140</v>
      </c>
      <c r="F259" s="109">
        <v>41.955758713574404</v>
      </c>
      <c r="G259" s="100"/>
      <c r="H259" s="110"/>
    </row>
    <row r="260" spans="1:8" s="5" customFormat="1" ht="11.25" customHeight="1" x14ac:dyDescent="0.2">
      <c r="A260" s="10"/>
      <c r="B260" s="10"/>
      <c r="C260" s="11" t="s">
        <v>682</v>
      </c>
      <c r="D260" s="11" t="s">
        <v>1071</v>
      </c>
      <c r="E260" s="94">
        <v>524</v>
      </c>
      <c r="F260" s="109">
        <v>4.2772018610725651</v>
      </c>
      <c r="G260" s="100"/>
      <c r="H260" s="110"/>
    </row>
    <row r="261" spans="1:8" s="5" customFormat="1" ht="11.25" customHeight="1" x14ac:dyDescent="0.2">
      <c r="A261" s="10"/>
      <c r="B261" s="10"/>
      <c r="C261" s="11" t="s">
        <v>916</v>
      </c>
      <c r="D261" s="11" t="s">
        <v>655</v>
      </c>
      <c r="E261" s="94">
        <v>2229</v>
      </c>
      <c r="F261" s="109">
        <v>18.194433107501428</v>
      </c>
      <c r="G261" s="100"/>
      <c r="H261" s="110"/>
    </row>
    <row r="262" spans="1:8" s="5" customFormat="1" ht="11.25" customHeight="1" x14ac:dyDescent="0.2">
      <c r="A262" s="10"/>
      <c r="B262" s="10"/>
      <c r="C262" s="11" t="s">
        <v>1112</v>
      </c>
      <c r="D262" s="11" t="s">
        <v>1736</v>
      </c>
      <c r="E262" s="94">
        <v>4358</v>
      </c>
      <c r="F262" s="109">
        <v>35.5426063178516</v>
      </c>
      <c r="G262" s="100"/>
      <c r="H262" s="110"/>
    </row>
    <row r="263" spans="1:8" s="5" customFormat="1" ht="11.25" customHeight="1" x14ac:dyDescent="0.2">
      <c r="A263" s="10"/>
      <c r="B263" s="10"/>
      <c r="C263" s="11"/>
      <c r="D263" s="11" t="s">
        <v>2318</v>
      </c>
      <c r="E263" s="167" t="s">
        <v>770</v>
      </c>
      <c r="F263" s="168">
        <v>99.97</v>
      </c>
      <c r="G263" s="161">
        <v>24134</v>
      </c>
      <c r="H263" s="164">
        <v>50.953012347725199</v>
      </c>
    </row>
    <row r="264" spans="1:8" s="5" customFormat="1" ht="11.25" customHeight="1" x14ac:dyDescent="0.2">
      <c r="A264" s="10"/>
      <c r="B264" s="10"/>
      <c r="C264" s="11"/>
      <c r="D264" s="11"/>
      <c r="E264" s="94"/>
      <c r="F264" s="109"/>
      <c r="G264" s="100"/>
      <c r="H264" s="110"/>
    </row>
    <row r="265" spans="1:8" s="5" customFormat="1" ht="11.25" customHeight="1" x14ac:dyDescent="0.2">
      <c r="A265" s="10" t="s">
        <v>1113</v>
      </c>
      <c r="B265" s="10"/>
      <c r="C265" s="11" t="s">
        <v>917</v>
      </c>
      <c r="D265" s="11" t="s">
        <v>1071</v>
      </c>
      <c r="E265" s="94">
        <v>542</v>
      </c>
      <c r="F265" s="109">
        <v>4.2025277196247188</v>
      </c>
      <c r="G265" s="100"/>
      <c r="H265" s="110"/>
    </row>
    <row r="266" spans="1:8" s="5" customFormat="1" ht="11.25" customHeight="1" x14ac:dyDescent="0.2">
      <c r="A266" s="10"/>
      <c r="B266" s="10"/>
      <c r="C266" s="11" t="s">
        <v>918</v>
      </c>
      <c r="D266" s="11" t="s">
        <v>488</v>
      </c>
      <c r="E266" s="94">
        <v>61</v>
      </c>
      <c r="F266" s="109">
        <v>0.47297821198728385</v>
      </c>
      <c r="G266" s="100"/>
      <c r="H266" s="110"/>
    </row>
    <row r="267" spans="1:8" s="5" customFormat="1" ht="11.25" customHeight="1" x14ac:dyDescent="0.2">
      <c r="A267" s="10"/>
      <c r="B267" s="10"/>
      <c r="C267" s="12" t="s">
        <v>919</v>
      </c>
      <c r="D267" s="11" t="s">
        <v>1072</v>
      </c>
      <c r="E267" s="94">
        <v>6322</v>
      </c>
      <c r="F267" s="109">
        <v>49.019151740714896</v>
      </c>
      <c r="G267" s="100"/>
      <c r="H267" s="110"/>
    </row>
    <row r="268" spans="1:8" s="5" customFormat="1" ht="11.25" customHeight="1" x14ac:dyDescent="0.2">
      <c r="A268" s="10"/>
      <c r="B268" s="10"/>
      <c r="C268" s="11" t="s">
        <v>920</v>
      </c>
      <c r="D268" s="11" t="s">
        <v>1736</v>
      </c>
      <c r="E268" s="94">
        <v>5259</v>
      </c>
      <c r="F268" s="109">
        <v>40.776924866247967</v>
      </c>
      <c r="G268" s="100"/>
      <c r="H268" s="110"/>
    </row>
    <row r="269" spans="1:8" s="5" customFormat="1" ht="11.25" customHeight="1" x14ac:dyDescent="0.2">
      <c r="A269" s="10"/>
      <c r="B269" s="10"/>
      <c r="C269" s="11" t="s">
        <v>921</v>
      </c>
      <c r="D269" s="11" t="s">
        <v>655</v>
      </c>
      <c r="E269" s="94">
        <v>713</v>
      </c>
      <c r="F269" s="109">
        <v>5.5284174614251373</v>
      </c>
      <c r="G269" s="100"/>
      <c r="H269" s="110"/>
    </row>
    <row r="270" spans="1:8" s="5" customFormat="1" ht="11.25" customHeight="1" x14ac:dyDescent="0.2">
      <c r="A270" s="10"/>
      <c r="B270" s="10"/>
      <c r="C270" s="11"/>
      <c r="D270" s="11" t="s">
        <v>2318</v>
      </c>
      <c r="E270" s="167" t="s">
        <v>371</v>
      </c>
      <c r="F270" s="168">
        <v>100</v>
      </c>
      <c r="G270" s="161">
        <v>21816</v>
      </c>
      <c r="H270" s="164">
        <v>59.208837550421705</v>
      </c>
    </row>
    <row r="271" spans="1:8" s="5" customFormat="1" ht="11.25" customHeight="1" x14ac:dyDescent="0.2">
      <c r="A271" s="10"/>
      <c r="B271" s="10"/>
      <c r="C271" s="11"/>
      <c r="D271" s="11"/>
      <c r="E271" s="94"/>
      <c r="F271" s="109"/>
      <c r="G271" s="100"/>
      <c r="H271" s="110"/>
    </row>
    <row r="272" spans="1:8" s="5" customFormat="1" ht="11.25" customHeight="1" x14ac:dyDescent="0.2">
      <c r="A272" s="10" t="s">
        <v>1118</v>
      </c>
      <c r="B272" s="10"/>
      <c r="C272" s="11" t="s">
        <v>922</v>
      </c>
      <c r="D272" s="11" t="s">
        <v>1071</v>
      </c>
      <c r="E272" s="94">
        <v>435</v>
      </c>
      <c r="F272" s="109">
        <v>3.6129568106312293</v>
      </c>
      <c r="G272" s="100"/>
      <c r="H272" s="110"/>
    </row>
    <row r="273" spans="1:8" s="5" customFormat="1" ht="11.25" customHeight="1" x14ac:dyDescent="0.2">
      <c r="A273" s="10"/>
      <c r="B273" s="10"/>
      <c r="C273" s="12" t="s">
        <v>1120</v>
      </c>
      <c r="D273" s="11" t="s">
        <v>1072</v>
      </c>
      <c r="E273" s="94">
        <v>6047</v>
      </c>
      <c r="F273" s="109">
        <v>50.224252491694358</v>
      </c>
      <c r="G273" s="100"/>
      <c r="H273" s="110"/>
    </row>
    <row r="274" spans="1:8" s="5" customFormat="1" ht="11.25" customHeight="1" x14ac:dyDescent="0.2">
      <c r="A274" s="10"/>
      <c r="B274" s="10"/>
      <c r="C274" s="11" t="s">
        <v>923</v>
      </c>
      <c r="D274" s="11" t="s">
        <v>655</v>
      </c>
      <c r="E274" s="94">
        <v>831</v>
      </c>
      <c r="F274" s="109">
        <v>6.9019933554817285</v>
      </c>
      <c r="G274" s="100"/>
      <c r="H274" s="110"/>
    </row>
    <row r="275" spans="1:8" s="5" customFormat="1" ht="11.25" customHeight="1" x14ac:dyDescent="0.2">
      <c r="A275" s="10"/>
      <c r="B275" s="10"/>
      <c r="C275" s="11" t="s">
        <v>924</v>
      </c>
      <c r="D275" s="11" t="s">
        <v>1736</v>
      </c>
      <c r="E275" s="94">
        <v>4672</v>
      </c>
      <c r="F275" s="109">
        <v>38.803986710963457</v>
      </c>
      <c r="G275" s="100"/>
      <c r="H275" s="110"/>
    </row>
    <row r="276" spans="1:8" s="5" customFormat="1" ht="11.25" customHeight="1" x14ac:dyDescent="0.2">
      <c r="A276" s="10"/>
      <c r="B276" s="10"/>
      <c r="C276" s="11" t="s">
        <v>925</v>
      </c>
      <c r="D276" s="11" t="s">
        <v>488</v>
      </c>
      <c r="E276" s="94">
        <v>55</v>
      </c>
      <c r="F276" s="109">
        <v>0.45681063122923593</v>
      </c>
      <c r="G276" s="100"/>
      <c r="H276" s="110"/>
    </row>
    <row r="277" spans="1:8" s="5" customFormat="1" ht="11.25" customHeight="1" x14ac:dyDescent="0.2">
      <c r="A277" s="10"/>
      <c r="B277" s="10"/>
      <c r="C277" s="11"/>
      <c r="D277" s="11" t="s">
        <v>2318</v>
      </c>
      <c r="E277" s="167" t="s">
        <v>372</v>
      </c>
      <c r="F277" s="168">
        <v>100</v>
      </c>
      <c r="G277" s="161">
        <v>21488</v>
      </c>
      <c r="H277" s="164">
        <v>56.156924795234552</v>
      </c>
    </row>
    <row r="278" spans="1:8" s="5" customFormat="1" ht="11.25" customHeight="1" x14ac:dyDescent="0.2">
      <c r="A278" s="10"/>
      <c r="B278" s="10"/>
      <c r="C278" s="11"/>
      <c r="D278" s="11"/>
      <c r="E278" s="94"/>
      <c r="F278" s="109"/>
      <c r="G278" s="100"/>
      <c r="H278" s="110"/>
    </row>
    <row r="279" spans="1:8" s="5" customFormat="1" ht="11.25" customHeight="1" x14ac:dyDescent="0.2">
      <c r="A279" s="10" t="s">
        <v>1123</v>
      </c>
      <c r="B279" s="10"/>
      <c r="C279" s="11" t="s">
        <v>926</v>
      </c>
      <c r="D279" s="11" t="s">
        <v>655</v>
      </c>
      <c r="E279" s="94">
        <v>1804</v>
      </c>
      <c r="F279" s="109">
        <v>13.849864781807009</v>
      </c>
      <c r="G279" s="100"/>
      <c r="H279" s="110"/>
    </row>
    <row r="280" spans="1:8" s="5" customFormat="1" ht="11.25" customHeight="1" x14ac:dyDescent="0.2">
      <c r="A280" s="10"/>
      <c r="B280" s="10"/>
      <c r="C280" s="11" t="s">
        <v>927</v>
      </c>
      <c r="D280" s="11" t="s">
        <v>1071</v>
      </c>
      <c r="E280" s="94">
        <v>776</v>
      </c>
      <c r="F280" s="109">
        <v>5.9618930547019051</v>
      </c>
      <c r="G280" s="100"/>
      <c r="H280" s="110"/>
    </row>
    <row r="281" spans="1:8" s="5" customFormat="1" ht="11.25" customHeight="1" x14ac:dyDescent="0.2">
      <c r="A281" s="10"/>
      <c r="B281" s="10"/>
      <c r="C281" s="11" t="s">
        <v>1076</v>
      </c>
      <c r="D281" s="11" t="s">
        <v>1736</v>
      </c>
      <c r="E281" s="94">
        <v>3679</v>
      </c>
      <c r="F281" s="109">
        <v>28.265212046711742</v>
      </c>
      <c r="G281" s="100"/>
      <c r="H281" s="110"/>
    </row>
    <row r="282" spans="1:8" s="5" customFormat="1" ht="11.25" customHeight="1" x14ac:dyDescent="0.2">
      <c r="A282" s="10"/>
      <c r="B282" s="10"/>
      <c r="C282" s="12" t="s">
        <v>976</v>
      </c>
      <c r="D282" s="11" t="s">
        <v>1072</v>
      </c>
      <c r="E282" s="94">
        <v>6757</v>
      </c>
      <c r="F282" s="109">
        <v>51.913030116779346</v>
      </c>
      <c r="G282" s="100"/>
      <c r="H282" s="110"/>
    </row>
    <row r="283" spans="1:8" s="5" customFormat="1" ht="11.25" customHeight="1" x14ac:dyDescent="0.2">
      <c r="A283" s="10"/>
      <c r="B283" s="10"/>
      <c r="C283" s="11"/>
      <c r="D283" s="11" t="s">
        <v>2318</v>
      </c>
      <c r="E283" s="167" t="s">
        <v>373</v>
      </c>
      <c r="F283" s="168">
        <v>99.99</v>
      </c>
      <c r="G283" s="161">
        <v>23216</v>
      </c>
      <c r="H283" s="164">
        <v>56.142315644383181</v>
      </c>
    </row>
    <row r="284" spans="1:8" s="5" customFormat="1" ht="11.25" customHeight="1" x14ac:dyDescent="0.2">
      <c r="A284" s="10"/>
      <c r="B284" s="10"/>
      <c r="C284" s="11"/>
      <c r="D284" s="11"/>
      <c r="E284" s="94"/>
      <c r="F284" s="109"/>
      <c r="G284" s="100"/>
      <c r="H284" s="110"/>
    </row>
    <row r="285" spans="1:8" s="5" customFormat="1" ht="11.25" customHeight="1" x14ac:dyDescent="0.2">
      <c r="A285" s="10" t="s">
        <v>977</v>
      </c>
      <c r="B285" s="10"/>
      <c r="C285" s="11" t="s">
        <v>1077</v>
      </c>
      <c r="D285" s="11" t="s">
        <v>655</v>
      </c>
      <c r="E285" s="94">
        <v>1266</v>
      </c>
      <c r="F285" s="109">
        <v>12.698094282848546</v>
      </c>
      <c r="G285" s="100"/>
      <c r="H285" s="110"/>
    </row>
    <row r="286" spans="1:8" s="5" customFormat="1" ht="11.25" customHeight="1" x14ac:dyDescent="0.2">
      <c r="A286" s="10"/>
      <c r="B286" s="10"/>
      <c r="C286" s="11" t="s">
        <v>1078</v>
      </c>
      <c r="D286" s="11" t="s">
        <v>1314</v>
      </c>
      <c r="E286" s="94">
        <v>52</v>
      </c>
      <c r="F286" s="109">
        <v>0.52156469408224682</v>
      </c>
      <c r="G286" s="100"/>
      <c r="H286" s="110"/>
    </row>
    <row r="287" spans="1:8" s="5" customFormat="1" ht="11.25" customHeight="1" x14ac:dyDescent="0.2">
      <c r="A287" s="10"/>
      <c r="B287" s="10"/>
      <c r="C287" s="11" t="s">
        <v>1079</v>
      </c>
      <c r="D287" s="11" t="s">
        <v>1071</v>
      </c>
      <c r="E287" s="94">
        <v>546</v>
      </c>
      <c r="F287" s="109">
        <v>5.4764292878635903</v>
      </c>
      <c r="G287" s="100"/>
      <c r="H287" s="110"/>
    </row>
    <row r="288" spans="1:8" s="5" customFormat="1" ht="11.25" customHeight="1" x14ac:dyDescent="0.2">
      <c r="A288" s="10"/>
      <c r="B288" s="10"/>
      <c r="C288" s="11" t="s">
        <v>1080</v>
      </c>
      <c r="D288" s="11" t="s">
        <v>1736</v>
      </c>
      <c r="E288" s="94">
        <v>2993</v>
      </c>
      <c r="F288" s="109">
        <v>30.020060180541623</v>
      </c>
      <c r="G288" s="100"/>
      <c r="H288" s="110"/>
    </row>
    <row r="289" spans="1:8" s="5" customFormat="1" ht="11.25" customHeight="1" x14ac:dyDescent="0.2">
      <c r="A289" s="10"/>
      <c r="B289" s="10"/>
      <c r="C289" s="12" t="s">
        <v>980</v>
      </c>
      <c r="D289" s="11" t="s">
        <v>1072</v>
      </c>
      <c r="E289" s="94">
        <v>5113</v>
      </c>
      <c r="F289" s="109">
        <v>51.283851554663997</v>
      </c>
      <c r="G289" s="100"/>
      <c r="H289" s="110"/>
    </row>
    <row r="290" spans="1:8" s="5" customFormat="1" ht="11.25" customHeight="1" x14ac:dyDescent="0.2">
      <c r="A290" s="10"/>
      <c r="B290" s="10"/>
      <c r="C290" s="11"/>
      <c r="D290" s="11" t="s">
        <v>2318</v>
      </c>
      <c r="E290" s="167" t="s">
        <v>374</v>
      </c>
      <c r="F290" s="168">
        <v>100</v>
      </c>
      <c r="G290" s="161">
        <v>17909</v>
      </c>
      <c r="H290" s="164">
        <v>55.770841476352672</v>
      </c>
    </row>
    <row r="291" spans="1:8" s="5" customFormat="1" ht="11.25" customHeight="1" x14ac:dyDescent="0.2">
      <c r="A291" s="10"/>
      <c r="B291" s="10"/>
      <c r="C291" s="11"/>
      <c r="D291" s="11"/>
      <c r="E291" s="94"/>
      <c r="F291" s="109"/>
      <c r="G291" s="100"/>
      <c r="H291" s="110"/>
    </row>
    <row r="292" spans="1:8" s="5" customFormat="1" ht="11.25" customHeight="1" x14ac:dyDescent="0.2">
      <c r="A292" s="10" t="s">
        <v>981</v>
      </c>
      <c r="B292" s="10"/>
      <c r="C292" s="11" t="s">
        <v>1093</v>
      </c>
      <c r="D292" s="11" t="s">
        <v>1736</v>
      </c>
      <c r="E292" s="94">
        <v>2583</v>
      </c>
      <c r="F292" s="109">
        <v>28.100522193211486</v>
      </c>
      <c r="G292" s="100"/>
      <c r="H292" s="110"/>
    </row>
    <row r="293" spans="1:8" s="5" customFormat="1" ht="11.25" customHeight="1" x14ac:dyDescent="0.2">
      <c r="A293" s="10"/>
      <c r="B293" s="10"/>
      <c r="C293" s="11" t="s">
        <v>1081</v>
      </c>
      <c r="D293" s="11" t="s">
        <v>1071</v>
      </c>
      <c r="E293" s="94">
        <v>485</v>
      </c>
      <c r="F293" s="109">
        <v>5.2763272410791995</v>
      </c>
      <c r="G293" s="100"/>
      <c r="H293" s="110"/>
    </row>
    <row r="294" spans="1:8" s="5" customFormat="1" ht="11.25" customHeight="1" x14ac:dyDescent="0.2">
      <c r="A294" s="10"/>
      <c r="B294" s="10"/>
      <c r="C294" s="11" t="s">
        <v>1082</v>
      </c>
      <c r="D294" s="11" t="s">
        <v>655</v>
      </c>
      <c r="E294" s="94">
        <v>2767</v>
      </c>
      <c r="F294" s="109">
        <v>30.102262837249782</v>
      </c>
      <c r="G294" s="100"/>
      <c r="H294" s="110"/>
    </row>
    <row r="295" spans="1:8" s="5" customFormat="1" ht="11.25" customHeight="1" x14ac:dyDescent="0.2">
      <c r="A295" s="10"/>
      <c r="B295" s="10"/>
      <c r="C295" s="12" t="s">
        <v>1083</v>
      </c>
      <c r="D295" s="11" t="s">
        <v>1072</v>
      </c>
      <c r="E295" s="94">
        <v>3357</v>
      </c>
      <c r="F295" s="109">
        <v>36.520887728459527</v>
      </c>
      <c r="G295" s="100"/>
      <c r="H295" s="110"/>
    </row>
    <row r="296" spans="1:8" s="5" customFormat="1" ht="11.25" customHeight="1" x14ac:dyDescent="0.2">
      <c r="A296" s="10"/>
      <c r="B296" s="10"/>
      <c r="C296" s="11"/>
      <c r="D296" s="11" t="s">
        <v>2318</v>
      </c>
      <c r="E296" s="167" t="s">
        <v>375</v>
      </c>
      <c r="F296" s="168">
        <v>100</v>
      </c>
      <c r="G296" s="161">
        <v>18068</v>
      </c>
      <c r="H296" s="164">
        <v>51.101394731016164</v>
      </c>
    </row>
    <row r="297" spans="1:8" s="5" customFormat="1" ht="11.25" customHeight="1" x14ac:dyDescent="0.2">
      <c r="A297" s="10"/>
      <c r="B297" s="10"/>
      <c r="C297" s="11"/>
      <c r="D297" s="11"/>
      <c r="E297" s="94"/>
      <c r="F297" s="109"/>
      <c r="G297" s="100"/>
      <c r="H297" s="110"/>
    </row>
    <row r="298" spans="1:8" s="5" customFormat="1" ht="11.25" customHeight="1" x14ac:dyDescent="0.2">
      <c r="A298" s="10" t="s">
        <v>985</v>
      </c>
      <c r="B298" s="10"/>
      <c r="C298" s="11" t="s">
        <v>814</v>
      </c>
      <c r="D298" s="11" t="s">
        <v>488</v>
      </c>
      <c r="E298" s="94">
        <v>87</v>
      </c>
      <c r="F298" s="109">
        <v>0.60408276628246083</v>
      </c>
      <c r="G298" s="100"/>
      <c r="H298" s="110"/>
    </row>
    <row r="299" spans="1:8" s="5" customFormat="1" ht="11.25" customHeight="1" x14ac:dyDescent="0.2">
      <c r="A299" s="10"/>
      <c r="B299" s="10"/>
      <c r="C299" s="11" t="s">
        <v>815</v>
      </c>
      <c r="D299" s="11" t="s">
        <v>655</v>
      </c>
      <c r="E299" s="94">
        <v>2261</v>
      </c>
      <c r="F299" s="109">
        <v>15.699208443271766</v>
      </c>
      <c r="G299" s="100"/>
      <c r="H299" s="110"/>
    </row>
    <row r="300" spans="1:8" s="5" customFormat="1" ht="11.25" customHeight="1" x14ac:dyDescent="0.2">
      <c r="A300" s="10"/>
      <c r="B300" s="10"/>
      <c r="C300" s="11" t="s">
        <v>816</v>
      </c>
      <c r="D300" s="11" t="s">
        <v>1736</v>
      </c>
      <c r="E300" s="94">
        <v>5122</v>
      </c>
      <c r="F300" s="109">
        <v>35.56450492987085</v>
      </c>
      <c r="G300" s="100"/>
      <c r="H300" s="110"/>
    </row>
    <row r="301" spans="1:8" s="5" customFormat="1" ht="11.25" customHeight="1" x14ac:dyDescent="0.2">
      <c r="A301" s="10"/>
      <c r="B301" s="10"/>
      <c r="C301" s="11" t="s">
        <v>817</v>
      </c>
      <c r="D301" s="11" t="s">
        <v>1071</v>
      </c>
      <c r="E301" s="94">
        <v>805</v>
      </c>
      <c r="F301" s="109">
        <v>5.5895014581308153</v>
      </c>
      <c r="G301" s="100"/>
      <c r="H301" s="110"/>
    </row>
    <row r="302" spans="1:8" s="5" customFormat="1" ht="11.25" customHeight="1" x14ac:dyDescent="0.2">
      <c r="A302" s="10"/>
      <c r="B302" s="10"/>
      <c r="C302" s="11" t="s">
        <v>480</v>
      </c>
      <c r="D302" s="11" t="s">
        <v>486</v>
      </c>
      <c r="E302" s="94">
        <v>61</v>
      </c>
      <c r="F302" s="109">
        <v>0.42355228440494375</v>
      </c>
      <c r="G302" s="100"/>
      <c r="H302" s="110"/>
    </row>
    <row r="303" spans="1:8" s="5" customFormat="1" ht="11.25" customHeight="1" x14ac:dyDescent="0.2">
      <c r="A303" s="10"/>
      <c r="B303" s="10"/>
      <c r="C303" s="12" t="s">
        <v>818</v>
      </c>
      <c r="D303" s="11" t="s">
        <v>1072</v>
      </c>
      <c r="E303" s="94">
        <v>6066</v>
      </c>
      <c r="F303" s="109">
        <v>42.119150118039158</v>
      </c>
      <c r="G303" s="100"/>
      <c r="H303" s="110"/>
    </row>
    <row r="304" spans="1:8" s="5" customFormat="1" ht="11.25" customHeight="1" x14ac:dyDescent="0.2">
      <c r="A304" s="10"/>
      <c r="B304" s="10"/>
      <c r="C304" s="11"/>
      <c r="D304" s="11" t="s">
        <v>2318</v>
      </c>
      <c r="E304" s="167" t="s">
        <v>376</v>
      </c>
      <c r="F304" s="168">
        <v>100</v>
      </c>
      <c r="G304" s="161">
        <v>23040</v>
      </c>
      <c r="H304" s="164">
        <v>62.751736111111114</v>
      </c>
    </row>
    <row r="305" spans="1:8" s="5" customFormat="1" ht="11.25" customHeight="1" x14ac:dyDescent="0.2">
      <c r="A305" s="10"/>
      <c r="B305" s="10"/>
      <c r="C305" s="11"/>
      <c r="D305" s="11"/>
      <c r="E305" s="94"/>
      <c r="F305" s="109"/>
      <c r="G305" s="100"/>
      <c r="H305" s="110"/>
    </row>
    <row r="306" spans="1:8" s="5" customFormat="1" ht="11.25" customHeight="1" x14ac:dyDescent="0.2">
      <c r="A306" s="10" t="s">
        <v>990</v>
      </c>
      <c r="B306" s="10"/>
      <c r="C306" s="11" t="s">
        <v>819</v>
      </c>
      <c r="D306" s="11" t="s">
        <v>655</v>
      </c>
      <c r="E306" s="94">
        <v>1156</v>
      </c>
      <c r="F306" s="109">
        <v>8.8759213759213758</v>
      </c>
      <c r="G306" s="100"/>
      <c r="H306" s="110"/>
    </row>
    <row r="307" spans="1:8" s="5" customFormat="1" ht="11.25" customHeight="1" x14ac:dyDescent="0.2">
      <c r="A307" s="10"/>
      <c r="B307" s="10"/>
      <c r="C307" s="11" t="s">
        <v>820</v>
      </c>
      <c r="D307" s="11" t="s">
        <v>1071</v>
      </c>
      <c r="E307" s="94">
        <v>674</v>
      </c>
      <c r="F307" s="109">
        <v>5.1750614250614255</v>
      </c>
      <c r="G307" s="100"/>
      <c r="H307" s="110"/>
    </row>
    <row r="308" spans="1:8" s="5" customFormat="1" ht="11.25" customHeight="1" x14ac:dyDescent="0.2">
      <c r="A308" s="10"/>
      <c r="B308" s="10"/>
      <c r="C308" s="11" t="s">
        <v>821</v>
      </c>
      <c r="D308" s="11" t="s">
        <v>1736</v>
      </c>
      <c r="E308" s="94">
        <v>5078</v>
      </c>
      <c r="F308" s="109">
        <v>38.989557739557739</v>
      </c>
      <c r="G308" s="100"/>
      <c r="H308" s="110"/>
    </row>
    <row r="309" spans="1:8" s="5" customFormat="1" ht="11.25" customHeight="1" x14ac:dyDescent="0.2">
      <c r="A309" s="10"/>
      <c r="B309" s="10"/>
      <c r="C309" s="12" t="s">
        <v>822</v>
      </c>
      <c r="D309" s="11" t="s">
        <v>1072</v>
      </c>
      <c r="E309" s="94">
        <v>6007</v>
      </c>
      <c r="F309" s="109">
        <v>46.122542997543</v>
      </c>
      <c r="G309" s="100"/>
      <c r="H309" s="110"/>
    </row>
    <row r="310" spans="1:8" s="5" customFormat="1" ht="11.25" customHeight="1" x14ac:dyDescent="0.2">
      <c r="A310" s="10"/>
      <c r="B310" s="10"/>
      <c r="C310" s="11" t="s">
        <v>823</v>
      </c>
      <c r="D310" s="11" t="s">
        <v>653</v>
      </c>
      <c r="E310" s="94">
        <v>109</v>
      </c>
      <c r="F310" s="109">
        <v>0.83691646191646185</v>
      </c>
      <c r="G310" s="100"/>
      <c r="H310" s="110"/>
    </row>
    <row r="311" spans="1:8" s="5" customFormat="1" ht="11.25" customHeight="1" x14ac:dyDescent="0.2">
      <c r="A311" s="10"/>
      <c r="B311" s="10"/>
      <c r="C311" s="11"/>
      <c r="D311" s="11" t="s">
        <v>2318</v>
      </c>
      <c r="E311" s="167" t="s">
        <v>377</v>
      </c>
      <c r="F311" s="168">
        <v>100</v>
      </c>
      <c r="G311" s="161">
        <v>22002</v>
      </c>
      <c r="H311" s="164">
        <v>59.312789746386692</v>
      </c>
    </row>
    <row r="312" spans="1:8" s="5" customFormat="1" ht="11.25" customHeight="1" x14ac:dyDescent="0.2">
      <c r="A312" s="10"/>
      <c r="B312" s="10"/>
      <c r="C312" s="11"/>
      <c r="D312" s="11"/>
      <c r="E312" s="94"/>
      <c r="F312" s="109"/>
      <c r="G312" s="100"/>
      <c r="H312" s="110"/>
    </row>
    <row r="313" spans="1:8" s="5" customFormat="1" ht="11.25" customHeight="1" x14ac:dyDescent="0.2">
      <c r="A313" s="10" t="s">
        <v>994</v>
      </c>
      <c r="B313" s="10"/>
      <c r="C313" s="11" t="s">
        <v>824</v>
      </c>
      <c r="D313" s="11" t="s">
        <v>1071</v>
      </c>
      <c r="E313" s="94">
        <v>552</v>
      </c>
      <c r="F313" s="109">
        <v>4.1141834985466197</v>
      </c>
      <c r="G313" s="100"/>
      <c r="H313" s="110"/>
    </row>
    <row r="314" spans="1:8" s="5" customFormat="1" ht="11.25" customHeight="1" x14ac:dyDescent="0.2">
      <c r="A314" s="10"/>
      <c r="B314" s="10"/>
      <c r="C314" s="11" t="s">
        <v>825</v>
      </c>
      <c r="D314" s="11" t="s">
        <v>488</v>
      </c>
      <c r="E314" s="94">
        <v>47</v>
      </c>
      <c r="F314" s="109">
        <v>0.35030185585451296</v>
      </c>
      <c r="G314" s="100"/>
      <c r="H314" s="110"/>
    </row>
    <row r="315" spans="1:8" s="5" customFormat="1" ht="11.25" customHeight="1" x14ac:dyDescent="0.2">
      <c r="A315" s="10"/>
      <c r="B315" s="10"/>
      <c r="C315" s="11" t="s">
        <v>826</v>
      </c>
      <c r="D315" s="11" t="s">
        <v>1314</v>
      </c>
      <c r="E315" s="94">
        <v>236</v>
      </c>
      <c r="F315" s="109">
        <v>1.7589625102481927</v>
      </c>
      <c r="G315" s="100"/>
      <c r="H315" s="110"/>
    </row>
    <row r="316" spans="1:8" s="5" customFormat="1" ht="11.25" customHeight="1" x14ac:dyDescent="0.2">
      <c r="A316" s="10"/>
      <c r="B316" s="10"/>
      <c r="C316" s="11" t="s">
        <v>997</v>
      </c>
      <c r="D316" s="11" t="s">
        <v>1736</v>
      </c>
      <c r="E316" s="94">
        <v>4096</v>
      </c>
      <c r="F316" s="109">
        <v>30.528434076172022</v>
      </c>
      <c r="G316" s="100"/>
      <c r="H316" s="110"/>
    </row>
    <row r="317" spans="1:8" s="5" customFormat="1" ht="11.25" customHeight="1" x14ac:dyDescent="0.2">
      <c r="A317" s="10"/>
      <c r="B317" s="10"/>
      <c r="C317" s="11" t="s">
        <v>827</v>
      </c>
      <c r="D317" s="11" t="s">
        <v>1072</v>
      </c>
      <c r="E317" s="94">
        <v>4214</v>
      </c>
      <c r="F317" s="109">
        <v>31.407915331296117</v>
      </c>
      <c r="G317" s="100"/>
      <c r="H317" s="110"/>
    </row>
    <row r="318" spans="1:8" s="5" customFormat="1" ht="11.25" customHeight="1" x14ac:dyDescent="0.2">
      <c r="A318" s="10"/>
      <c r="B318" s="10"/>
      <c r="C318" s="12" t="s">
        <v>998</v>
      </c>
      <c r="D318" s="11" t="s">
        <v>655</v>
      </c>
      <c r="E318" s="94">
        <v>4272</v>
      </c>
      <c r="F318" s="109">
        <v>31.840202727882538</v>
      </c>
      <c r="G318" s="100"/>
      <c r="H318" s="110"/>
    </row>
    <row r="319" spans="1:8" s="5" customFormat="1" ht="11.25" customHeight="1" x14ac:dyDescent="0.2">
      <c r="A319" s="10"/>
      <c r="B319" s="10"/>
      <c r="C319" s="11"/>
      <c r="D319" s="11" t="s">
        <v>2318</v>
      </c>
      <c r="E319" s="167" t="s">
        <v>378</v>
      </c>
      <c r="F319" s="168">
        <v>100</v>
      </c>
      <c r="G319" s="161">
        <v>23886</v>
      </c>
      <c r="H319" s="164">
        <v>56.342627480532528</v>
      </c>
    </row>
    <row r="320" spans="1:8" s="5" customFormat="1" ht="11.25" customHeight="1" x14ac:dyDescent="0.2">
      <c r="A320" s="10"/>
      <c r="B320" s="10"/>
      <c r="C320" s="11"/>
      <c r="D320" s="11"/>
      <c r="E320" s="94"/>
      <c r="F320" s="109"/>
      <c r="G320" s="100"/>
      <c r="H320" s="110"/>
    </row>
    <row r="321" spans="1:8" s="5" customFormat="1" ht="11.25" customHeight="1" x14ac:dyDescent="0.2">
      <c r="A321" s="10" t="s">
        <v>999</v>
      </c>
      <c r="B321" s="10"/>
      <c r="C321" s="11" t="s">
        <v>828</v>
      </c>
      <c r="D321" s="11" t="s">
        <v>1071</v>
      </c>
      <c r="E321" s="94">
        <v>635</v>
      </c>
      <c r="F321" s="109">
        <v>4.0421801432958038</v>
      </c>
      <c r="G321" s="100"/>
      <c r="H321" s="110"/>
    </row>
    <row r="322" spans="1:8" s="5" customFormat="1" ht="11.25" customHeight="1" x14ac:dyDescent="0.2">
      <c r="A322" s="10"/>
      <c r="B322" s="10"/>
      <c r="C322" s="11" t="s">
        <v>829</v>
      </c>
      <c r="D322" s="11" t="s">
        <v>488</v>
      </c>
      <c r="E322" s="94">
        <v>59</v>
      </c>
      <c r="F322" s="109">
        <v>0.37743091095189357</v>
      </c>
      <c r="G322" s="100"/>
      <c r="H322" s="110"/>
    </row>
    <row r="323" spans="1:8" s="5" customFormat="1" ht="11.25" customHeight="1" x14ac:dyDescent="0.2">
      <c r="A323" s="10"/>
      <c r="B323" s="10"/>
      <c r="C323" s="12" t="s">
        <v>1001</v>
      </c>
      <c r="D323" s="11" t="s">
        <v>1736</v>
      </c>
      <c r="E323" s="94">
        <v>7973</v>
      </c>
      <c r="F323" s="109">
        <v>51.00435005117707</v>
      </c>
      <c r="G323" s="100"/>
      <c r="H323" s="110"/>
    </row>
    <row r="324" spans="1:8" s="5" customFormat="1" ht="11.25" customHeight="1" x14ac:dyDescent="0.2">
      <c r="A324" s="10"/>
      <c r="B324" s="10"/>
      <c r="C324" s="11" t="s">
        <v>830</v>
      </c>
      <c r="D324" s="11" t="s">
        <v>655</v>
      </c>
      <c r="E324" s="94">
        <v>1012</v>
      </c>
      <c r="F324" s="109">
        <v>6.4738996929375636</v>
      </c>
      <c r="G324" s="100"/>
      <c r="H324" s="110"/>
    </row>
    <row r="325" spans="1:8" s="5" customFormat="1" ht="11.25" customHeight="1" x14ac:dyDescent="0.2">
      <c r="A325" s="10"/>
      <c r="B325" s="10"/>
      <c r="C325" s="11" t="s">
        <v>831</v>
      </c>
      <c r="D325" s="11" t="s">
        <v>1072</v>
      </c>
      <c r="E325" s="94">
        <v>5953</v>
      </c>
      <c r="F325" s="109">
        <v>38.082139201637666</v>
      </c>
      <c r="G325" s="100"/>
      <c r="H325" s="110"/>
    </row>
    <row r="326" spans="1:8" s="5" customFormat="1" ht="11.25" customHeight="1" x14ac:dyDescent="0.2">
      <c r="A326" s="10"/>
      <c r="B326" s="10"/>
      <c r="C326" s="11"/>
      <c r="D326" s="11" t="s">
        <v>2318</v>
      </c>
      <c r="E326" s="167" t="s">
        <v>593</v>
      </c>
      <c r="F326" s="168">
        <v>99.98</v>
      </c>
      <c r="G326" s="161">
        <v>25555</v>
      </c>
      <c r="H326" s="164">
        <v>61.432205047935824</v>
      </c>
    </row>
    <row r="327" spans="1:8" s="5" customFormat="1" ht="11.25" customHeight="1" x14ac:dyDescent="0.2">
      <c r="A327" s="10"/>
      <c r="B327" s="10"/>
      <c r="C327" s="11"/>
      <c r="D327" s="11"/>
      <c r="E327" s="94"/>
      <c r="F327" s="109"/>
      <c r="G327" s="100"/>
      <c r="H327" s="110"/>
    </row>
    <row r="328" spans="1:8" s="5" customFormat="1" ht="11.25" customHeight="1" x14ac:dyDescent="0.2">
      <c r="A328" s="10" t="s">
        <v>1356</v>
      </c>
      <c r="B328" s="10"/>
      <c r="C328" s="12" t="s">
        <v>858</v>
      </c>
      <c r="D328" s="11" t="s">
        <v>1736</v>
      </c>
      <c r="E328" s="94">
        <v>5420</v>
      </c>
      <c r="F328" s="109">
        <v>55.830243098475485</v>
      </c>
      <c r="G328" s="100"/>
      <c r="H328" s="110"/>
    </row>
    <row r="329" spans="1:8" s="5" customFormat="1" ht="11.25" customHeight="1" x14ac:dyDescent="0.2">
      <c r="A329" s="10"/>
      <c r="B329" s="10"/>
      <c r="C329" s="11" t="s">
        <v>859</v>
      </c>
      <c r="D329" s="11" t="s">
        <v>655</v>
      </c>
      <c r="E329" s="94">
        <v>280</v>
      </c>
      <c r="F329" s="109">
        <v>2.88421920065925</v>
      </c>
      <c r="G329" s="100"/>
      <c r="H329" s="110"/>
    </row>
    <row r="330" spans="1:8" s="5" customFormat="1" ht="11.25" customHeight="1" x14ac:dyDescent="0.2">
      <c r="A330" s="10"/>
      <c r="B330" s="10"/>
      <c r="C330" s="11" t="s">
        <v>860</v>
      </c>
      <c r="D330" s="11" t="s">
        <v>1072</v>
      </c>
      <c r="E330" s="94">
        <v>4008</v>
      </c>
      <c r="F330" s="109">
        <v>41.285537700865262</v>
      </c>
      <c r="G330" s="100" t="s">
        <v>3222</v>
      </c>
      <c r="H330" s="110"/>
    </row>
    <row r="331" spans="1:8" s="5" customFormat="1" ht="11.25" customHeight="1" x14ac:dyDescent="0.2">
      <c r="A331" s="10"/>
      <c r="B331" s="10"/>
      <c r="C331" s="11"/>
      <c r="D331" s="11" t="s">
        <v>2318</v>
      </c>
      <c r="E331" s="167" t="s">
        <v>604</v>
      </c>
      <c r="F331" s="168">
        <v>100</v>
      </c>
      <c r="G331" s="161">
        <v>21289</v>
      </c>
      <c r="H331" s="164">
        <v>45.760721499365872</v>
      </c>
    </row>
    <row r="332" spans="1:8" s="5" customFormat="1" ht="11.25" customHeight="1" x14ac:dyDescent="0.2">
      <c r="A332" s="10"/>
      <c r="B332" s="10"/>
      <c r="C332" s="11"/>
      <c r="D332" s="11"/>
      <c r="E332" s="94"/>
      <c r="F332" s="109"/>
      <c r="G332" s="100"/>
      <c r="H332" s="110"/>
    </row>
    <row r="333" spans="1:8" s="5" customFormat="1" ht="11.25" customHeight="1" x14ac:dyDescent="0.2">
      <c r="A333" s="10" t="s">
        <v>1360</v>
      </c>
      <c r="B333" s="10"/>
      <c r="C333" s="11" t="s">
        <v>861</v>
      </c>
      <c r="D333" s="11" t="s">
        <v>1072</v>
      </c>
      <c r="E333" s="94">
        <v>1995</v>
      </c>
      <c r="F333" s="109">
        <v>22.43842087504218</v>
      </c>
      <c r="G333" s="100"/>
      <c r="H333" s="110"/>
    </row>
    <row r="334" spans="1:8" s="5" customFormat="1" ht="11.25" customHeight="1" x14ac:dyDescent="0.2">
      <c r="A334" s="10"/>
      <c r="B334" s="10"/>
      <c r="C334" s="12" t="s">
        <v>862</v>
      </c>
      <c r="D334" s="11" t="s">
        <v>1736</v>
      </c>
      <c r="E334" s="94">
        <v>5753</v>
      </c>
      <c r="F334" s="109">
        <v>64.705882352941174</v>
      </c>
      <c r="G334" s="100"/>
      <c r="H334" s="110"/>
    </row>
    <row r="335" spans="1:8" s="5" customFormat="1" ht="11.25" customHeight="1" x14ac:dyDescent="0.2">
      <c r="A335" s="10"/>
      <c r="B335" s="10"/>
      <c r="C335" s="11" t="s">
        <v>863</v>
      </c>
      <c r="D335" s="11" t="s">
        <v>655</v>
      </c>
      <c r="E335" s="94">
        <v>1143</v>
      </c>
      <c r="F335" s="109">
        <v>12.855696772016644</v>
      </c>
      <c r="G335" s="100"/>
      <c r="H335" s="110"/>
    </row>
    <row r="336" spans="1:8" s="5" customFormat="1" ht="11.25" customHeight="1" x14ac:dyDescent="0.2">
      <c r="A336" s="10"/>
      <c r="B336" s="10"/>
      <c r="C336" s="11"/>
      <c r="D336" s="11" t="s">
        <v>2318</v>
      </c>
      <c r="E336" s="167" t="s">
        <v>605</v>
      </c>
      <c r="F336" s="168">
        <v>100</v>
      </c>
      <c r="G336" s="161">
        <v>18818</v>
      </c>
      <c r="H336" s="164">
        <v>47.406738229354872</v>
      </c>
    </row>
    <row r="337" spans="1:8" s="5" customFormat="1" ht="11.25" customHeight="1" x14ac:dyDescent="0.2">
      <c r="A337" s="10"/>
      <c r="B337" s="10"/>
      <c r="C337" s="11"/>
      <c r="D337" s="11"/>
      <c r="E337" s="94"/>
      <c r="F337" s="109"/>
      <c r="G337" s="100"/>
      <c r="H337" s="110"/>
    </row>
    <row r="338" spans="1:8" s="5" customFormat="1" ht="11.25" customHeight="1" x14ac:dyDescent="0.2">
      <c r="A338" s="10" t="s">
        <v>1365</v>
      </c>
      <c r="B338" s="10"/>
      <c r="C338" s="12" t="s">
        <v>864</v>
      </c>
      <c r="D338" s="11" t="s">
        <v>1736</v>
      </c>
      <c r="E338" s="94">
        <v>5592</v>
      </c>
      <c r="F338" s="109">
        <v>63.243610042976705</v>
      </c>
      <c r="G338" s="100"/>
      <c r="H338" s="110"/>
    </row>
    <row r="339" spans="1:8" s="5" customFormat="1" ht="11.25" customHeight="1" x14ac:dyDescent="0.2">
      <c r="A339" s="10"/>
      <c r="B339" s="10"/>
      <c r="C339" s="11" t="s">
        <v>865</v>
      </c>
      <c r="D339" s="11" t="s">
        <v>655</v>
      </c>
      <c r="E339" s="94">
        <v>1247</v>
      </c>
      <c r="F339" s="109">
        <v>14.103144085048633</v>
      </c>
      <c r="G339" s="100"/>
      <c r="H339" s="110"/>
    </row>
    <row r="340" spans="1:8" s="5" customFormat="1" ht="11.25" customHeight="1" x14ac:dyDescent="0.2">
      <c r="A340" s="10"/>
      <c r="B340" s="10"/>
      <c r="C340" s="11" t="s">
        <v>1370</v>
      </c>
      <c r="D340" s="11" t="s">
        <v>1072</v>
      </c>
      <c r="E340" s="94">
        <v>2003</v>
      </c>
      <c r="F340" s="109">
        <v>22.653245871974669</v>
      </c>
      <c r="G340" s="100"/>
      <c r="H340" s="110"/>
    </row>
    <row r="341" spans="1:8" s="5" customFormat="1" ht="11.25" customHeight="1" x14ac:dyDescent="0.2">
      <c r="A341" s="10"/>
      <c r="B341" s="10"/>
      <c r="C341" s="11"/>
      <c r="D341" s="11" t="s">
        <v>2318</v>
      </c>
      <c r="E341" s="167" t="s">
        <v>606</v>
      </c>
      <c r="F341" s="168">
        <v>100</v>
      </c>
      <c r="G341" s="161">
        <v>18901</v>
      </c>
      <c r="H341" s="164">
        <v>46.902280302629492</v>
      </c>
    </row>
    <row r="342" spans="1:8" s="5" customFormat="1" ht="11.25" customHeight="1" x14ac:dyDescent="0.2">
      <c r="A342" s="10"/>
      <c r="B342" s="10"/>
      <c r="C342" s="11"/>
      <c r="D342" s="11"/>
      <c r="E342" s="94"/>
      <c r="F342" s="109"/>
      <c r="G342" s="100"/>
      <c r="H342" s="110"/>
    </row>
    <row r="343" spans="1:8" s="5" customFormat="1" ht="11.25" customHeight="1" x14ac:dyDescent="0.2">
      <c r="A343" s="10" t="s">
        <v>1372</v>
      </c>
      <c r="B343" s="10"/>
      <c r="C343" s="11" t="s">
        <v>866</v>
      </c>
      <c r="D343" s="11" t="s">
        <v>1071</v>
      </c>
      <c r="E343" s="94">
        <v>1566</v>
      </c>
      <c r="F343" s="109">
        <v>11.47000659195781</v>
      </c>
      <c r="G343" s="100"/>
      <c r="H343" s="110"/>
    </row>
    <row r="344" spans="1:8" s="5" customFormat="1" ht="11.25" customHeight="1" x14ac:dyDescent="0.2">
      <c r="A344" s="10"/>
      <c r="B344" s="10"/>
      <c r="C344" s="11" t="s">
        <v>867</v>
      </c>
      <c r="D344" s="11" t="s">
        <v>655</v>
      </c>
      <c r="E344" s="94">
        <v>592</v>
      </c>
      <c r="F344" s="109">
        <v>4.3360433604336039</v>
      </c>
      <c r="G344" s="100"/>
      <c r="H344" s="110"/>
    </row>
    <row r="345" spans="1:8" s="5" customFormat="1" ht="11.25" customHeight="1" x14ac:dyDescent="0.2">
      <c r="A345" s="10"/>
      <c r="B345" s="10"/>
      <c r="C345" s="11" t="s">
        <v>868</v>
      </c>
      <c r="D345" s="11" t="s">
        <v>1072</v>
      </c>
      <c r="E345" s="94">
        <v>1944</v>
      </c>
      <c r="F345" s="109">
        <v>14.238628872775214</v>
      </c>
      <c r="G345" s="100"/>
      <c r="H345" s="110"/>
    </row>
    <row r="346" spans="1:8" s="5" customFormat="1" ht="11.25" customHeight="1" x14ac:dyDescent="0.2">
      <c r="A346" s="10"/>
      <c r="B346" s="10"/>
      <c r="C346" s="12" t="s">
        <v>1375</v>
      </c>
      <c r="D346" s="11" t="s">
        <v>1736</v>
      </c>
      <c r="E346" s="94">
        <v>9551</v>
      </c>
      <c r="F346" s="109">
        <v>69.955321174833372</v>
      </c>
      <c r="G346" s="100"/>
      <c r="H346" s="110"/>
    </row>
    <row r="347" spans="1:8" s="5" customFormat="1" ht="11.25" customHeight="1" x14ac:dyDescent="0.2">
      <c r="A347" s="10"/>
      <c r="B347" s="10"/>
      <c r="C347" s="11"/>
      <c r="D347" s="11" t="s">
        <v>2318</v>
      </c>
      <c r="E347" s="167" t="s">
        <v>607</v>
      </c>
      <c r="F347" s="168">
        <v>100</v>
      </c>
      <c r="G347" s="161">
        <v>24225</v>
      </c>
      <c r="H347" s="164">
        <v>56.515995872033024</v>
      </c>
    </row>
    <row r="348" spans="1:8" s="5" customFormat="1" ht="11.25" customHeight="1" x14ac:dyDescent="0.2">
      <c r="A348" s="10"/>
      <c r="B348" s="10"/>
      <c r="C348" s="11"/>
      <c r="D348" s="11"/>
      <c r="E348" s="94"/>
      <c r="F348" s="109"/>
      <c r="G348" s="100"/>
      <c r="H348" s="110"/>
    </row>
    <row r="349" spans="1:8" s="5" customFormat="1" ht="11.25" customHeight="1" x14ac:dyDescent="0.2">
      <c r="A349" s="10" t="s">
        <v>1377</v>
      </c>
      <c r="B349" s="10"/>
      <c r="C349" s="11" t="s">
        <v>869</v>
      </c>
      <c r="D349" s="11" t="s">
        <v>655</v>
      </c>
      <c r="E349" s="94">
        <v>583</v>
      </c>
      <c r="F349" s="109">
        <v>4.9570614743644246</v>
      </c>
      <c r="G349" s="100"/>
      <c r="H349" s="110"/>
    </row>
    <row r="350" spans="1:8" s="5" customFormat="1" ht="11.25" customHeight="1" x14ac:dyDescent="0.2">
      <c r="A350" s="10"/>
      <c r="B350" s="10"/>
      <c r="C350" s="11" t="s">
        <v>870</v>
      </c>
      <c r="D350" s="11" t="s">
        <v>1072</v>
      </c>
      <c r="E350" s="94">
        <v>2206</v>
      </c>
      <c r="F350" s="109">
        <v>18.746908426154242</v>
      </c>
      <c r="G350" s="100"/>
      <c r="H350" s="110"/>
    </row>
    <row r="351" spans="1:8" s="5" customFormat="1" ht="11.25" customHeight="1" x14ac:dyDescent="0.2">
      <c r="A351" s="10"/>
      <c r="B351" s="10"/>
      <c r="C351" s="12" t="s">
        <v>871</v>
      </c>
      <c r="D351" s="11" t="s">
        <v>1736</v>
      </c>
      <c r="E351" s="94">
        <v>7012</v>
      </c>
      <c r="F351" s="109">
        <v>59.620780545871952</v>
      </c>
      <c r="G351" s="100"/>
      <c r="H351" s="110"/>
    </row>
    <row r="352" spans="1:8" s="5" customFormat="1" ht="11.25" customHeight="1" x14ac:dyDescent="0.2">
      <c r="A352" s="10"/>
      <c r="B352" s="10"/>
      <c r="C352" s="11" t="s">
        <v>872</v>
      </c>
      <c r="D352" s="11" t="s">
        <v>1071</v>
      </c>
      <c r="E352" s="94">
        <v>1960</v>
      </c>
      <c r="F352" s="109">
        <v>16.665249553609389</v>
      </c>
      <c r="G352" s="100"/>
      <c r="H352" s="110"/>
    </row>
    <row r="353" spans="1:8" s="5" customFormat="1" ht="11.25" customHeight="1" x14ac:dyDescent="0.2">
      <c r="A353" s="10"/>
      <c r="B353" s="10"/>
      <c r="C353" s="11"/>
      <c r="D353" s="11" t="s">
        <v>2318</v>
      </c>
      <c r="E353" s="167" t="s">
        <v>608</v>
      </c>
      <c r="F353" s="168">
        <v>99.99</v>
      </c>
      <c r="G353" s="161">
        <v>20741</v>
      </c>
      <c r="H353" s="164">
        <v>56.790897256641436</v>
      </c>
    </row>
    <row r="354" spans="1:8" s="5" customFormat="1" ht="11.25" customHeight="1" x14ac:dyDescent="0.2">
      <c r="A354" s="10"/>
      <c r="B354" s="10"/>
      <c r="C354" s="11"/>
      <c r="D354" s="11"/>
      <c r="E354" s="94"/>
      <c r="F354" s="109"/>
      <c r="G354" s="100"/>
      <c r="H354" s="110"/>
    </row>
    <row r="355" spans="1:8" s="5" customFormat="1" ht="11.25" customHeight="1" x14ac:dyDescent="0.2">
      <c r="A355" s="10" t="s">
        <v>1381</v>
      </c>
      <c r="B355" s="10"/>
      <c r="C355" s="11" t="s">
        <v>873</v>
      </c>
      <c r="D355" s="11" t="s">
        <v>655</v>
      </c>
      <c r="E355" s="94">
        <v>419</v>
      </c>
      <c r="F355" s="109">
        <v>4.7041652632760753</v>
      </c>
      <c r="G355" s="100"/>
      <c r="H355" s="110"/>
    </row>
    <row r="356" spans="1:8" s="5" customFormat="1" ht="11.25" customHeight="1" x14ac:dyDescent="0.2">
      <c r="A356" s="10"/>
      <c r="B356" s="10"/>
      <c r="C356" s="12" t="s">
        <v>874</v>
      </c>
      <c r="D356" s="11" t="s">
        <v>1736</v>
      </c>
      <c r="E356" s="94">
        <v>4799</v>
      </c>
      <c r="F356" s="109">
        <v>53.878971595374423</v>
      </c>
      <c r="G356" s="100"/>
      <c r="H356" s="110"/>
    </row>
    <row r="357" spans="1:8" s="5" customFormat="1" ht="11.25" customHeight="1" x14ac:dyDescent="0.2">
      <c r="A357" s="10"/>
      <c r="B357" s="10"/>
      <c r="C357" s="11" t="s">
        <v>1383</v>
      </c>
      <c r="D357" s="11" t="s">
        <v>1072</v>
      </c>
      <c r="E357" s="94">
        <v>2901</v>
      </c>
      <c r="F357" s="109">
        <v>32.569888851465137</v>
      </c>
      <c r="G357" s="100"/>
      <c r="H357" s="110"/>
    </row>
    <row r="358" spans="1:8" s="5" customFormat="1" ht="11.25" customHeight="1" x14ac:dyDescent="0.2">
      <c r="A358" s="10"/>
      <c r="B358" s="10"/>
      <c r="C358" s="11" t="s">
        <v>875</v>
      </c>
      <c r="D358" s="11" t="s">
        <v>483</v>
      </c>
      <c r="E358" s="94">
        <v>191</v>
      </c>
      <c r="F358" s="109">
        <v>2.1443808240709554</v>
      </c>
      <c r="G358" s="100"/>
      <c r="H358" s="110"/>
    </row>
    <row r="359" spans="1:8" s="5" customFormat="1" ht="11.25" customHeight="1" x14ac:dyDescent="0.2">
      <c r="A359" s="10"/>
      <c r="B359" s="10"/>
      <c r="C359" s="11" t="s">
        <v>876</v>
      </c>
      <c r="D359" s="11" t="s">
        <v>653</v>
      </c>
      <c r="E359" s="94">
        <v>114</v>
      </c>
      <c r="F359" s="109">
        <v>1.2798922196025597</v>
      </c>
      <c r="G359" s="100"/>
      <c r="H359" s="110"/>
    </row>
    <row r="360" spans="1:8" s="5" customFormat="1" ht="11.25" customHeight="1" x14ac:dyDescent="0.2">
      <c r="A360" s="10"/>
      <c r="B360" s="10"/>
      <c r="C360" s="11" t="s">
        <v>877</v>
      </c>
      <c r="D360" s="11" t="s">
        <v>1071</v>
      </c>
      <c r="E360" s="94">
        <v>483</v>
      </c>
      <c r="F360" s="109">
        <v>5.4227012462108455</v>
      </c>
      <c r="G360" s="100"/>
      <c r="H360" s="110"/>
    </row>
    <row r="361" spans="1:8" s="5" customFormat="1" ht="11.25" customHeight="1" x14ac:dyDescent="0.2">
      <c r="A361" s="10"/>
      <c r="B361" s="10"/>
      <c r="C361" s="11"/>
      <c r="D361" s="11" t="s">
        <v>2318</v>
      </c>
      <c r="E361" s="167" t="s">
        <v>609</v>
      </c>
      <c r="F361" s="168">
        <v>100</v>
      </c>
      <c r="G361" s="161">
        <v>14448</v>
      </c>
      <c r="H361" s="164">
        <v>61.842469545957918</v>
      </c>
    </row>
    <row r="362" spans="1:8" s="5" customFormat="1" ht="11.25" customHeight="1" x14ac:dyDescent="0.2">
      <c r="A362" s="10"/>
      <c r="B362" s="10"/>
      <c r="C362" s="11"/>
      <c r="D362" s="11"/>
      <c r="E362" s="94"/>
      <c r="F362" s="109"/>
      <c r="G362" s="100"/>
      <c r="H362" s="110"/>
    </row>
    <row r="363" spans="1:8" s="5" customFormat="1" ht="11.25" customHeight="1" x14ac:dyDescent="0.2">
      <c r="A363" s="10" t="s">
        <v>1926</v>
      </c>
      <c r="B363" s="10"/>
      <c r="C363" s="11" t="s">
        <v>431</v>
      </c>
      <c r="D363" s="11" t="s">
        <v>1071</v>
      </c>
      <c r="E363" s="94">
        <v>1725</v>
      </c>
      <c r="F363" s="109">
        <v>16.605698883326916</v>
      </c>
      <c r="G363" s="100"/>
      <c r="H363" s="110"/>
    </row>
    <row r="364" spans="1:8" s="5" customFormat="1" ht="11.25" customHeight="1" x14ac:dyDescent="0.2">
      <c r="A364" s="10"/>
      <c r="B364" s="10"/>
      <c r="C364" s="11" t="s">
        <v>878</v>
      </c>
      <c r="D364" s="11" t="s">
        <v>655</v>
      </c>
      <c r="E364" s="94">
        <v>1068</v>
      </c>
      <c r="F364" s="109">
        <v>10.281093569503273</v>
      </c>
      <c r="G364" s="100"/>
      <c r="H364" s="110"/>
    </row>
    <row r="365" spans="1:8" s="5" customFormat="1" ht="11.25" customHeight="1" x14ac:dyDescent="0.2">
      <c r="A365" s="10"/>
      <c r="B365" s="10"/>
      <c r="C365" s="12" t="s">
        <v>1929</v>
      </c>
      <c r="D365" s="11" t="s">
        <v>1736</v>
      </c>
      <c r="E365" s="94">
        <v>6414</v>
      </c>
      <c r="F365" s="109">
        <v>61.744320369657302</v>
      </c>
      <c r="G365" s="100"/>
      <c r="H365" s="110"/>
    </row>
    <row r="366" spans="1:8" s="5" customFormat="1" ht="11.25" customHeight="1" x14ac:dyDescent="0.2">
      <c r="A366" s="10"/>
      <c r="B366" s="10"/>
      <c r="C366" s="11" t="s">
        <v>435</v>
      </c>
      <c r="D366" s="11" t="s">
        <v>1072</v>
      </c>
      <c r="E366" s="94">
        <v>1181</v>
      </c>
      <c r="F366" s="109">
        <v>11.368887177512514</v>
      </c>
      <c r="G366" s="100"/>
      <c r="H366" s="110"/>
    </row>
    <row r="367" spans="1:8" s="5" customFormat="1" ht="11.25" customHeight="1" x14ac:dyDescent="0.2">
      <c r="A367" s="10"/>
      <c r="B367" s="10"/>
      <c r="C367" s="11"/>
      <c r="D367" s="11" t="s">
        <v>2318</v>
      </c>
      <c r="E367" s="167" t="s">
        <v>610</v>
      </c>
      <c r="F367" s="168">
        <v>100</v>
      </c>
      <c r="G367" s="161">
        <v>19153</v>
      </c>
      <c r="H367" s="164">
        <v>54.34657755965123</v>
      </c>
    </row>
    <row r="368" spans="1:8" s="5" customFormat="1" ht="11.25" customHeight="1" x14ac:dyDescent="0.2">
      <c r="A368" s="10"/>
      <c r="B368" s="10"/>
      <c r="C368" s="11"/>
      <c r="D368" s="11"/>
      <c r="E368" s="94"/>
      <c r="F368" s="109"/>
      <c r="G368" s="100"/>
      <c r="H368" s="110"/>
    </row>
    <row r="369" spans="1:8" s="5" customFormat="1" ht="11.25" customHeight="1" x14ac:dyDescent="0.2">
      <c r="A369" s="10" t="s">
        <v>1931</v>
      </c>
      <c r="B369" s="10"/>
      <c r="C369" s="11" t="s">
        <v>879</v>
      </c>
      <c r="D369" s="11" t="s">
        <v>1072</v>
      </c>
      <c r="E369" s="94">
        <v>4797</v>
      </c>
      <c r="F369" s="109">
        <v>36.03515625</v>
      </c>
      <c r="G369" s="100"/>
      <c r="H369" s="110"/>
    </row>
    <row r="370" spans="1:8" s="5" customFormat="1" ht="11.25" customHeight="1" x14ac:dyDescent="0.2">
      <c r="A370" s="10"/>
      <c r="B370" s="10"/>
      <c r="C370" s="12" t="s">
        <v>1933</v>
      </c>
      <c r="D370" s="11" t="s">
        <v>1736</v>
      </c>
      <c r="E370" s="94">
        <v>6857</v>
      </c>
      <c r="F370" s="109">
        <v>51.509915865384613</v>
      </c>
      <c r="G370" s="100"/>
      <c r="H370" s="110"/>
    </row>
    <row r="371" spans="1:8" s="5" customFormat="1" ht="11.25" customHeight="1" x14ac:dyDescent="0.2">
      <c r="A371" s="10"/>
      <c r="B371" s="10"/>
      <c r="C371" s="11" t="s">
        <v>880</v>
      </c>
      <c r="D371" s="11" t="s">
        <v>1071</v>
      </c>
      <c r="E371" s="94">
        <v>891</v>
      </c>
      <c r="F371" s="109">
        <v>6.6932091346153841</v>
      </c>
      <c r="G371" s="100"/>
      <c r="H371" s="110"/>
    </row>
    <row r="372" spans="1:8" s="5" customFormat="1" ht="11.25" customHeight="1" x14ac:dyDescent="0.2">
      <c r="A372" s="10"/>
      <c r="B372" s="10"/>
      <c r="C372" s="11" t="s">
        <v>881</v>
      </c>
      <c r="D372" s="11" t="s">
        <v>655</v>
      </c>
      <c r="E372" s="94">
        <v>767</v>
      </c>
      <c r="F372" s="109">
        <v>5.76171875</v>
      </c>
      <c r="G372" s="100"/>
      <c r="H372" s="110"/>
    </row>
    <row r="373" spans="1:8" s="5" customFormat="1" ht="11.25" customHeight="1" x14ac:dyDescent="0.2">
      <c r="A373" s="10"/>
      <c r="B373" s="10"/>
      <c r="C373" s="11"/>
      <c r="D373" s="11" t="s">
        <v>2318</v>
      </c>
      <c r="E373" s="167" t="s">
        <v>611</v>
      </c>
      <c r="F373" s="168">
        <v>100</v>
      </c>
      <c r="G373" s="161">
        <v>22244</v>
      </c>
      <c r="H373" s="164">
        <v>59.953245819097283</v>
      </c>
    </row>
    <row r="374" spans="1:8" s="5" customFormat="1" ht="11.25" customHeight="1" x14ac:dyDescent="0.2">
      <c r="A374" s="10"/>
      <c r="B374" s="10"/>
      <c r="C374" s="11"/>
      <c r="D374" s="11"/>
      <c r="E374" s="94"/>
      <c r="F374" s="109"/>
      <c r="G374" s="100"/>
      <c r="H374" s="110"/>
    </row>
    <row r="375" spans="1:8" s="5" customFormat="1" ht="11.25" customHeight="1" x14ac:dyDescent="0.2">
      <c r="A375" s="10" t="s">
        <v>2350</v>
      </c>
      <c r="B375" s="10"/>
      <c r="C375" s="11" t="s">
        <v>2319</v>
      </c>
      <c r="D375" s="30" t="s">
        <v>1071</v>
      </c>
      <c r="E375" s="94">
        <v>624</v>
      </c>
      <c r="F375" s="109">
        <v>11.144808723632464</v>
      </c>
      <c r="G375" s="100"/>
      <c r="H375" s="110"/>
    </row>
    <row r="376" spans="1:8" s="5" customFormat="1" ht="11.25" customHeight="1" x14ac:dyDescent="0.2">
      <c r="A376" s="10"/>
      <c r="B376" s="10"/>
      <c r="C376" s="12" t="s">
        <v>2352</v>
      </c>
      <c r="D376" s="30" t="s">
        <v>1736</v>
      </c>
      <c r="E376" s="94">
        <v>3389</v>
      </c>
      <c r="F376" s="109">
        <v>60.582767250625672</v>
      </c>
      <c r="G376" s="100"/>
      <c r="H376" s="110"/>
    </row>
    <row r="377" spans="1:8" s="5" customFormat="1" ht="11.25" customHeight="1" x14ac:dyDescent="0.2">
      <c r="A377" s="10"/>
      <c r="B377" s="10"/>
      <c r="C377" s="11" t="s">
        <v>2320</v>
      </c>
      <c r="D377" s="30" t="s">
        <v>1072</v>
      </c>
      <c r="E377" s="94">
        <v>1139</v>
      </c>
      <c r="F377" s="109">
        <v>20.36110117983554</v>
      </c>
      <c r="G377" s="100"/>
      <c r="H377" s="110"/>
    </row>
    <row r="378" spans="1:8" s="5" customFormat="1" ht="11.25" customHeight="1" x14ac:dyDescent="0.2">
      <c r="A378" s="10"/>
      <c r="B378" s="10"/>
      <c r="C378" s="11" t="s">
        <v>2321</v>
      </c>
      <c r="D378" s="30" t="s">
        <v>655</v>
      </c>
      <c r="E378" s="94">
        <v>442</v>
      </c>
      <c r="F378" s="109">
        <v>7.9013228459063276</v>
      </c>
      <c r="G378" s="100"/>
      <c r="H378" s="110"/>
    </row>
    <row r="379" spans="1:8" s="5" customFormat="1" ht="11.25" customHeight="1" x14ac:dyDescent="0.2">
      <c r="A379" s="10"/>
      <c r="B379" s="10"/>
      <c r="C379" s="11"/>
      <c r="D379" s="30" t="s">
        <v>2318</v>
      </c>
      <c r="E379" s="167" t="s">
        <v>787</v>
      </c>
      <c r="F379" s="168">
        <v>99.99</v>
      </c>
      <c r="G379" s="161">
        <v>13368</v>
      </c>
      <c r="H379" s="164">
        <v>42.078096947935371</v>
      </c>
    </row>
    <row r="380" spans="1:8" s="5" customFormat="1" ht="11.25" customHeight="1" x14ac:dyDescent="0.2">
      <c r="A380" s="10"/>
      <c r="B380" s="10"/>
      <c r="C380" s="11"/>
      <c r="D380" s="30"/>
      <c r="E380" s="94"/>
      <c r="F380" s="109"/>
      <c r="G380" s="100"/>
      <c r="H380" s="110"/>
    </row>
    <row r="381" spans="1:8" s="5" customFormat="1" ht="11.25" customHeight="1" x14ac:dyDescent="0.2">
      <c r="A381" s="10" t="s">
        <v>1935</v>
      </c>
      <c r="B381" s="10"/>
      <c r="C381" s="11" t="s">
        <v>882</v>
      </c>
      <c r="D381" s="11" t="s">
        <v>655</v>
      </c>
      <c r="E381" s="94">
        <v>674</v>
      </c>
      <c r="F381" s="109">
        <v>5.2175259328069359</v>
      </c>
      <c r="G381" s="100"/>
      <c r="H381" s="110"/>
    </row>
    <row r="382" spans="1:8" s="5" customFormat="1" ht="11.25" customHeight="1" x14ac:dyDescent="0.2">
      <c r="A382" s="10"/>
      <c r="B382" s="10"/>
      <c r="C382" s="12" t="s">
        <v>3178</v>
      </c>
      <c r="D382" s="11" t="s">
        <v>1072</v>
      </c>
      <c r="E382" s="94">
        <v>7578</v>
      </c>
      <c r="F382" s="109">
        <v>58.662331630283326</v>
      </c>
      <c r="G382" s="100"/>
      <c r="H382" s="110"/>
    </row>
    <row r="383" spans="1:8" s="5" customFormat="1" ht="11.25" customHeight="1" x14ac:dyDescent="0.2">
      <c r="A383" s="10"/>
      <c r="B383" s="10"/>
      <c r="C383" s="11" t="s">
        <v>883</v>
      </c>
      <c r="D383" s="11" t="s">
        <v>1736</v>
      </c>
      <c r="E383" s="94">
        <v>3813</v>
      </c>
      <c r="F383" s="109">
        <v>29.516953088713421</v>
      </c>
      <c r="G383" s="100"/>
      <c r="H383" s="110"/>
    </row>
    <row r="384" spans="1:8" s="5" customFormat="1" ht="11.25" customHeight="1" x14ac:dyDescent="0.2">
      <c r="A384" s="10"/>
      <c r="B384" s="10"/>
      <c r="C384" s="11" t="s">
        <v>884</v>
      </c>
      <c r="D384" s="11" t="s">
        <v>1071</v>
      </c>
      <c r="E384" s="94">
        <v>853</v>
      </c>
      <c r="F384" s="109">
        <v>6.6031893481963158</v>
      </c>
      <c r="G384" s="100"/>
      <c r="H384" s="110"/>
    </row>
    <row r="385" spans="1:8" s="5" customFormat="1" ht="11.25" customHeight="1" x14ac:dyDescent="0.2">
      <c r="A385" s="10"/>
      <c r="B385" s="10"/>
      <c r="C385" s="11"/>
      <c r="D385" s="11" t="s">
        <v>2318</v>
      </c>
      <c r="E385" s="167" t="s">
        <v>612</v>
      </c>
      <c r="F385" s="168">
        <v>100</v>
      </c>
      <c r="G385" s="161">
        <v>23413</v>
      </c>
      <c r="H385" s="164">
        <v>55.285525135608424</v>
      </c>
    </row>
    <row r="386" spans="1:8" s="5" customFormat="1" ht="11.25" customHeight="1" x14ac:dyDescent="0.2">
      <c r="A386" s="10"/>
      <c r="B386" s="10"/>
      <c r="C386" s="11"/>
      <c r="D386" s="11"/>
      <c r="E386" s="94"/>
      <c r="F386" s="109"/>
      <c r="G386" s="100"/>
      <c r="H386" s="110"/>
    </row>
    <row r="387" spans="1:8" s="5" customFormat="1" ht="11.25" customHeight="1" x14ac:dyDescent="0.2">
      <c r="A387" s="10" t="s">
        <v>3180</v>
      </c>
      <c r="B387" s="10"/>
      <c r="C387" s="12" t="s">
        <v>3181</v>
      </c>
      <c r="D387" s="11" t="s">
        <v>1736</v>
      </c>
      <c r="E387" s="94">
        <v>5679</v>
      </c>
      <c r="F387" s="109">
        <v>45.312375329131093</v>
      </c>
      <c r="G387" s="100"/>
      <c r="H387" s="110"/>
    </row>
    <row r="388" spans="1:8" s="5" customFormat="1" ht="11.25" customHeight="1" x14ac:dyDescent="0.2">
      <c r="A388" s="10"/>
      <c r="B388" s="10"/>
      <c r="C388" s="11" t="s">
        <v>885</v>
      </c>
      <c r="D388" s="11" t="s">
        <v>1314</v>
      </c>
      <c r="E388" s="94">
        <v>240</v>
      </c>
      <c r="F388" s="109">
        <v>1.9149445463975105</v>
      </c>
      <c r="G388" s="100"/>
      <c r="H388" s="110"/>
    </row>
    <row r="389" spans="1:8" s="5" customFormat="1" ht="11.25" customHeight="1" x14ac:dyDescent="0.2">
      <c r="A389" s="10"/>
      <c r="B389" s="10"/>
      <c r="C389" s="11" t="s">
        <v>886</v>
      </c>
      <c r="D389" s="11" t="s">
        <v>655</v>
      </c>
      <c r="E389" s="94">
        <v>806</v>
      </c>
      <c r="F389" s="109">
        <v>6.4610221016516398</v>
      </c>
      <c r="G389" s="100"/>
      <c r="H389" s="110"/>
    </row>
    <row r="390" spans="1:8" s="5" customFormat="1" ht="11.25" customHeight="1" x14ac:dyDescent="0.2">
      <c r="A390" s="10"/>
      <c r="B390" s="10"/>
      <c r="C390" s="11" t="s">
        <v>3183</v>
      </c>
      <c r="D390" s="11" t="s">
        <v>1071</v>
      </c>
      <c r="E390" s="94">
        <v>1043</v>
      </c>
      <c r="F390" s="109">
        <v>8.322029841219182</v>
      </c>
      <c r="G390" s="100"/>
      <c r="H390" s="110"/>
    </row>
    <row r="391" spans="1:8" s="5" customFormat="1" ht="11.25" customHeight="1" x14ac:dyDescent="0.2">
      <c r="A391" s="10"/>
      <c r="B391" s="10"/>
      <c r="C391" s="11" t="s">
        <v>3184</v>
      </c>
      <c r="D391" s="11" t="s">
        <v>1072</v>
      </c>
      <c r="E391" s="94">
        <v>4765</v>
      </c>
      <c r="F391" s="109">
        <v>38.019628181600574</v>
      </c>
      <c r="G391" s="100"/>
      <c r="H391" s="110"/>
    </row>
    <row r="392" spans="1:8" s="5" customFormat="1" ht="11.25" customHeight="1" x14ac:dyDescent="0.2">
      <c r="A392" s="10"/>
      <c r="B392" s="10"/>
      <c r="C392" s="11"/>
      <c r="D392" s="11" t="s">
        <v>2318</v>
      </c>
      <c r="E392" s="167" t="s">
        <v>613</v>
      </c>
      <c r="F392" s="168">
        <v>100.03</v>
      </c>
      <c r="G392" s="161">
        <v>22549</v>
      </c>
      <c r="H392" s="164">
        <v>55.678744068473101</v>
      </c>
    </row>
    <row r="393" spans="1:8" s="5" customFormat="1" ht="11.25" customHeight="1" x14ac:dyDescent="0.2">
      <c r="A393" s="10"/>
      <c r="B393" s="10"/>
      <c r="C393" s="11"/>
      <c r="D393" s="11"/>
      <c r="E393" s="94"/>
      <c r="F393" s="109"/>
      <c r="G393" s="100"/>
      <c r="H393" s="110"/>
    </row>
    <row r="394" spans="1:8" s="5" customFormat="1" ht="11.25" customHeight="1" x14ac:dyDescent="0.2">
      <c r="A394" s="10" t="s">
        <v>3185</v>
      </c>
      <c r="B394" s="10"/>
      <c r="C394" s="11" t="s">
        <v>887</v>
      </c>
      <c r="D394" s="11" t="s">
        <v>1072</v>
      </c>
      <c r="E394" s="94">
        <v>2075</v>
      </c>
      <c r="F394" s="109">
        <v>21.460337159995863</v>
      </c>
      <c r="G394" s="100"/>
      <c r="H394" s="110"/>
    </row>
    <row r="395" spans="1:8" s="5" customFormat="1" ht="11.25" customHeight="1" x14ac:dyDescent="0.2">
      <c r="A395" s="10"/>
      <c r="B395" s="10"/>
      <c r="C395" s="11" t="s">
        <v>888</v>
      </c>
      <c r="D395" s="11" t="s">
        <v>655</v>
      </c>
      <c r="E395" s="94">
        <v>868</v>
      </c>
      <c r="F395" s="109">
        <v>8.9771434481332104</v>
      </c>
      <c r="G395" s="100"/>
      <c r="H395" s="110"/>
    </row>
    <row r="396" spans="1:8" s="5" customFormat="1" ht="11.25" customHeight="1" x14ac:dyDescent="0.2">
      <c r="A396" s="10"/>
      <c r="B396" s="10"/>
      <c r="C396" s="12" t="s">
        <v>3189</v>
      </c>
      <c r="D396" s="11" t="s">
        <v>1736</v>
      </c>
      <c r="E396" s="94">
        <v>6726</v>
      </c>
      <c r="F396" s="109">
        <v>69.532519391870935</v>
      </c>
      <c r="G396" s="100"/>
      <c r="H396" s="110"/>
    </row>
    <row r="397" spans="1:8" s="5" customFormat="1" ht="11.25" customHeight="1" x14ac:dyDescent="0.2">
      <c r="A397" s="10"/>
      <c r="B397" s="10"/>
      <c r="C397" s="11"/>
      <c r="D397" s="11" t="s">
        <v>2318</v>
      </c>
      <c r="E397" s="167" t="s">
        <v>614</v>
      </c>
      <c r="F397" s="168">
        <v>99.97</v>
      </c>
      <c r="G397" s="161">
        <v>17896</v>
      </c>
      <c r="H397" s="164">
        <v>54.319400983459992</v>
      </c>
    </row>
    <row r="398" spans="1:8" s="5" customFormat="1" ht="11.25" customHeight="1" x14ac:dyDescent="0.2">
      <c r="A398" s="10"/>
      <c r="B398" s="10"/>
      <c r="C398" s="11"/>
      <c r="D398" s="11"/>
      <c r="E398" s="94"/>
      <c r="F398" s="109"/>
      <c r="G398" s="100"/>
      <c r="H398" s="110"/>
    </row>
    <row r="399" spans="1:8" s="5" customFormat="1" ht="11.25" customHeight="1" x14ac:dyDescent="0.2">
      <c r="A399" s="10" t="s">
        <v>3190</v>
      </c>
      <c r="B399" s="10"/>
      <c r="C399" s="11" t="s">
        <v>889</v>
      </c>
      <c r="D399" s="11" t="s">
        <v>1071</v>
      </c>
      <c r="E399" s="94">
        <v>703</v>
      </c>
      <c r="F399" s="109">
        <v>6.7131398013750951</v>
      </c>
      <c r="G399" s="100"/>
      <c r="H399" s="110"/>
    </row>
    <row r="400" spans="1:8" s="5" customFormat="1" ht="11.25" customHeight="1" x14ac:dyDescent="0.2">
      <c r="A400" s="10"/>
      <c r="B400" s="10"/>
      <c r="C400" s="12" t="s">
        <v>3191</v>
      </c>
      <c r="D400" s="11" t="s">
        <v>1736</v>
      </c>
      <c r="E400" s="94">
        <v>5337</v>
      </c>
      <c r="F400" s="109">
        <v>50.934476699770826</v>
      </c>
      <c r="G400" s="100"/>
      <c r="H400" s="110"/>
    </row>
    <row r="401" spans="1:8" s="5" customFormat="1" ht="11.25" customHeight="1" x14ac:dyDescent="0.2">
      <c r="A401" s="10"/>
      <c r="B401" s="10"/>
      <c r="C401" s="11" t="s">
        <v>890</v>
      </c>
      <c r="D401" s="11" t="s">
        <v>655</v>
      </c>
      <c r="E401" s="94">
        <v>508</v>
      </c>
      <c r="F401" s="109">
        <v>4.8510313216195566</v>
      </c>
      <c r="G401" s="100"/>
      <c r="H401" s="110"/>
    </row>
    <row r="402" spans="1:8" s="5" customFormat="1" ht="11.25" customHeight="1" x14ac:dyDescent="0.2">
      <c r="A402" s="10"/>
      <c r="B402" s="10"/>
      <c r="C402" s="11" t="s">
        <v>3193</v>
      </c>
      <c r="D402" s="11" t="s">
        <v>1072</v>
      </c>
      <c r="E402" s="94">
        <v>3924</v>
      </c>
      <c r="F402" s="109">
        <v>37.471352177234529</v>
      </c>
      <c r="G402" s="100"/>
      <c r="H402" s="110"/>
    </row>
    <row r="403" spans="1:8" s="5" customFormat="1" ht="11.25" customHeight="1" x14ac:dyDescent="0.2">
      <c r="A403" s="10"/>
      <c r="B403" s="10"/>
      <c r="C403" s="11"/>
      <c r="D403" s="11" t="s">
        <v>2318</v>
      </c>
      <c r="E403" s="167" t="s">
        <v>615</v>
      </c>
      <c r="F403" s="168">
        <v>99.97</v>
      </c>
      <c r="G403" s="161">
        <v>27516</v>
      </c>
      <c r="H403" s="164">
        <v>38.148713475795901</v>
      </c>
    </row>
    <row r="404" spans="1:8" s="5" customFormat="1" ht="11.25" customHeight="1" x14ac:dyDescent="0.2">
      <c r="A404" s="10"/>
      <c r="B404" s="10"/>
      <c r="C404" s="11"/>
      <c r="D404" s="11"/>
      <c r="E404" s="94"/>
      <c r="F404" s="109"/>
      <c r="G404" s="100"/>
      <c r="H404" s="110"/>
    </row>
    <row r="405" spans="1:8" s="5" customFormat="1" ht="11.25" customHeight="1" x14ac:dyDescent="0.2">
      <c r="A405" s="10" t="s">
        <v>3195</v>
      </c>
      <c r="B405" s="10"/>
      <c r="C405" s="11" t="s">
        <v>891</v>
      </c>
      <c r="D405" s="11" t="s">
        <v>1072</v>
      </c>
      <c r="E405" s="94">
        <v>3232</v>
      </c>
      <c r="F405" s="109">
        <v>28.533592301580295</v>
      </c>
      <c r="G405" s="100"/>
      <c r="H405" s="110"/>
    </row>
    <row r="406" spans="1:8" s="5" customFormat="1" ht="11.25" customHeight="1" x14ac:dyDescent="0.2">
      <c r="A406" s="10"/>
      <c r="B406" s="10"/>
      <c r="C406" s="11" t="s">
        <v>892</v>
      </c>
      <c r="D406" s="11" t="s">
        <v>1071</v>
      </c>
      <c r="E406" s="94">
        <v>1177</v>
      </c>
      <c r="F406" s="109">
        <v>10.391100909331685</v>
      </c>
      <c r="G406" s="100"/>
      <c r="H406" s="110"/>
    </row>
    <row r="407" spans="1:8" s="5" customFormat="1" ht="11.25" customHeight="1" x14ac:dyDescent="0.2">
      <c r="A407" s="10"/>
      <c r="B407" s="10"/>
      <c r="C407" s="11" t="s">
        <v>893</v>
      </c>
      <c r="D407" s="11" t="s">
        <v>655</v>
      </c>
      <c r="E407" s="94">
        <v>1065</v>
      </c>
      <c r="F407" s="109">
        <v>9.4023130572967233</v>
      </c>
      <c r="G407" s="100"/>
      <c r="H407" s="110"/>
    </row>
    <row r="408" spans="1:8" s="5" customFormat="1" ht="11.25" customHeight="1" x14ac:dyDescent="0.2">
      <c r="A408" s="10"/>
      <c r="B408" s="10"/>
      <c r="C408" s="12" t="s">
        <v>409</v>
      </c>
      <c r="D408" s="11" t="s">
        <v>1736</v>
      </c>
      <c r="E408" s="94">
        <v>5853</v>
      </c>
      <c r="F408" s="109">
        <v>51.672993731791294</v>
      </c>
      <c r="G408" s="100"/>
      <c r="H408" s="110"/>
    </row>
    <row r="409" spans="1:8" s="5" customFormat="1" ht="11.25" customHeight="1" x14ac:dyDescent="0.2">
      <c r="A409" s="10"/>
      <c r="B409" s="10"/>
      <c r="C409" s="11"/>
      <c r="D409" s="11" t="s">
        <v>2318</v>
      </c>
      <c r="E409" s="167" t="s">
        <v>616</v>
      </c>
      <c r="F409" s="168">
        <v>100</v>
      </c>
      <c r="G409" s="161">
        <v>23868</v>
      </c>
      <c r="H409" s="164">
        <v>47.6328138092844</v>
      </c>
    </row>
    <row r="410" spans="1:8" s="5" customFormat="1" ht="11.25" customHeight="1" x14ac:dyDescent="0.2">
      <c r="A410" s="10"/>
      <c r="B410" s="10"/>
      <c r="C410" s="11"/>
      <c r="D410" s="11"/>
      <c r="E410" s="94"/>
      <c r="F410" s="109"/>
      <c r="G410" s="100"/>
      <c r="H410" s="110"/>
    </row>
    <row r="411" spans="1:8" s="5" customFormat="1" ht="11.25" customHeight="1" x14ac:dyDescent="0.2">
      <c r="A411" s="10" t="s">
        <v>410</v>
      </c>
      <c r="B411" s="10"/>
      <c r="C411" s="11" t="s">
        <v>894</v>
      </c>
      <c r="D411" s="11" t="s">
        <v>1072</v>
      </c>
      <c r="E411" s="94">
        <v>1562</v>
      </c>
      <c r="F411" s="109">
        <v>12.814833046189186</v>
      </c>
      <c r="G411" s="100"/>
      <c r="H411" s="110"/>
    </row>
    <row r="412" spans="1:8" s="5" customFormat="1" ht="11.25" customHeight="1" x14ac:dyDescent="0.2">
      <c r="A412" s="10"/>
      <c r="B412" s="10"/>
      <c r="C412" s="11" t="s">
        <v>895</v>
      </c>
      <c r="D412" s="11" t="s">
        <v>1071</v>
      </c>
      <c r="E412" s="94">
        <v>3422</v>
      </c>
      <c r="F412" s="109">
        <v>28.074493395684634</v>
      </c>
      <c r="G412" s="100"/>
      <c r="H412" s="110"/>
    </row>
    <row r="413" spans="1:8" s="5" customFormat="1" ht="11.25" customHeight="1" x14ac:dyDescent="0.2">
      <c r="A413" s="10"/>
      <c r="B413" s="10"/>
      <c r="C413" s="12" t="s">
        <v>412</v>
      </c>
      <c r="D413" s="11" t="s">
        <v>1736</v>
      </c>
      <c r="E413" s="94">
        <v>6958</v>
      </c>
      <c r="F413" s="109">
        <v>57.084256296660932</v>
      </c>
      <c r="G413" s="100"/>
      <c r="H413" s="110"/>
    </row>
    <row r="414" spans="1:8" s="5" customFormat="1" ht="11.25" customHeight="1" x14ac:dyDescent="0.2">
      <c r="A414" s="10"/>
      <c r="B414" s="10"/>
      <c r="C414" s="11" t="s">
        <v>896</v>
      </c>
      <c r="D414" s="11" t="s">
        <v>655</v>
      </c>
      <c r="E414" s="94">
        <v>247</v>
      </c>
      <c r="F414" s="109">
        <v>2.0264172614652556</v>
      </c>
      <c r="G414" s="100"/>
      <c r="H414" s="110"/>
    </row>
    <row r="415" spans="1:8" s="5" customFormat="1" ht="11.25" customHeight="1" x14ac:dyDescent="0.2">
      <c r="A415" s="10"/>
      <c r="B415" s="10"/>
      <c r="C415" s="11"/>
      <c r="D415" s="11" t="s">
        <v>2318</v>
      </c>
      <c r="E415" s="167" t="s">
        <v>617</v>
      </c>
      <c r="F415" s="168">
        <v>100</v>
      </c>
      <c r="G415" s="161">
        <v>19830</v>
      </c>
      <c r="H415" s="164">
        <v>61.613716591023703</v>
      </c>
    </row>
    <row r="416" spans="1:8" s="5" customFormat="1" ht="11.25" customHeight="1" x14ac:dyDescent="0.2">
      <c r="A416" s="10"/>
      <c r="B416" s="10"/>
      <c r="C416" s="11"/>
      <c r="D416" s="11"/>
      <c r="E416" s="94"/>
      <c r="F416" s="109"/>
      <c r="G416" s="100"/>
      <c r="H416" s="110"/>
    </row>
    <row r="417" spans="1:8" s="5" customFormat="1" ht="11.25" customHeight="1" x14ac:dyDescent="0.2">
      <c r="A417" s="10" t="s">
        <v>415</v>
      </c>
      <c r="B417" s="10"/>
      <c r="C417" s="12" t="s">
        <v>418</v>
      </c>
      <c r="D417" s="11" t="s">
        <v>1736</v>
      </c>
      <c r="E417" s="94">
        <v>3745</v>
      </c>
      <c r="F417" s="109">
        <v>61.717205009887934</v>
      </c>
      <c r="G417" s="100"/>
      <c r="H417" s="110"/>
    </row>
    <row r="418" spans="1:8" s="5" customFormat="1" ht="11.25" customHeight="1" x14ac:dyDescent="0.2">
      <c r="A418" s="10"/>
      <c r="B418" s="10"/>
      <c r="C418" s="11" t="s">
        <v>897</v>
      </c>
      <c r="D418" s="11" t="s">
        <v>1072</v>
      </c>
      <c r="E418" s="94">
        <v>2323</v>
      </c>
      <c r="F418" s="109">
        <v>38.282794990112059</v>
      </c>
      <c r="G418" s="100"/>
      <c r="H418" s="110"/>
    </row>
    <row r="419" spans="1:8" s="5" customFormat="1" ht="11.25" customHeight="1" x14ac:dyDescent="0.2">
      <c r="A419" s="10"/>
      <c r="B419" s="10"/>
      <c r="C419" s="11"/>
      <c r="D419" s="11" t="s">
        <v>2318</v>
      </c>
      <c r="E419" s="167" t="s">
        <v>618</v>
      </c>
      <c r="F419" s="168">
        <v>100</v>
      </c>
      <c r="G419" s="161">
        <v>16113</v>
      </c>
      <c r="H419" s="164">
        <v>37.944516849748652</v>
      </c>
    </row>
    <row r="420" spans="1:8" s="5" customFormat="1" ht="11.25" customHeight="1" x14ac:dyDescent="0.2">
      <c r="A420" s="10"/>
      <c r="B420" s="10"/>
      <c r="C420" s="11"/>
      <c r="D420" s="11"/>
      <c r="E420" s="94"/>
      <c r="F420" s="109"/>
      <c r="G420" s="100"/>
      <c r="H420" s="110"/>
    </row>
    <row r="421" spans="1:8" s="5" customFormat="1" ht="11.25" customHeight="1" x14ac:dyDescent="0.2">
      <c r="A421" s="10" t="s">
        <v>420</v>
      </c>
      <c r="B421" s="10"/>
      <c r="C421" s="11" t="s">
        <v>898</v>
      </c>
      <c r="D421" s="11" t="s">
        <v>1071</v>
      </c>
      <c r="E421" s="94">
        <v>1439</v>
      </c>
      <c r="F421" s="109">
        <v>16.024498886414253</v>
      </c>
      <c r="G421" s="100"/>
      <c r="H421" s="110"/>
    </row>
    <row r="422" spans="1:8" s="5" customFormat="1" ht="11.25" customHeight="1" x14ac:dyDescent="0.2">
      <c r="A422" s="10"/>
      <c r="B422" s="10"/>
      <c r="C422" s="12" t="s">
        <v>899</v>
      </c>
      <c r="D422" s="11" t="s">
        <v>1736</v>
      </c>
      <c r="E422" s="94">
        <v>5750</v>
      </c>
      <c r="F422" s="109">
        <v>64.031180400890861</v>
      </c>
      <c r="G422" s="100"/>
      <c r="H422" s="110"/>
    </row>
    <row r="423" spans="1:8" s="5" customFormat="1" ht="11.25" customHeight="1" x14ac:dyDescent="0.2">
      <c r="A423" s="10"/>
      <c r="B423" s="10"/>
      <c r="C423" s="11" t="s">
        <v>900</v>
      </c>
      <c r="D423" s="11" t="s">
        <v>1072</v>
      </c>
      <c r="E423" s="94">
        <v>912</v>
      </c>
      <c r="F423" s="109">
        <v>10.155902004454342</v>
      </c>
      <c r="G423" s="100"/>
      <c r="H423" s="110"/>
    </row>
    <row r="424" spans="1:8" s="5" customFormat="1" ht="11.25" customHeight="1" x14ac:dyDescent="0.2">
      <c r="A424" s="10"/>
      <c r="B424" s="10"/>
      <c r="C424" s="11" t="s">
        <v>901</v>
      </c>
      <c r="D424" s="11" t="s">
        <v>655</v>
      </c>
      <c r="E424" s="94">
        <v>879</v>
      </c>
      <c r="F424" s="109">
        <v>9.7884187082405347</v>
      </c>
      <c r="G424" s="100"/>
      <c r="H424" s="110"/>
    </row>
    <row r="425" spans="1:8" s="5" customFormat="1" ht="11.25" customHeight="1" x14ac:dyDescent="0.2">
      <c r="A425" s="10"/>
      <c r="B425" s="10"/>
      <c r="C425" s="11"/>
      <c r="D425" s="11" t="s">
        <v>2318</v>
      </c>
      <c r="E425" s="167" t="s">
        <v>619</v>
      </c>
      <c r="F425" s="168">
        <v>100</v>
      </c>
      <c r="G425" s="161">
        <v>14884</v>
      </c>
      <c r="H425" s="164">
        <v>60.561676968556839</v>
      </c>
    </row>
    <row r="426" spans="1:8" s="5" customFormat="1" ht="11.25" customHeight="1" x14ac:dyDescent="0.2">
      <c r="A426" s="10"/>
      <c r="B426" s="10"/>
      <c r="C426" s="11"/>
      <c r="D426" s="11"/>
      <c r="E426" s="94"/>
      <c r="F426" s="109"/>
      <c r="G426" s="100"/>
      <c r="H426" s="110"/>
    </row>
    <row r="427" spans="1:8" s="5" customFormat="1" ht="11.25" customHeight="1" x14ac:dyDescent="0.2">
      <c r="A427" s="10" t="s">
        <v>425</v>
      </c>
      <c r="B427" s="10"/>
      <c r="C427" s="11" t="s">
        <v>1029</v>
      </c>
      <c r="D427" s="11" t="s">
        <v>1071</v>
      </c>
      <c r="E427" s="94">
        <v>655</v>
      </c>
      <c r="F427" s="109">
        <v>7.746068679692125</v>
      </c>
      <c r="G427" s="100"/>
      <c r="H427" s="110"/>
    </row>
    <row r="428" spans="1:8" s="5" customFormat="1" ht="11.25" customHeight="1" x14ac:dyDescent="0.2">
      <c r="A428" s="10"/>
      <c r="B428" s="10"/>
      <c r="C428" s="12" t="s">
        <v>1030</v>
      </c>
      <c r="D428" s="11" t="s">
        <v>1736</v>
      </c>
      <c r="E428" s="94">
        <v>4683</v>
      </c>
      <c r="F428" s="109">
        <v>55.452930728241569</v>
      </c>
      <c r="G428" s="100"/>
      <c r="H428" s="110"/>
    </row>
    <row r="429" spans="1:8" s="5" customFormat="1" ht="11.25" customHeight="1" x14ac:dyDescent="0.2">
      <c r="A429" s="10"/>
      <c r="B429" s="10"/>
      <c r="C429" s="11" t="s">
        <v>1031</v>
      </c>
      <c r="D429" s="11" t="s">
        <v>655</v>
      </c>
      <c r="E429" s="94">
        <v>560</v>
      </c>
      <c r="F429" s="109">
        <v>6.631142687981054</v>
      </c>
      <c r="G429" s="100"/>
      <c r="H429" s="110"/>
    </row>
    <row r="430" spans="1:8" s="5" customFormat="1" ht="11.25" customHeight="1" x14ac:dyDescent="0.2">
      <c r="A430" s="10"/>
      <c r="B430" s="10"/>
      <c r="C430" s="11" t="s">
        <v>429</v>
      </c>
      <c r="D430" s="11" t="s">
        <v>1072</v>
      </c>
      <c r="E430" s="94">
        <v>2547</v>
      </c>
      <c r="F430" s="109">
        <v>30.159857904085257</v>
      </c>
      <c r="G430" s="100"/>
      <c r="H430" s="110"/>
    </row>
    <row r="431" spans="1:8" s="5" customFormat="1" ht="11.25" customHeight="1" x14ac:dyDescent="0.2">
      <c r="A431" s="10"/>
      <c r="B431" s="10"/>
      <c r="C431" s="11"/>
      <c r="D431" s="11" t="s">
        <v>2318</v>
      </c>
      <c r="E431" s="167" t="s">
        <v>620</v>
      </c>
      <c r="F431" s="168">
        <v>99.99</v>
      </c>
      <c r="G431" s="161">
        <v>19020</v>
      </c>
      <c r="H431" s="164">
        <v>44.468980021030497</v>
      </c>
    </row>
    <row r="432" spans="1:8" s="5" customFormat="1" ht="11.25" customHeight="1" x14ac:dyDescent="0.2">
      <c r="A432" s="10"/>
      <c r="B432" s="10"/>
      <c r="C432" s="11"/>
      <c r="D432" s="11"/>
      <c r="E432" s="94"/>
      <c r="F432" s="109"/>
      <c r="G432" s="100"/>
      <c r="H432" s="110"/>
    </row>
    <row r="433" spans="1:8" s="5" customFormat="1" ht="11.25" customHeight="1" x14ac:dyDescent="0.2">
      <c r="A433" s="10" t="s">
        <v>430</v>
      </c>
      <c r="B433" s="10"/>
      <c r="C433" s="12" t="s">
        <v>433</v>
      </c>
      <c r="D433" s="11" t="s">
        <v>1736</v>
      </c>
      <c r="E433" s="94">
        <v>5751</v>
      </c>
      <c r="F433" s="109">
        <v>47.027557445416633</v>
      </c>
      <c r="G433" s="100"/>
      <c r="H433" s="110"/>
    </row>
    <row r="434" spans="1:8" s="5" customFormat="1" ht="11.25" customHeight="1" x14ac:dyDescent="0.2">
      <c r="A434" s="10"/>
      <c r="B434" s="10"/>
      <c r="C434" s="11" t="s">
        <v>1032</v>
      </c>
      <c r="D434" s="11" t="s">
        <v>1072</v>
      </c>
      <c r="E434" s="94">
        <v>4966</v>
      </c>
      <c r="F434" s="109">
        <v>40.608389892877589</v>
      </c>
      <c r="G434" s="100"/>
      <c r="H434" s="110"/>
    </row>
    <row r="435" spans="1:8" s="5" customFormat="1" ht="11.25" customHeight="1" x14ac:dyDescent="0.2">
      <c r="A435" s="10"/>
      <c r="B435" s="10"/>
      <c r="C435" s="11" t="s">
        <v>1033</v>
      </c>
      <c r="D435" s="11" t="s">
        <v>655</v>
      </c>
      <c r="E435" s="94">
        <v>367</v>
      </c>
      <c r="F435" s="109">
        <v>3.0010630468558346</v>
      </c>
      <c r="G435" s="100"/>
      <c r="H435" s="110"/>
    </row>
    <row r="436" spans="1:8" s="5" customFormat="1" ht="11.25" customHeight="1" x14ac:dyDescent="0.2">
      <c r="A436" s="10"/>
      <c r="B436" s="10"/>
      <c r="C436" s="11" t="s">
        <v>1034</v>
      </c>
      <c r="D436" s="11" t="s">
        <v>1071</v>
      </c>
      <c r="E436" s="94">
        <v>1145</v>
      </c>
      <c r="F436" s="109">
        <v>9.3629896148499459</v>
      </c>
      <c r="G436" s="100"/>
      <c r="H436" s="110"/>
    </row>
    <row r="437" spans="1:8" s="5" customFormat="1" ht="11.25" customHeight="1" x14ac:dyDescent="0.2">
      <c r="A437" s="10"/>
      <c r="B437" s="10"/>
      <c r="C437" s="11"/>
      <c r="D437" s="11" t="s">
        <v>2318</v>
      </c>
      <c r="E437" s="167" t="s">
        <v>621</v>
      </c>
      <c r="F437" s="168">
        <v>100</v>
      </c>
      <c r="G437" s="161">
        <v>21537</v>
      </c>
      <c r="H437" s="164">
        <v>56.920648186841248</v>
      </c>
    </row>
    <row r="438" spans="1:8" s="5" customFormat="1" ht="11.25" customHeight="1" x14ac:dyDescent="0.2">
      <c r="A438"/>
      <c r="B438" s="10"/>
      <c r="C438" s="11"/>
      <c r="D438" s="11"/>
      <c r="E438" s="94"/>
      <c r="F438" s="109"/>
      <c r="G438" s="100"/>
      <c r="H438" s="110"/>
    </row>
    <row r="439" spans="1:8" s="5" customFormat="1" ht="11.25" customHeight="1" x14ac:dyDescent="0.2">
      <c r="A439" s="1" t="s">
        <v>436</v>
      </c>
      <c r="B439" s="10"/>
      <c r="C439" s="11" t="s">
        <v>1035</v>
      </c>
      <c r="D439" s="11" t="s">
        <v>1072</v>
      </c>
      <c r="E439" s="94">
        <v>4980</v>
      </c>
      <c r="F439" s="109">
        <v>41.242485089463223</v>
      </c>
      <c r="G439" s="100"/>
      <c r="H439" s="110"/>
    </row>
    <row r="440" spans="1:8" s="5" customFormat="1" ht="11.25" customHeight="1" x14ac:dyDescent="0.2">
      <c r="A440" s="10"/>
      <c r="B440" s="10"/>
      <c r="C440" s="11" t="s">
        <v>1036</v>
      </c>
      <c r="D440" s="11" t="s">
        <v>1071</v>
      </c>
      <c r="E440" s="94">
        <v>987</v>
      </c>
      <c r="F440" s="109">
        <v>8.1759443339960249</v>
      </c>
      <c r="G440" s="100"/>
      <c r="H440" s="110"/>
    </row>
    <row r="441" spans="1:8" s="5" customFormat="1" ht="11.25" customHeight="1" x14ac:dyDescent="0.2">
      <c r="A441" s="10"/>
      <c r="B441" s="10"/>
      <c r="C441" s="12" t="s">
        <v>437</v>
      </c>
      <c r="D441" s="11" t="s">
        <v>1736</v>
      </c>
      <c r="E441" s="94">
        <v>5297</v>
      </c>
      <c r="F441" s="109">
        <v>43.878396288933068</v>
      </c>
      <c r="G441" s="100"/>
      <c r="H441" s="110"/>
    </row>
    <row r="442" spans="1:8" s="5" customFormat="1" ht="11.25" customHeight="1" x14ac:dyDescent="0.2">
      <c r="A442" s="10"/>
      <c r="B442" s="10"/>
      <c r="C442" s="11" t="s">
        <v>1037</v>
      </c>
      <c r="D442" s="11" t="s">
        <v>488</v>
      </c>
      <c r="E442" s="94">
        <v>71</v>
      </c>
      <c r="F442" s="109">
        <v>0.58813783962889332</v>
      </c>
      <c r="G442" s="100"/>
      <c r="H442" s="110"/>
    </row>
    <row r="443" spans="1:8" s="5" customFormat="1" ht="11.25" customHeight="1" x14ac:dyDescent="0.2">
      <c r="A443" s="10"/>
      <c r="B443" s="10"/>
      <c r="C443" s="11" t="s">
        <v>1038</v>
      </c>
      <c r="D443" s="11" t="s">
        <v>655</v>
      </c>
      <c r="E443" s="94">
        <v>737</v>
      </c>
      <c r="F443" s="109">
        <v>6.1050364479787937</v>
      </c>
      <c r="G443" s="100"/>
      <c r="H443" s="110"/>
    </row>
    <row r="444" spans="1:8" s="5" customFormat="1" ht="11.25" customHeight="1" x14ac:dyDescent="0.2">
      <c r="A444" s="10"/>
      <c r="B444" s="10"/>
      <c r="C444" s="11"/>
      <c r="D444" s="11" t="s">
        <v>2318</v>
      </c>
      <c r="E444" s="167" t="s">
        <v>622</v>
      </c>
      <c r="F444" s="168">
        <v>99.99</v>
      </c>
      <c r="G444" s="161">
        <v>20239</v>
      </c>
      <c r="H444" s="164">
        <v>59.805326350116111</v>
      </c>
    </row>
    <row r="445" spans="1:8" s="5" customFormat="1" ht="11.25" customHeight="1" x14ac:dyDescent="0.2">
      <c r="A445" s="10"/>
      <c r="B445" s="10"/>
      <c r="C445" s="11"/>
      <c r="D445" s="11"/>
      <c r="E445" s="94"/>
      <c r="F445" s="109"/>
      <c r="G445" s="100"/>
      <c r="H445" s="110"/>
    </row>
    <row r="446" spans="1:8" s="5" customFormat="1" ht="11.25" customHeight="1" x14ac:dyDescent="0.2">
      <c r="A446" s="10" t="s">
        <v>441</v>
      </c>
      <c r="B446" s="10"/>
      <c r="C446" s="11" t="s">
        <v>1039</v>
      </c>
      <c r="D446" s="11" t="s">
        <v>1071</v>
      </c>
      <c r="E446" s="94">
        <v>3264</v>
      </c>
      <c r="F446" s="109">
        <v>31.890571568148513</v>
      </c>
      <c r="G446" s="100"/>
      <c r="H446" s="110"/>
    </row>
    <row r="447" spans="1:8" s="5" customFormat="1" ht="11.25" customHeight="1" x14ac:dyDescent="0.2">
      <c r="A447" s="10"/>
      <c r="B447" s="10"/>
      <c r="C447" s="12" t="s">
        <v>444</v>
      </c>
      <c r="D447" s="11" t="s">
        <v>1736</v>
      </c>
      <c r="E447" s="94">
        <v>5610</v>
      </c>
      <c r="F447" s="109">
        <v>54.811919882755255</v>
      </c>
      <c r="G447" s="100"/>
      <c r="H447" s="110"/>
    </row>
    <row r="448" spans="1:8" s="5" customFormat="1" ht="11.25" customHeight="1" x14ac:dyDescent="0.2">
      <c r="A448" s="10"/>
      <c r="B448" s="10"/>
      <c r="C448" s="11" t="s">
        <v>1040</v>
      </c>
      <c r="D448" s="11" t="s">
        <v>655</v>
      </c>
      <c r="E448" s="94">
        <v>481</v>
      </c>
      <c r="F448" s="109">
        <v>4.699560332193454</v>
      </c>
      <c r="G448" s="100"/>
      <c r="H448" s="110"/>
    </row>
    <row r="449" spans="1:8" s="5" customFormat="1" ht="11.25" customHeight="1" x14ac:dyDescent="0.2">
      <c r="A449" s="10"/>
      <c r="B449" s="10"/>
      <c r="C449" s="11" t="s">
        <v>1041</v>
      </c>
      <c r="D449" s="11" t="s">
        <v>1072</v>
      </c>
      <c r="E449" s="94">
        <v>880</v>
      </c>
      <c r="F449" s="109">
        <v>8.5979482169027843</v>
      </c>
      <c r="G449" s="100"/>
      <c r="H449" s="110"/>
    </row>
    <row r="450" spans="1:8" s="5" customFormat="1" ht="11.25" customHeight="1" x14ac:dyDescent="0.2">
      <c r="A450" s="10"/>
      <c r="B450" s="10"/>
      <c r="C450" s="11"/>
      <c r="D450" s="11" t="s">
        <v>2318</v>
      </c>
      <c r="E450" s="167" t="s">
        <v>623</v>
      </c>
      <c r="F450" s="168">
        <v>100</v>
      </c>
      <c r="G450" s="161">
        <v>18464</v>
      </c>
      <c r="H450" s="164">
        <v>55.551343154246098</v>
      </c>
    </row>
    <row r="451" spans="1:8" s="5" customFormat="1" ht="11.25" customHeight="1" x14ac:dyDescent="0.2">
      <c r="A451" s="10"/>
      <c r="B451" s="10"/>
      <c r="C451" s="11"/>
      <c r="D451" s="11"/>
      <c r="E451" s="94"/>
      <c r="F451" s="109"/>
      <c r="G451" s="100"/>
      <c r="H451" s="110"/>
    </row>
    <row r="452" spans="1:8" s="5" customFormat="1" ht="11.25" customHeight="1" x14ac:dyDescent="0.2">
      <c r="A452" s="10" t="s">
        <v>446</v>
      </c>
      <c r="B452" s="10"/>
      <c r="C452" s="11" t="s">
        <v>902</v>
      </c>
      <c r="D452" s="11" t="s">
        <v>1072</v>
      </c>
      <c r="E452" s="94">
        <v>6680</v>
      </c>
      <c r="F452" s="109">
        <v>43.503744708563985</v>
      </c>
      <c r="G452" s="100"/>
      <c r="H452" s="110"/>
    </row>
    <row r="453" spans="1:8" s="5" customFormat="1" ht="11.25" customHeight="1" x14ac:dyDescent="0.2">
      <c r="A453" s="10"/>
      <c r="B453" s="10"/>
      <c r="C453" s="12" t="s">
        <v>904</v>
      </c>
      <c r="D453" s="11" t="s">
        <v>1736</v>
      </c>
      <c r="E453" s="94">
        <v>6696</v>
      </c>
      <c r="F453" s="109">
        <v>43.607945294692286</v>
      </c>
      <c r="G453" s="100"/>
      <c r="H453" s="110"/>
    </row>
    <row r="454" spans="1:8" s="5" customFormat="1" ht="11.25" customHeight="1" x14ac:dyDescent="0.2">
      <c r="A454" s="10"/>
      <c r="B454" s="10"/>
      <c r="C454" s="11" t="s">
        <v>1329</v>
      </c>
      <c r="D454" s="11" t="s">
        <v>1071</v>
      </c>
      <c r="E454" s="94">
        <v>781</v>
      </c>
      <c r="F454" s="109">
        <v>5.0862911103874957</v>
      </c>
      <c r="G454" s="100"/>
      <c r="H454" s="110"/>
    </row>
    <row r="455" spans="1:8" s="5" customFormat="1" ht="11.25" customHeight="1" x14ac:dyDescent="0.2">
      <c r="A455" s="10"/>
      <c r="B455" s="10"/>
      <c r="C455" s="11" t="s">
        <v>1042</v>
      </c>
      <c r="D455" s="11" t="s">
        <v>655</v>
      </c>
      <c r="E455" s="94">
        <v>1198</v>
      </c>
      <c r="F455" s="109">
        <v>7.802018886356235</v>
      </c>
      <c r="G455" s="100"/>
      <c r="H455" s="110"/>
    </row>
    <row r="456" spans="1:8" s="5" customFormat="1" ht="11.25" customHeight="1" x14ac:dyDescent="0.2">
      <c r="A456" s="10"/>
      <c r="B456" s="10"/>
      <c r="C456" s="11"/>
      <c r="D456" s="11" t="s">
        <v>2318</v>
      </c>
      <c r="E456" s="167" t="s">
        <v>624</v>
      </c>
      <c r="F456" s="168">
        <v>100</v>
      </c>
      <c r="G456" s="161">
        <v>25227</v>
      </c>
      <c r="H456" s="164">
        <v>60.974352875886943</v>
      </c>
    </row>
    <row r="457" spans="1:8" s="5" customFormat="1" ht="11.25" customHeight="1" x14ac:dyDescent="0.2">
      <c r="A457" s="10"/>
      <c r="B457" s="10"/>
      <c r="C457" s="11"/>
      <c r="D457" s="11"/>
      <c r="E457" s="94"/>
      <c r="F457" s="109"/>
      <c r="G457" s="100"/>
      <c r="H457" s="110"/>
    </row>
    <row r="458" spans="1:8" s="5" customFormat="1" ht="11.25" customHeight="1" x14ac:dyDescent="0.2">
      <c r="A458" s="10" t="s">
        <v>905</v>
      </c>
      <c r="B458" s="10"/>
      <c r="C458" s="11" t="s">
        <v>1043</v>
      </c>
      <c r="D458" s="11" t="s">
        <v>1072</v>
      </c>
      <c r="E458" s="94">
        <v>8305</v>
      </c>
      <c r="F458" s="109">
        <v>46.192780466099336</v>
      </c>
      <c r="G458" s="100"/>
      <c r="H458" s="110"/>
    </row>
    <row r="459" spans="1:8" s="5" customFormat="1" ht="11.25" customHeight="1" x14ac:dyDescent="0.2">
      <c r="A459" s="10"/>
      <c r="B459" s="10"/>
      <c r="C459" s="11" t="s">
        <v>1044</v>
      </c>
      <c r="D459" s="11" t="s">
        <v>655</v>
      </c>
      <c r="E459" s="94">
        <v>1064</v>
      </c>
      <c r="F459" s="109">
        <v>5.9180154624840089</v>
      </c>
      <c r="G459" s="100"/>
      <c r="H459" s="110"/>
    </row>
    <row r="460" spans="1:8" s="5" customFormat="1" ht="11.25" customHeight="1" x14ac:dyDescent="0.2">
      <c r="A460" s="10"/>
      <c r="B460" s="10"/>
      <c r="C460" s="12" t="s">
        <v>906</v>
      </c>
      <c r="D460" s="11" t="s">
        <v>1736</v>
      </c>
      <c r="E460" s="94">
        <v>8610</v>
      </c>
      <c r="F460" s="109">
        <v>47.88920407141665</v>
      </c>
      <c r="G460" s="100"/>
      <c r="H460" s="110"/>
    </row>
    <row r="461" spans="1:8" s="5" customFormat="1" ht="11.25" customHeight="1" x14ac:dyDescent="0.2">
      <c r="A461" s="10"/>
      <c r="B461" s="10"/>
      <c r="C461" s="11"/>
      <c r="D461" s="11" t="s">
        <v>2318</v>
      </c>
      <c r="E461" s="167" t="s">
        <v>625</v>
      </c>
      <c r="F461" s="168">
        <v>100</v>
      </c>
      <c r="G461" s="161">
        <v>27815</v>
      </c>
      <c r="H461" s="164">
        <v>64.752831206183714</v>
      </c>
    </row>
    <row r="462" spans="1:8" s="5" customFormat="1" ht="11.25" customHeight="1" x14ac:dyDescent="0.2">
      <c r="A462" s="10"/>
      <c r="B462" s="10"/>
      <c r="C462" s="11"/>
      <c r="D462" s="11"/>
      <c r="E462" s="94"/>
      <c r="F462" s="109"/>
      <c r="G462" s="100"/>
      <c r="H462" s="110"/>
    </row>
    <row r="463" spans="1:8" s="29" customFormat="1" ht="11.25" customHeight="1" x14ac:dyDescent="0.2">
      <c r="A463" s="51" t="s">
        <v>1290</v>
      </c>
      <c r="B463" s="51"/>
      <c r="C463" s="52" t="s">
        <v>1045</v>
      </c>
      <c r="D463" s="52" t="s">
        <v>1071</v>
      </c>
      <c r="E463" s="95">
        <v>491</v>
      </c>
      <c r="F463" s="111">
        <v>3.8875692794932699</v>
      </c>
      <c r="G463" s="101"/>
      <c r="H463" s="112"/>
    </row>
    <row r="464" spans="1:8" s="5" customFormat="1" ht="11.25" customHeight="1" x14ac:dyDescent="0.2">
      <c r="A464" s="119" t="s">
        <v>446</v>
      </c>
      <c r="B464" s="10"/>
      <c r="C464" s="11" t="s">
        <v>1046</v>
      </c>
      <c r="D464" s="11" t="s">
        <v>655</v>
      </c>
      <c r="E464" s="94">
        <v>476</v>
      </c>
      <c r="F464" s="109">
        <v>3.7688044338875697</v>
      </c>
      <c r="G464" s="100"/>
      <c r="H464" s="110"/>
    </row>
    <row r="465" spans="1:8" s="5" customFormat="1" ht="11.25" customHeight="1" x14ac:dyDescent="0.2">
      <c r="A465" s="10"/>
      <c r="B465" s="10"/>
      <c r="C465" s="12" t="s">
        <v>2544</v>
      </c>
      <c r="D465" s="11" t="s">
        <v>1072</v>
      </c>
      <c r="E465" s="94">
        <v>6275</v>
      </c>
      <c r="F465" s="109">
        <v>49.683293745051465</v>
      </c>
      <c r="G465" s="100"/>
      <c r="H465" s="110"/>
    </row>
    <row r="466" spans="1:8" s="5" customFormat="1" ht="11.25" customHeight="1" x14ac:dyDescent="0.2">
      <c r="A466" s="10"/>
      <c r="B466" s="10"/>
      <c r="C466" s="11" t="s">
        <v>1047</v>
      </c>
      <c r="D466" s="11" t="s">
        <v>1736</v>
      </c>
      <c r="E466" s="94">
        <v>5388</v>
      </c>
      <c r="F466" s="109">
        <v>42.630332541567697</v>
      </c>
      <c r="G466" s="100"/>
      <c r="H466" s="110"/>
    </row>
    <row r="467" spans="1:8" s="5" customFormat="1" ht="11.25" customHeight="1" x14ac:dyDescent="0.2">
      <c r="A467" s="10"/>
      <c r="B467" s="10"/>
      <c r="C467" s="11"/>
      <c r="D467" s="11" t="s">
        <v>2318</v>
      </c>
      <c r="E467" s="167" t="s">
        <v>626</v>
      </c>
      <c r="F467" s="168">
        <v>99.97</v>
      </c>
      <c r="G467" s="161">
        <v>21110</v>
      </c>
      <c r="H467" s="164">
        <v>60.033159639981051</v>
      </c>
    </row>
    <row r="468" spans="1:8" s="5" customFormat="1" ht="11.25" customHeight="1" x14ac:dyDescent="0.2">
      <c r="A468" s="10"/>
      <c r="B468" s="10"/>
      <c r="C468" s="11"/>
      <c r="D468" s="11"/>
      <c r="E468" s="94"/>
      <c r="F468" s="109"/>
      <c r="G468" s="100"/>
      <c r="H468" s="110"/>
    </row>
    <row r="469" spans="1:8" s="5" customFormat="1" ht="11.25" customHeight="1" x14ac:dyDescent="0.2">
      <c r="A469" s="10" t="s">
        <v>2545</v>
      </c>
      <c r="B469" s="10"/>
      <c r="C469" s="11" t="s">
        <v>1048</v>
      </c>
      <c r="D469" s="11" t="s">
        <v>1071</v>
      </c>
      <c r="E469" s="94">
        <v>1742</v>
      </c>
      <c r="F469" s="109">
        <v>13.598750975800156</v>
      </c>
      <c r="G469" s="100"/>
      <c r="H469" s="110"/>
    </row>
    <row r="470" spans="1:8" s="5" customFormat="1" ht="11.25" customHeight="1" x14ac:dyDescent="0.2">
      <c r="A470" s="10"/>
      <c r="B470" s="10"/>
      <c r="C470" s="11" t="s">
        <v>1049</v>
      </c>
      <c r="D470" s="11" t="s">
        <v>1072</v>
      </c>
      <c r="E470" s="94">
        <v>3906</v>
      </c>
      <c r="F470" s="109">
        <v>30.491803278688522</v>
      </c>
      <c r="G470" s="100"/>
      <c r="H470" s="110"/>
    </row>
    <row r="471" spans="1:8" s="5" customFormat="1" ht="11.25" customHeight="1" x14ac:dyDescent="0.2">
      <c r="A471" s="10"/>
      <c r="B471" s="10"/>
      <c r="C471" s="12" t="s">
        <v>2548</v>
      </c>
      <c r="D471" s="11" t="s">
        <v>1736</v>
      </c>
      <c r="E471" s="94">
        <v>6267</v>
      </c>
      <c r="F471" s="109">
        <v>48.922716627634664</v>
      </c>
      <c r="G471" s="100"/>
      <c r="H471" s="110"/>
    </row>
    <row r="472" spans="1:8" s="5" customFormat="1" ht="11.25" customHeight="1" x14ac:dyDescent="0.2">
      <c r="A472" s="10"/>
      <c r="B472" s="10"/>
      <c r="C472" s="11" t="s">
        <v>1050</v>
      </c>
      <c r="D472" s="11" t="s">
        <v>655</v>
      </c>
      <c r="E472" s="94">
        <v>895</v>
      </c>
      <c r="F472" s="109">
        <v>6.9867291178766582</v>
      </c>
      <c r="G472" s="100"/>
      <c r="H472" s="110"/>
    </row>
    <row r="473" spans="1:8" s="5" customFormat="1" ht="11.25" customHeight="1" x14ac:dyDescent="0.2">
      <c r="A473" s="10"/>
      <c r="B473" s="10"/>
      <c r="C473" s="11"/>
      <c r="D473" s="11" t="s">
        <v>2318</v>
      </c>
      <c r="E473" s="167" t="s">
        <v>627</v>
      </c>
      <c r="F473" s="168">
        <v>100</v>
      </c>
      <c r="G473" s="161">
        <v>21383</v>
      </c>
      <c r="H473" s="164">
        <v>60.000935322452413</v>
      </c>
    </row>
    <row r="474" spans="1:8" s="5" customFormat="1" ht="11.25" customHeight="1" x14ac:dyDescent="0.2">
      <c r="A474" s="10"/>
      <c r="B474" s="10"/>
      <c r="C474" s="11"/>
      <c r="D474" s="11"/>
      <c r="E474" s="94"/>
      <c r="F474" s="109"/>
      <c r="G474" s="100"/>
      <c r="H474" s="110"/>
    </row>
    <row r="475" spans="1:8" s="5" customFormat="1" ht="11.25" customHeight="1" x14ac:dyDescent="0.2">
      <c r="A475" s="10" t="s">
        <v>2549</v>
      </c>
      <c r="B475" s="10"/>
      <c r="C475" s="11" t="s">
        <v>1051</v>
      </c>
      <c r="D475" s="11" t="s">
        <v>1071</v>
      </c>
      <c r="E475" s="94">
        <v>862</v>
      </c>
      <c r="F475" s="109">
        <v>8.6468050957969709</v>
      </c>
      <c r="G475" s="100"/>
      <c r="H475" s="110"/>
    </row>
    <row r="476" spans="1:8" s="5" customFormat="1" ht="11.25" customHeight="1" x14ac:dyDescent="0.2">
      <c r="A476" s="10"/>
      <c r="B476" s="10"/>
      <c r="C476" s="11" t="s">
        <v>1052</v>
      </c>
      <c r="D476" s="11" t="s">
        <v>655</v>
      </c>
      <c r="E476" s="94">
        <v>600</v>
      </c>
      <c r="F476" s="109">
        <v>6.0186578393018362</v>
      </c>
      <c r="G476" s="100"/>
      <c r="H476" s="110"/>
    </row>
    <row r="477" spans="1:8" s="5" customFormat="1" ht="11.25" customHeight="1" x14ac:dyDescent="0.2">
      <c r="A477" s="10"/>
      <c r="B477" s="10"/>
      <c r="C477" s="11" t="s">
        <v>1053</v>
      </c>
      <c r="D477" s="11" t="s">
        <v>1072</v>
      </c>
      <c r="E477" s="94">
        <v>1272</v>
      </c>
      <c r="F477" s="109">
        <v>12.759554619319891</v>
      </c>
      <c r="G477" s="100"/>
      <c r="H477" s="110"/>
    </row>
    <row r="478" spans="1:8" s="5" customFormat="1" ht="11.25" customHeight="1" x14ac:dyDescent="0.2">
      <c r="A478" s="10"/>
      <c r="B478" s="10"/>
      <c r="C478" s="12" t="s">
        <v>2553</v>
      </c>
      <c r="D478" s="11" t="s">
        <v>1736</v>
      </c>
      <c r="E478" s="94">
        <v>7235</v>
      </c>
      <c r="F478" s="109">
        <v>72.574982445581298</v>
      </c>
      <c r="G478" s="100"/>
      <c r="H478" s="110"/>
    </row>
    <row r="479" spans="1:8" s="5" customFormat="1" ht="11.25" customHeight="1" x14ac:dyDescent="0.2">
      <c r="A479" s="10"/>
      <c r="B479" s="10"/>
      <c r="C479" s="11"/>
      <c r="D479" s="11" t="s">
        <v>2318</v>
      </c>
      <c r="E479" s="167" t="s">
        <v>628</v>
      </c>
      <c r="F479" s="168">
        <v>100</v>
      </c>
      <c r="G479" s="161">
        <v>21271</v>
      </c>
      <c r="H479" s="164">
        <v>46.979455596821964</v>
      </c>
    </row>
    <row r="480" spans="1:8" s="5" customFormat="1" ht="11.25" customHeight="1" x14ac:dyDescent="0.2">
      <c r="A480" s="10"/>
      <c r="B480" s="10"/>
      <c r="C480" s="11"/>
      <c r="D480" s="11"/>
      <c r="E480" s="94"/>
      <c r="F480" s="109"/>
      <c r="G480" s="100"/>
      <c r="H480" s="110"/>
    </row>
    <row r="481" spans="1:8" s="5" customFormat="1" ht="11.25" customHeight="1" x14ac:dyDescent="0.2">
      <c r="A481" s="10" t="s">
        <v>2555</v>
      </c>
      <c r="B481" s="10"/>
      <c r="C481" s="11" t="s">
        <v>2556</v>
      </c>
      <c r="D481" s="11" t="s">
        <v>1072</v>
      </c>
      <c r="E481" s="94">
        <v>3639</v>
      </c>
      <c r="F481" s="109">
        <v>29.771741798249202</v>
      </c>
      <c r="G481" s="100"/>
      <c r="H481" s="110"/>
    </row>
    <row r="482" spans="1:8" s="5" customFormat="1" ht="11.25" customHeight="1" x14ac:dyDescent="0.2">
      <c r="A482" s="10"/>
      <c r="B482" s="10"/>
      <c r="C482" s="11" t="s">
        <v>1054</v>
      </c>
      <c r="D482" s="11" t="s">
        <v>1071</v>
      </c>
      <c r="E482" s="94">
        <v>810</v>
      </c>
      <c r="F482" s="109">
        <v>6.6268510185715463</v>
      </c>
      <c r="G482" s="100"/>
      <c r="H482" s="110"/>
    </row>
    <row r="483" spans="1:8" s="5" customFormat="1" ht="11.25" customHeight="1" x14ac:dyDescent="0.2">
      <c r="A483" s="10"/>
      <c r="B483" s="10"/>
      <c r="C483" s="11" t="s">
        <v>2557</v>
      </c>
      <c r="D483" s="11" t="s">
        <v>655</v>
      </c>
      <c r="E483" s="94">
        <v>1684</v>
      </c>
      <c r="F483" s="109">
        <v>13.77730508058578</v>
      </c>
      <c r="G483" s="100"/>
      <c r="H483" s="110"/>
    </row>
    <row r="484" spans="1:8" s="5" customFormat="1" ht="11.25" customHeight="1" x14ac:dyDescent="0.2">
      <c r="A484" s="10"/>
      <c r="B484" s="10"/>
      <c r="C484" s="12" t="s">
        <v>2558</v>
      </c>
      <c r="D484" s="11" t="s">
        <v>1736</v>
      </c>
      <c r="E484" s="94">
        <v>6090</v>
      </c>
      <c r="F484" s="109">
        <v>49.824102102593471</v>
      </c>
      <c r="G484" s="100"/>
      <c r="H484" s="110"/>
    </row>
    <row r="485" spans="1:8" s="5" customFormat="1" ht="11.25" customHeight="1" x14ac:dyDescent="0.2">
      <c r="A485" s="10"/>
      <c r="B485" s="10"/>
      <c r="C485" s="11"/>
      <c r="D485" s="11" t="s">
        <v>2318</v>
      </c>
      <c r="E485" s="167" t="s">
        <v>629</v>
      </c>
      <c r="F485" s="168">
        <v>100</v>
      </c>
      <c r="G485" s="161">
        <v>19033</v>
      </c>
      <c r="H485" s="164">
        <v>64.372405821467979</v>
      </c>
    </row>
    <row r="486" spans="1:8" s="5" customFormat="1" ht="11.25" customHeight="1" x14ac:dyDescent="0.2">
      <c r="A486" s="10"/>
      <c r="B486" s="10"/>
      <c r="C486" s="11"/>
      <c r="D486" s="11"/>
      <c r="E486" s="94"/>
      <c r="F486" s="109"/>
      <c r="G486" s="100"/>
      <c r="H486" s="110"/>
    </row>
    <row r="487" spans="1:8" s="5" customFormat="1" ht="11.25" customHeight="1" x14ac:dyDescent="0.2">
      <c r="A487" s="10" t="s">
        <v>2559</v>
      </c>
      <c r="B487" s="10"/>
      <c r="C487" s="11" t="s">
        <v>1055</v>
      </c>
      <c r="D487" s="11" t="s">
        <v>1072</v>
      </c>
      <c r="E487" s="94">
        <v>2787</v>
      </c>
      <c r="F487" s="109">
        <v>27.512339585389935</v>
      </c>
      <c r="G487" s="100"/>
      <c r="H487" s="110"/>
    </row>
    <row r="488" spans="1:8" s="5" customFormat="1" ht="11.25" customHeight="1" x14ac:dyDescent="0.2">
      <c r="A488" s="10"/>
      <c r="B488" s="10"/>
      <c r="C488" s="11" t="s">
        <v>1056</v>
      </c>
      <c r="D488" s="11" t="s">
        <v>655</v>
      </c>
      <c r="E488" s="94">
        <v>602</v>
      </c>
      <c r="F488" s="109">
        <v>5.9427443237907207</v>
      </c>
      <c r="G488" s="100"/>
      <c r="H488" s="110"/>
    </row>
    <row r="489" spans="1:8" s="5" customFormat="1" ht="11.25" customHeight="1" x14ac:dyDescent="0.2">
      <c r="A489" s="10"/>
      <c r="B489" s="10"/>
      <c r="C489" s="11" t="s">
        <v>1532</v>
      </c>
      <c r="D489" s="11" t="s">
        <v>1071</v>
      </c>
      <c r="E489" s="94">
        <v>1125</v>
      </c>
      <c r="F489" s="109">
        <v>11.105626850937808</v>
      </c>
      <c r="G489" s="100"/>
      <c r="H489" s="110"/>
    </row>
    <row r="490" spans="1:8" s="5" customFormat="1" ht="11.25" customHeight="1" x14ac:dyDescent="0.2">
      <c r="A490" s="10"/>
      <c r="B490" s="10"/>
      <c r="C490" s="12" t="s">
        <v>1057</v>
      </c>
      <c r="D490" s="11" t="s">
        <v>1736</v>
      </c>
      <c r="E490" s="94">
        <v>5616</v>
      </c>
      <c r="F490" s="109">
        <v>55.469289239881533</v>
      </c>
      <c r="G490" s="100"/>
      <c r="H490" s="110"/>
    </row>
    <row r="491" spans="1:8" s="5" customFormat="1" ht="11.25" customHeight="1" x14ac:dyDescent="0.2">
      <c r="A491" s="10"/>
      <c r="B491" s="10"/>
      <c r="C491" s="11"/>
      <c r="D491" s="11" t="s">
        <v>2318</v>
      </c>
      <c r="E491" s="167" t="s">
        <v>630</v>
      </c>
      <c r="F491" s="168">
        <v>100.03</v>
      </c>
      <c r="G491" s="161">
        <v>19002</v>
      </c>
      <c r="H491" s="164">
        <v>53.415429954741604</v>
      </c>
    </row>
    <row r="492" spans="1:8" s="5" customFormat="1" ht="11.25" customHeight="1" x14ac:dyDescent="0.2">
      <c r="A492" s="10"/>
      <c r="B492" s="10"/>
      <c r="C492" s="11"/>
      <c r="D492" s="11"/>
      <c r="E492" s="94"/>
      <c r="F492" s="109"/>
      <c r="G492" s="100"/>
      <c r="H492" s="110"/>
    </row>
    <row r="493" spans="1:8" s="5" customFormat="1" ht="11.25" customHeight="1" x14ac:dyDescent="0.2">
      <c r="A493" s="10" t="s">
        <v>2564</v>
      </c>
      <c r="B493" s="10"/>
      <c r="C493" s="11" t="s">
        <v>1058</v>
      </c>
      <c r="D493" s="11" t="s">
        <v>1071</v>
      </c>
      <c r="E493" s="94">
        <v>3348</v>
      </c>
      <c r="F493" s="109">
        <v>28.334461746784022</v>
      </c>
      <c r="G493" s="100"/>
      <c r="H493" s="110"/>
    </row>
    <row r="494" spans="1:8" s="5" customFormat="1" ht="11.25" customHeight="1" x14ac:dyDescent="0.2">
      <c r="A494" s="10"/>
      <c r="B494" s="10"/>
      <c r="C494" s="12" t="s">
        <v>1059</v>
      </c>
      <c r="D494" s="11" t="s">
        <v>1736</v>
      </c>
      <c r="E494" s="94">
        <v>6232</v>
      </c>
      <c r="F494" s="109">
        <v>52.742044685172651</v>
      </c>
      <c r="G494" s="100"/>
      <c r="H494" s="110"/>
    </row>
    <row r="495" spans="1:8" s="5" customFormat="1" ht="11.25" customHeight="1" x14ac:dyDescent="0.2">
      <c r="A495" s="10"/>
      <c r="B495" s="10"/>
      <c r="C495" s="11" t="s">
        <v>1060</v>
      </c>
      <c r="D495" s="11" t="s">
        <v>655</v>
      </c>
      <c r="E495" s="94">
        <v>668</v>
      </c>
      <c r="F495" s="109">
        <v>5.6533513879485442</v>
      </c>
      <c r="G495" s="100"/>
      <c r="H495" s="110"/>
    </row>
    <row r="496" spans="1:8" s="5" customFormat="1" ht="11.25" customHeight="1" x14ac:dyDescent="0.2">
      <c r="A496" s="10"/>
      <c r="B496" s="10"/>
      <c r="C496" s="11" t="s">
        <v>1533</v>
      </c>
      <c r="D496" s="11" t="s">
        <v>1072</v>
      </c>
      <c r="E496" s="94">
        <v>1568</v>
      </c>
      <c r="F496" s="109">
        <v>13.270142180094787</v>
      </c>
      <c r="G496" s="100"/>
      <c r="H496" s="110"/>
    </row>
    <row r="497" spans="1:8" s="5" customFormat="1" ht="11.25" customHeight="1" x14ac:dyDescent="0.2">
      <c r="A497" s="10"/>
      <c r="B497" s="10"/>
      <c r="C497" s="11"/>
      <c r="D497" s="11" t="s">
        <v>2318</v>
      </c>
      <c r="E497" s="167" t="s">
        <v>631</v>
      </c>
      <c r="F497" s="168">
        <v>100</v>
      </c>
      <c r="G497" s="161">
        <v>19756</v>
      </c>
      <c r="H497" s="164">
        <v>59.956468920834176</v>
      </c>
    </row>
    <row r="498" spans="1:8" s="5" customFormat="1" ht="11.25" customHeight="1" x14ac:dyDescent="0.2">
      <c r="A498" s="10"/>
      <c r="B498" s="10"/>
      <c r="C498" s="11"/>
      <c r="D498" s="11"/>
      <c r="E498" s="94"/>
      <c r="F498" s="109"/>
      <c r="G498" s="100"/>
      <c r="H498" s="110"/>
    </row>
    <row r="499" spans="1:8" s="5" customFormat="1" ht="11.25" customHeight="1" x14ac:dyDescent="0.2">
      <c r="A499" s="10" t="s">
        <v>1534</v>
      </c>
      <c r="B499" s="10"/>
      <c r="C499" s="11" t="s">
        <v>1061</v>
      </c>
      <c r="D499" s="11" t="s">
        <v>1071</v>
      </c>
      <c r="E499" s="94">
        <v>275</v>
      </c>
      <c r="F499" s="109">
        <v>2.5705739390540288</v>
      </c>
      <c r="G499" s="100"/>
      <c r="H499" s="110"/>
    </row>
    <row r="500" spans="1:8" s="5" customFormat="1" ht="11.25" customHeight="1" x14ac:dyDescent="0.2">
      <c r="A500" s="10"/>
      <c r="B500" s="10"/>
      <c r="C500" s="12" t="s">
        <v>1062</v>
      </c>
      <c r="D500" s="11" t="s">
        <v>1736</v>
      </c>
      <c r="E500" s="94">
        <v>4498</v>
      </c>
      <c r="F500" s="109">
        <v>42.045242101327354</v>
      </c>
      <c r="G500" s="100"/>
      <c r="H500" s="110"/>
    </row>
    <row r="501" spans="1:8" s="5" customFormat="1" ht="11.25" customHeight="1" x14ac:dyDescent="0.2">
      <c r="A501" s="10"/>
      <c r="B501" s="10"/>
      <c r="C501" s="11" t="s">
        <v>1063</v>
      </c>
      <c r="D501" s="11" t="s">
        <v>655</v>
      </c>
      <c r="E501" s="94">
        <v>2130</v>
      </c>
      <c r="F501" s="109">
        <v>19.910263600673023</v>
      </c>
      <c r="G501" s="100"/>
      <c r="H501" s="110"/>
    </row>
    <row r="502" spans="1:8" s="5" customFormat="1" ht="11.25" customHeight="1" x14ac:dyDescent="0.2">
      <c r="A502" s="10"/>
      <c r="B502" s="10"/>
      <c r="C502" s="11" t="s">
        <v>1064</v>
      </c>
      <c r="D502" s="11" t="s">
        <v>1072</v>
      </c>
      <c r="E502" s="94">
        <v>3795</v>
      </c>
      <c r="F502" s="109">
        <v>35.473920358945598</v>
      </c>
      <c r="G502" s="100"/>
      <c r="H502" s="110"/>
    </row>
    <row r="503" spans="1:8" s="5" customFormat="1" ht="11.25" customHeight="1" x14ac:dyDescent="0.2">
      <c r="A503" s="10"/>
      <c r="B503" s="10"/>
      <c r="C503" s="11"/>
      <c r="D503" s="11" t="s">
        <v>2318</v>
      </c>
      <c r="E503" s="167" t="s">
        <v>632</v>
      </c>
      <c r="F503" s="168">
        <v>100</v>
      </c>
      <c r="G503" s="161">
        <v>19176</v>
      </c>
      <c r="H503" s="164">
        <v>55.903212348769294</v>
      </c>
    </row>
    <row r="504" spans="1:8" s="5" customFormat="1" ht="11.25" customHeight="1" x14ac:dyDescent="0.2">
      <c r="A504" s="10"/>
      <c r="B504" s="10"/>
      <c r="C504" s="11"/>
      <c r="D504" s="11"/>
      <c r="E504" s="94"/>
      <c r="F504" s="109"/>
      <c r="G504" s="100"/>
      <c r="H504" s="110"/>
    </row>
    <row r="505" spans="1:8" ht="11.25" customHeight="1" x14ac:dyDescent="0.2">
      <c r="A505" s="6" t="s">
        <v>785</v>
      </c>
      <c r="C505" s="8" t="s">
        <v>1065</v>
      </c>
      <c r="D505" s="8" t="s">
        <v>483</v>
      </c>
      <c r="E505" s="93">
        <v>279</v>
      </c>
      <c r="F505" s="108">
        <v>2.2452744321396816</v>
      </c>
      <c r="G505" s="99"/>
      <c r="H505" s="82"/>
    </row>
    <row r="506" spans="1:8" ht="11.25" customHeight="1" x14ac:dyDescent="0.2">
      <c r="C506" s="8" t="s">
        <v>1066</v>
      </c>
      <c r="D506" s="8" t="s">
        <v>655</v>
      </c>
      <c r="E506" s="93">
        <v>2060</v>
      </c>
      <c r="F506" s="108">
        <v>16.651847061676499</v>
      </c>
      <c r="G506" s="99"/>
      <c r="H506" s="82"/>
    </row>
    <row r="507" spans="1:8" ht="11.25" customHeight="1" x14ac:dyDescent="0.2">
      <c r="C507" s="7" t="s">
        <v>1539</v>
      </c>
      <c r="D507" s="8" t="s">
        <v>1736</v>
      </c>
      <c r="E507" s="93">
        <v>7244</v>
      </c>
      <c r="F507" s="108">
        <v>58.556301026594461</v>
      </c>
      <c r="G507" s="99"/>
      <c r="H507" s="82"/>
    </row>
    <row r="508" spans="1:8" ht="11.25" customHeight="1" x14ac:dyDescent="0.2">
      <c r="C508" s="8" t="s">
        <v>1067</v>
      </c>
      <c r="D508" s="8" t="s">
        <v>1071</v>
      </c>
      <c r="E508" s="93">
        <v>1622</v>
      </c>
      <c r="F508" s="108">
        <v>13.111308705844312</v>
      </c>
      <c r="G508" s="99"/>
      <c r="H508" s="82"/>
    </row>
    <row r="509" spans="1:8" ht="11.25" customHeight="1" x14ac:dyDescent="0.2">
      <c r="C509" s="8" t="s">
        <v>1068</v>
      </c>
      <c r="D509" s="8" t="s">
        <v>1072</v>
      </c>
      <c r="E509" s="93">
        <v>1166</v>
      </c>
      <c r="F509" s="108">
        <v>9.4252687737450493</v>
      </c>
      <c r="G509" s="99"/>
      <c r="H509" s="82"/>
    </row>
    <row r="510" spans="1:8" s="5" customFormat="1" ht="11.25" customHeight="1" x14ac:dyDescent="0.2">
      <c r="A510" s="10"/>
      <c r="B510" s="10"/>
      <c r="C510" s="11"/>
      <c r="D510" s="11" t="s">
        <v>2318</v>
      </c>
      <c r="E510" s="167" t="s">
        <v>633</v>
      </c>
      <c r="F510" s="168">
        <v>99.99</v>
      </c>
      <c r="G510" s="161">
        <v>21968</v>
      </c>
      <c r="H510" s="164">
        <v>56.47760378732702</v>
      </c>
    </row>
    <row r="511" spans="1:8" s="5" customFormat="1" ht="11.25" customHeight="1" x14ac:dyDescent="0.2">
      <c r="A511" s="10"/>
      <c r="B511" s="10"/>
      <c r="C511" s="11"/>
      <c r="D511" s="11"/>
      <c r="E511" s="94"/>
      <c r="F511" s="109"/>
      <c r="G511" s="100"/>
      <c r="H511" s="110"/>
    </row>
    <row r="512" spans="1:8" s="5" customFormat="1" ht="11.25" customHeight="1" x14ac:dyDescent="0.2">
      <c r="A512" s="10" t="s">
        <v>1543</v>
      </c>
      <c r="B512" s="10"/>
      <c r="C512" s="11" t="s">
        <v>1069</v>
      </c>
      <c r="D512" s="11" t="s">
        <v>1072</v>
      </c>
      <c r="E512" s="94">
        <v>2954</v>
      </c>
      <c r="F512" s="109">
        <v>27.867924528301884</v>
      </c>
      <c r="G512" s="100"/>
      <c r="H512" s="110"/>
    </row>
    <row r="513" spans="1:8" s="5" customFormat="1" ht="11.25" customHeight="1" x14ac:dyDescent="0.2">
      <c r="A513" s="10"/>
      <c r="B513" s="10"/>
      <c r="C513" s="11" t="s">
        <v>1549</v>
      </c>
      <c r="D513" s="11" t="s">
        <v>1071</v>
      </c>
      <c r="E513" s="94">
        <v>1183</v>
      </c>
      <c r="F513" s="109">
        <v>11.160377358490566</v>
      </c>
      <c r="G513" s="100"/>
      <c r="H513" s="110"/>
    </row>
    <row r="514" spans="1:8" s="5" customFormat="1" ht="11.25" customHeight="1" x14ac:dyDescent="0.2">
      <c r="A514" s="10"/>
      <c r="B514" s="10"/>
      <c r="C514" s="11" t="s">
        <v>1550</v>
      </c>
      <c r="D514" s="11" t="s">
        <v>655</v>
      </c>
      <c r="E514" s="94">
        <v>704</v>
      </c>
      <c r="F514" s="109">
        <v>6.6415094339622645</v>
      </c>
      <c r="G514" s="100"/>
      <c r="H514" s="110"/>
    </row>
    <row r="515" spans="1:8" s="5" customFormat="1" ht="11.25" customHeight="1" x14ac:dyDescent="0.2">
      <c r="A515" s="10"/>
      <c r="B515" s="10"/>
      <c r="C515" s="12" t="s">
        <v>3266</v>
      </c>
      <c r="D515" s="11" t="s">
        <v>1736</v>
      </c>
      <c r="E515" s="94">
        <v>5759</v>
      </c>
      <c r="F515" s="109">
        <v>54.330188679245282</v>
      </c>
      <c r="G515" s="100"/>
      <c r="H515" s="110"/>
    </row>
    <row r="516" spans="1:8" s="5" customFormat="1" ht="11.25" customHeight="1" x14ac:dyDescent="0.2">
      <c r="A516" s="10"/>
      <c r="B516" s="10"/>
      <c r="C516" s="11"/>
      <c r="D516" s="11" t="s">
        <v>2318</v>
      </c>
      <c r="E516" s="167" t="s">
        <v>634</v>
      </c>
      <c r="F516" s="168">
        <v>100</v>
      </c>
      <c r="G516" s="161">
        <v>18970</v>
      </c>
      <c r="H516" s="164">
        <v>56.099103848181336</v>
      </c>
    </row>
    <row r="517" spans="1:8" s="5" customFormat="1" ht="11.25" customHeight="1" x14ac:dyDescent="0.2">
      <c r="A517" s="10"/>
      <c r="B517" s="10"/>
      <c r="C517" s="11"/>
      <c r="D517" s="11"/>
      <c r="E517" s="94"/>
      <c r="F517" s="109"/>
      <c r="G517" s="100"/>
      <c r="H517" s="110"/>
    </row>
    <row r="518" spans="1:8" s="5" customFormat="1" ht="11.25" customHeight="1" x14ac:dyDescent="0.2">
      <c r="A518" s="10"/>
      <c r="B518" s="10"/>
      <c r="C518" s="11"/>
      <c r="D518" s="11"/>
      <c r="E518" s="94"/>
      <c r="F518" s="109"/>
      <c r="G518" s="100"/>
      <c r="H518" s="110"/>
    </row>
    <row r="519" spans="1:8" s="26" customFormat="1" ht="11.25" customHeight="1" x14ac:dyDescent="0.2">
      <c r="A519" s="145" t="s">
        <v>1131</v>
      </c>
      <c r="B519" s="145"/>
      <c r="C519" s="145"/>
      <c r="D519" s="146"/>
      <c r="E519" s="147" t="s">
        <v>763</v>
      </c>
      <c r="F519" s="148"/>
      <c r="G519" s="147">
        <f>SUM(G5:G518)</f>
        <v>1764128</v>
      </c>
      <c r="H519" s="148">
        <f>(945713+2625)/G519*100</f>
        <v>53.756756879319411</v>
      </c>
    </row>
    <row r="520" spans="1:8" s="5" customFormat="1" ht="11.25" customHeight="1" x14ac:dyDescent="0.2">
      <c r="A520" s="10"/>
      <c r="B520" s="10"/>
      <c r="C520" s="11"/>
      <c r="D520" s="11"/>
      <c r="E520" s="94"/>
      <c r="F520" s="103"/>
      <c r="G520" s="97"/>
      <c r="H520" s="105"/>
    </row>
    <row r="521" spans="1:8" s="5" customFormat="1" ht="11.25" customHeight="1" x14ac:dyDescent="0.2">
      <c r="A521" s="6" t="s">
        <v>1289</v>
      </c>
      <c r="B521" s="6"/>
      <c r="C521" s="8"/>
      <c r="D521" s="8"/>
      <c r="E521" s="93"/>
      <c r="F521" s="138"/>
      <c r="G521" s="140"/>
      <c r="H521" s="25"/>
    </row>
    <row r="522" spans="1:8" ht="11.25" customHeight="1" x14ac:dyDescent="0.2">
      <c r="A522" s="273" t="s">
        <v>2934</v>
      </c>
      <c r="B522" s="273"/>
      <c r="C522" s="273"/>
      <c r="D522" s="273"/>
      <c r="E522" s="273"/>
      <c r="F522" s="273"/>
      <c r="G522" s="273"/>
      <c r="H522" s="273"/>
    </row>
    <row r="523" spans="1:8" s="26" customFormat="1" ht="11.25" customHeight="1" x14ac:dyDescent="0.2">
      <c r="A523" s="274" t="s">
        <v>1303</v>
      </c>
      <c r="B523" s="274"/>
      <c r="C523" s="274"/>
      <c r="D523" s="274"/>
      <c r="E523" s="274"/>
      <c r="F523" s="274"/>
      <c r="G523" s="274"/>
      <c r="H523" s="274"/>
    </row>
    <row r="524" spans="1:8" s="26" customFormat="1" ht="11.25" customHeight="1" x14ac:dyDescent="0.2">
      <c r="A524" s="273" t="s">
        <v>2932</v>
      </c>
      <c r="B524" s="273"/>
      <c r="C524" s="273"/>
      <c r="D524" s="273"/>
      <c r="E524" s="273"/>
      <c r="F524" s="273"/>
      <c r="G524" s="273"/>
      <c r="H524" s="273"/>
    </row>
  </sheetData>
  <mergeCells count="5">
    <mergeCell ref="A522:H522"/>
    <mergeCell ref="A523:H523"/>
    <mergeCell ref="A524:H524"/>
    <mergeCell ref="A1:H1"/>
    <mergeCell ref="F2:H2"/>
  </mergeCells>
  <phoneticPr fontId="0" type="noConversion"/>
  <pageMargins left="0.5" right="0.16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"/>
  <sheetViews>
    <sheetView zoomScaleNormal="100" workbookViewId="0">
      <pane ySplit="3" topLeftCell="A276" activePane="bottomLeft" state="frozen"/>
      <selection activeCell="G3" sqref="G3"/>
      <selection pane="bottomLeft" activeCell="J494" sqref="J494"/>
    </sheetView>
  </sheetViews>
  <sheetFormatPr defaultRowHeight="11.25" x14ac:dyDescent="0.2"/>
  <cols>
    <col min="1" max="1" width="20.7109375" style="1" customWidth="1"/>
    <col min="2" max="2" width="2.7109375" style="1" customWidth="1"/>
    <col min="3" max="3" width="20.7109375" style="1" customWidth="1"/>
    <col min="4" max="4" width="18.7109375" style="4" customWidth="1"/>
    <col min="5" max="5" width="9.7109375" style="19" customWidth="1"/>
    <col min="6" max="6" width="9.7109375" style="115" customWidth="1"/>
    <col min="7" max="7" width="8.7109375" style="19" customWidth="1"/>
    <col min="8" max="8" width="7.7109375" style="115" customWidth="1"/>
    <col min="9" max="16384" width="9.140625" style="1"/>
  </cols>
  <sheetData>
    <row r="1" spans="1:8" s="71" customFormat="1" ht="24" customHeight="1" x14ac:dyDescent="0.2">
      <c r="A1" s="270" t="s">
        <v>2332</v>
      </c>
      <c r="B1" s="270"/>
      <c r="C1" s="270"/>
      <c r="D1" s="270"/>
      <c r="E1" s="270"/>
      <c r="F1" s="270"/>
      <c r="G1" s="270"/>
      <c r="H1" s="270"/>
    </row>
    <row r="2" spans="1:8" s="54" customFormat="1" ht="42" customHeight="1" thickBot="1" x14ac:dyDescent="0.25">
      <c r="A2" s="36" t="s">
        <v>3256</v>
      </c>
      <c r="B2" s="36"/>
      <c r="C2" s="36"/>
      <c r="D2" s="75" t="s">
        <v>3254</v>
      </c>
      <c r="E2" s="89"/>
      <c r="F2" s="271" t="s">
        <v>2933</v>
      </c>
      <c r="G2" s="271"/>
      <c r="H2" s="271"/>
    </row>
    <row r="3" spans="1:8" s="57" customFormat="1" ht="52.5" customHeight="1" thickBot="1" x14ac:dyDescent="0.25">
      <c r="A3" s="58" t="s">
        <v>1284</v>
      </c>
      <c r="B3" s="59"/>
      <c r="C3" s="59" t="s">
        <v>1300</v>
      </c>
      <c r="D3" s="59" t="s">
        <v>2652</v>
      </c>
      <c r="E3" s="73" t="s">
        <v>1301</v>
      </c>
      <c r="F3" s="74" t="s">
        <v>1286</v>
      </c>
      <c r="G3" s="73" t="s">
        <v>1287</v>
      </c>
      <c r="H3" s="74" t="s">
        <v>1302</v>
      </c>
    </row>
    <row r="4" spans="1:8" s="45" customFormat="1" ht="11.25" customHeight="1" x14ac:dyDescent="0.2">
      <c r="A4" s="62"/>
      <c r="B4" s="62"/>
      <c r="C4" s="63"/>
      <c r="D4" s="141"/>
      <c r="E4" s="116"/>
      <c r="F4" s="117"/>
      <c r="G4" s="98"/>
      <c r="H4" s="118"/>
    </row>
    <row r="5" spans="1:8" s="5" customFormat="1" ht="11.25" customHeight="1" x14ac:dyDescent="0.2">
      <c r="A5" s="5" t="s">
        <v>1003</v>
      </c>
      <c r="C5" s="14" t="s">
        <v>1004</v>
      </c>
      <c r="D5" s="28" t="s">
        <v>1736</v>
      </c>
      <c r="E5" s="13">
        <v>13195</v>
      </c>
      <c r="F5" s="113">
        <v>79.906740144128861</v>
      </c>
      <c r="G5" s="13"/>
      <c r="H5" s="113"/>
    </row>
    <row r="6" spans="1:8" s="5" customFormat="1" ht="11.25" customHeight="1" x14ac:dyDescent="0.2">
      <c r="C6" s="5" t="s">
        <v>1005</v>
      </c>
      <c r="D6" s="28" t="s">
        <v>655</v>
      </c>
      <c r="E6" s="13">
        <v>592</v>
      </c>
      <c r="F6" s="113">
        <v>3.5850541997214318</v>
      </c>
      <c r="G6" s="13"/>
      <c r="H6" s="113"/>
    </row>
    <row r="7" spans="1:8" s="5" customFormat="1" ht="11.25" customHeight="1" x14ac:dyDescent="0.2">
      <c r="C7" s="5" t="s">
        <v>1006</v>
      </c>
      <c r="D7" s="28" t="s">
        <v>653</v>
      </c>
      <c r="E7" s="13">
        <v>683</v>
      </c>
      <c r="F7" s="113">
        <v>4.1361351662326653</v>
      </c>
      <c r="G7" s="13"/>
      <c r="H7" s="113"/>
    </row>
    <row r="8" spans="1:8" s="5" customFormat="1" ht="11.25" customHeight="1" x14ac:dyDescent="0.2">
      <c r="C8" s="5" t="s">
        <v>1007</v>
      </c>
      <c r="D8" s="28" t="s">
        <v>1072</v>
      </c>
      <c r="E8" s="13">
        <v>2043</v>
      </c>
      <c r="F8" s="113">
        <v>12.372070489917036</v>
      </c>
      <c r="G8" s="13"/>
      <c r="H8" s="113"/>
    </row>
    <row r="9" spans="1:8" s="5" customFormat="1" ht="11.25" customHeight="1" x14ac:dyDescent="0.2">
      <c r="D9" s="28"/>
      <c r="E9" s="162" t="s">
        <v>2621</v>
      </c>
      <c r="F9" s="165">
        <v>100</v>
      </c>
      <c r="G9" s="162">
        <f>'[1]43'!C$84</f>
        <v>30546</v>
      </c>
      <c r="H9" s="165">
        <v>54.141295095920903</v>
      </c>
    </row>
    <row r="10" spans="1:8" s="5" customFormat="1" ht="11.25" customHeight="1" x14ac:dyDescent="0.2">
      <c r="D10" s="28"/>
      <c r="E10" s="13"/>
      <c r="F10" s="113"/>
      <c r="G10" s="13"/>
      <c r="H10" s="113"/>
    </row>
    <row r="11" spans="1:8" s="5" customFormat="1" ht="11.25" customHeight="1" x14ac:dyDescent="0.2">
      <c r="A11" s="53" t="s">
        <v>2242</v>
      </c>
      <c r="B11" s="53"/>
      <c r="C11" s="55" t="s">
        <v>2243</v>
      </c>
      <c r="D11" s="28" t="s">
        <v>1736</v>
      </c>
      <c r="E11" s="13">
        <v>4238</v>
      </c>
      <c r="F11" s="113">
        <v>66.687647521636507</v>
      </c>
      <c r="G11" s="13"/>
      <c r="H11" s="113"/>
    </row>
    <row r="12" spans="1:8" s="5" customFormat="1" ht="11.25" customHeight="1" x14ac:dyDescent="0.2">
      <c r="A12" s="53"/>
      <c r="B12" s="53"/>
      <c r="C12" s="53" t="s">
        <v>2244</v>
      </c>
      <c r="D12" s="28" t="s">
        <v>1314</v>
      </c>
      <c r="E12" s="13">
        <v>94</v>
      </c>
      <c r="F12" s="113">
        <v>1.4791502753737216</v>
      </c>
      <c r="G12" s="13"/>
      <c r="H12" s="113"/>
    </row>
    <row r="13" spans="1:8" s="5" customFormat="1" ht="11.25" customHeight="1" x14ac:dyDescent="0.2">
      <c r="A13" s="53"/>
      <c r="B13" s="53"/>
      <c r="C13" s="53" t="s">
        <v>2245</v>
      </c>
      <c r="D13" s="28" t="s">
        <v>1071</v>
      </c>
      <c r="E13" s="13">
        <v>153</v>
      </c>
      <c r="F13" s="113">
        <v>2.4075531077891421</v>
      </c>
      <c r="G13" s="13"/>
      <c r="H13" s="113"/>
    </row>
    <row r="14" spans="1:8" s="53" customFormat="1" ht="11.25" customHeight="1" x14ac:dyDescent="0.2">
      <c r="C14" s="1" t="s">
        <v>2348</v>
      </c>
      <c r="D14" s="28" t="s">
        <v>655</v>
      </c>
      <c r="E14" s="13">
        <v>606</v>
      </c>
      <c r="F14" s="113">
        <v>9.535798583792289</v>
      </c>
      <c r="G14" s="13"/>
      <c r="H14" s="113"/>
    </row>
    <row r="15" spans="1:8" s="53" customFormat="1" ht="11.25" customHeight="1" x14ac:dyDescent="0.2">
      <c r="C15" s="1" t="s">
        <v>2349</v>
      </c>
      <c r="D15" s="28" t="s">
        <v>1072</v>
      </c>
      <c r="E15" s="13">
        <v>1264</v>
      </c>
      <c r="F15" s="113">
        <v>19.889850511408341</v>
      </c>
      <c r="G15" s="13"/>
      <c r="H15" s="113"/>
    </row>
    <row r="16" spans="1:8" s="53" customFormat="1" ht="11.25" customHeight="1" x14ac:dyDescent="0.2">
      <c r="C16" s="1"/>
      <c r="D16" s="28"/>
      <c r="E16" s="162" t="s">
        <v>745</v>
      </c>
      <c r="F16" s="165">
        <v>100</v>
      </c>
      <c r="G16" s="162">
        <f>'[1]01'!C48</f>
        <v>12622</v>
      </c>
      <c r="H16" s="165">
        <v>50.396133734748851</v>
      </c>
    </row>
    <row r="17" spans="1:8" s="53" customFormat="1" ht="11.25" customHeight="1" x14ac:dyDescent="0.2">
      <c r="C17" s="1"/>
      <c r="D17" s="28"/>
      <c r="E17" s="13"/>
      <c r="F17" s="113"/>
      <c r="G17" s="13"/>
      <c r="H17" s="113"/>
    </row>
    <row r="18" spans="1:8" s="5" customFormat="1" ht="11.25" customHeight="1" x14ac:dyDescent="0.2">
      <c r="A18" s="5" t="s">
        <v>1008</v>
      </c>
      <c r="C18" s="5" t="s">
        <v>1009</v>
      </c>
      <c r="D18" s="28" t="s">
        <v>655</v>
      </c>
      <c r="E18" s="13">
        <v>1311</v>
      </c>
      <c r="F18" s="113">
        <v>9.7733711048158654</v>
      </c>
      <c r="G18" s="13"/>
      <c r="H18" s="113"/>
    </row>
    <row r="19" spans="1:8" s="5" customFormat="1" ht="11.25" customHeight="1" x14ac:dyDescent="0.2">
      <c r="C19" s="5" t="s">
        <v>1010</v>
      </c>
      <c r="D19" s="28" t="s">
        <v>1072</v>
      </c>
      <c r="E19" s="13">
        <v>2147</v>
      </c>
      <c r="F19" s="113">
        <v>16.005665722379604</v>
      </c>
      <c r="G19" s="13"/>
      <c r="H19" s="113"/>
    </row>
    <row r="20" spans="1:8" s="5" customFormat="1" ht="11.25" customHeight="1" x14ac:dyDescent="0.2">
      <c r="C20" s="5" t="s">
        <v>1011</v>
      </c>
      <c r="D20" s="28" t="s">
        <v>653</v>
      </c>
      <c r="E20" s="13">
        <v>538</v>
      </c>
      <c r="F20" s="113">
        <v>4.0107350529297747</v>
      </c>
      <c r="G20" s="13"/>
      <c r="H20" s="113"/>
    </row>
    <row r="21" spans="1:8" s="5" customFormat="1" ht="11.25" customHeight="1" x14ac:dyDescent="0.2">
      <c r="C21" s="14" t="s">
        <v>1012</v>
      </c>
      <c r="D21" s="28" t="s">
        <v>1736</v>
      </c>
      <c r="E21" s="13">
        <v>9418</v>
      </c>
      <c r="F21" s="113">
        <v>70.210228119874756</v>
      </c>
      <c r="G21" s="13"/>
      <c r="H21" s="113"/>
    </row>
    <row r="22" spans="1:8" s="5" customFormat="1" ht="11.25" customHeight="1" x14ac:dyDescent="0.2">
      <c r="D22" s="28"/>
      <c r="E22" s="162" t="s">
        <v>2620</v>
      </c>
      <c r="F22" s="165">
        <v>100</v>
      </c>
      <c r="G22" s="162">
        <f>'[1]44'!C$84</f>
        <v>27228</v>
      </c>
      <c r="H22" s="165">
        <v>49.452769208168064</v>
      </c>
    </row>
    <row r="23" spans="1:8" s="5" customFormat="1" ht="11.25" customHeight="1" x14ac:dyDescent="0.2">
      <c r="D23" s="28"/>
      <c r="E23" s="13"/>
      <c r="F23" s="113"/>
      <c r="G23" s="13"/>
      <c r="H23" s="113"/>
    </row>
    <row r="24" spans="1:8" s="5" customFormat="1" ht="11.25" customHeight="1" x14ac:dyDescent="0.2">
      <c r="A24" s="5" t="s">
        <v>1013</v>
      </c>
      <c r="C24" s="5" t="s">
        <v>1014</v>
      </c>
      <c r="D24" s="28" t="s">
        <v>655</v>
      </c>
      <c r="E24" s="13">
        <v>569</v>
      </c>
      <c r="F24" s="113">
        <v>5.490688024703271</v>
      </c>
      <c r="G24" s="13"/>
      <c r="H24" s="113"/>
    </row>
    <row r="25" spans="1:8" s="5" customFormat="1" ht="11.25" customHeight="1" x14ac:dyDescent="0.2">
      <c r="C25" s="5" t="s">
        <v>1015</v>
      </c>
      <c r="D25" s="28" t="s">
        <v>1072</v>
      </c>
      <c r="E25" s="13">
        <v>1259</v>
      </c>
      <c r="F25" s="113">
        <v>12.148991604747659</v>
      </c>
      <c r="G25" s="13"/>
      <c r="H25" s="113"/>
    </row>
    <row r="26" spans="1:8" s="5" customFormat="1" ht="11.25" customHeight="1" x14ac:dyDescent="0.2">
      <c r="C26" s="14" t="s">
        <v>1016</v>
      </c>
      <c r="D26" s="28" t="s">
        <v>1736</v>
      </c>
      <c r="E26" s="13">
        <v>7183</v>
      </c>
      <c r="F26" s="113">
        <v>69.313905239795432</v>
      </c>
      <c r="G26" s="13"/>
      <c r="H26" s="113"/>
    </row>
    <row r="27" spans="1:8" s="5" customFormat="1" ht="11.25" customHeight="1" x14ac:dyDescent="0.2">
      <c r="C27" s="5" t="s">
        <v>1017</v>
      </c>
      <c r="D27" s="28" t="s">
        <v>1071</v>
      </c>
      <c r="E27" s="13">
        <v>1352</v>
      </c>
      <c r="F27" s="113">
        <v>13.046415130753644</v>
      </c>
      <c r="G27" s="13"/>
      <c r="H27" s="113"/>
    </row>
    <row r="28" spans="1:8" s="5" customFormat="1" ht="11.25" customHeight="1" x14ac:dyDescent="0.2">
      <c r="D28" s="28"/>
      <c r="E28" s="162" t="s">
        <v>2619</v>
      </c>
      <c r="F28" s="165">
        <v>100</v>
      </c>
      <c r="G28" s="162">
        <f>'[1]45'!C$59</f>
        <v>16794</v>
      </c>
      <c r="H28" s="165">
        <v>61.932833154698109</v>
      </c>
    </row>
    <row r="29" spans="1:8" s="5" customFormat="1" ht="11.25" customHeight="1" x14ac:dyDescent="0.2">
      <c r="D29" s="28"/>
      <c r="E29" s="13"/>
      <c r="F29" s="113"/>
      <c r="G29" s="13"/>
      <c r="H29" s="113"/>
    </row>
    <row r="30" spans="1:8" s="5" customFormat="1" ht="11.25" customHeight="1" x14ac:dyDescent="0.2">
      <c r="A30" s="5" t="s">
        <v>1018</v>
      </c>
      <c r="C30" s="14" t="s">
        <v>1019</v>
      </c>
      <c r="D30" s="28" t="s">
        <v>1736</v>
      </c>
      <c r="E30" s="13">
        <v>5641</v>
      </c>
      <c r="F30" s="113">
        <v>70.653807615230463</v>
      </c>
      <c r="G30" s="13"/>
      <c r="H30" s="113"/>
    </row>
    <row r="31" spans="1:8" s="5" customFormat="1" ht="11.25" customHeight="1" x14ac:dyDescent="0.2">
      <c r="C31" s="5" t="s">
        <v>1020</v>
      </c>
      <c r="D31" s="28" t="s">
        <v>653</v>
      </c>
      <c r="E31" s="13">
        <v>275</v>
      </c>
      <c r="F31" s="113">
        <v>3.4443887775551101</v>
      </c>
      <c r="G31" s="13"/>
      <c r="H31" s="113"/>
    </row>
    <row r="32" spans="1:8" s="5" customFormat="1" ht="11.25" customHeight="1" x14ac:dyDescent="0.2">
      <c r="C32" s="5" t="s">
        <v>1021</v>
      </c>
      <c r="D32" s="28" t="s">
        <v>655</v>
      </c>
      <c r="E32" s="13">
        <v>313</v>
      </c>
      <c r="F32" s="113">
        <v>3.9203406813627253</v>
      </c>
      <c r="G32" s="13"/>
      <c r="H32" s="113"/>
    </row>
    <row r="33" spans="1:8" s="5" customFormat="1" ht="11.25" customHeight="1" x14ac:dyDescent="0.2">
      <c r="C33" s="5" t="s">
        <v>1022</v>
      </c>
      <c r="D33" s="28" t="s">
        <v>1072</v>
      </c>
      <c r="E33" s="13">
        <v>1755</v>
      </c>
      <c r="F33" s="113">
        <v>21.981462925851702</v>
      </c>
      <c r="G33" s="13"/>
      <c r="H33" s="113"/>
    </row>
    <row r="34" spans="1:8" s="5" customFormat="1" ht="11.25" customHeight="1" x14ac:dyDescent="0.2">
      <c r="D34" s="28"/>
      <c r="E34" s="162" t="s">
        <v>2618</v>
      </c>
      <c r="F34" s="165">
        <v>100</v>
      </c>
      <c r="G34" s="162">
        <f>'[1]46'!C$51</f>
        <v>16688</v>
      </c>
      <c r="H34" s="165">
        <v>48.034515819750716</v>
      </c>
    </row>
    <row r="35" spans="1:8" s="5" customFormat="1" ht="11.25" customHeight="1" x14ac:dyDescent="0.2">
      <c r="D35" s="28"/>
      <c r="E35" s="13"/>
      <c r="F35" s="113"/>
      <c r="G35" s="13"/>
      <c r="H35" s="113"/>
    </row>
    <row r="36" spans="1:8" s="53" customFormat="1" ht="11.25" customHeight="1" x14ac:dyDescent="0.2">
      <c r="A36" s="53" t="s">
        <v>2354</v>
      </c>
      <c r="C36" s="53" t="s">
        <v>2355</v>
      </c>
      <c r="D36" s="28" t="s">
        <v>653</v>
      </c>
      <c r="E36" s="13">
        <v>184</v>
      </c>
      <c r="F36" s="113">
        <v>1.4219474497681608</v>
      </c>
      <c r="G36" s="13"/>
      <c r="H36" s="113"/>
    </row>
    <row r="37" spans="1:8" s="53" customFormat="1" ht="11.25" customHeight="1" x14ac:dyDescent="0.2">
      <c r="C37" s="53" t="s">
        <v>2356</v>
      </c>
      <c r="D37" s="28" t="s">
        <v>655</v>
      </c>
      <c r="E37" s="13">
        <v>858</v>
      </c>
      <c r="F37" s="113">
        <v>6.6306027820710973</v>
      </c>
      <c r="G37" s="13"/>
      <c r="H37" s="113"/>
    </row>
    <row r="38" spans="1:8" s="53" customFormat="1" ht="11.25" customHeight="1" x14ac:dyDescent="0.2">
      <c r="C38" s="55" t="s">
        <v>2357</v>
      </c>
      <c r="D38" s="28" t="s">
        <v>1736</v>
      </c>
      <c r="E38" s="13">
        <v>8274</v>
      </c>
      <c r="F38" s="113">
        <v>63.941267387944357</v>
      </c>
      <c r="G38" s="13"/>
      <c r="H38" s="113"/>
    </row>
    <row r="39" spans="1:8" s="5" customFormat="1" ht="11.25" customHeight="1" x14ac:dyDescent="0.2">
      <c r="C39" s="5" t="s">
        <v>2358</v>
      </c>
      <c r="D39" s="28" t="s">
        <v>1072</v>
      </c>
      <c r="E39" s="13">
        <v>3230</v>
      </c>
      <c r="F39" s="113">
        <v>24.961360123647605</v>
      </c>
      <c r="G39" s="13"/>
      <c r="H39" s="113"/>
    </row>
    <row r="40" spans="1:8" s="5" customFormat="1" ht="11.25" customHeight="1" x14ac:dyDescent="0.2">
      <c r="C40" s="5" t="s">
        <v>2359</v>
      </c>
      <c r="D40" s="28" t="s">
        <v>1314</v>
      </c>
      <c r="E40" s="13">
        <v>394</v>
      </c>
      <c r="F40" s="113">
        <v>3.044822256568779</v>
      </c>
      <c r="G40" s="13"/>
      <c r="H40" s="113"/>
    </row>
    <row r="41" spans="1:8" s="5" customFormat="1" ht="11.25" customHeight="1" x14ac:dyDescent="0.2">
      <c r="D41" s="28"/>
      <c r="E41" s="162" t="s">
        <v>500</v>
      </c>
      <c r="F41" s="165">
        <v>100</v>
      </c>
      <c r="G41" s="162">
        <f>'[1]03'!C$65</f>
        <v>23510</v>
      </c>
      <c r="H41" s="165">
        <v>55.14674606550404</v>
      </c>
    </row>
    <row r="42" spans="1:8" s="5" customFormat="1" ht="11.25" customHeight="1" x14ac:dyDescent="0.2">
      <c r="D42" s="28"/>
      <c r="E42" s="13"/>
      <c r="F42" s="113"/>
      <c r="G42" s="13"/>
      <c r="H42" s="113"/>
    </row>
    <row r="43" spans="1:8" s="5" customFormat="1" ht="11.25" customHeight="1" x14ac:dyDescent="0.2">
      <c r="A43" s="5" t="s">
        <v>2360</v>
      </c>
      <c r="C43" s="14" t="s">
        <v>2361</v>
      </c>
      <c r="D43" s="28" t="s">
        <v>1736</v>
      </c>
      <c r="E43" s="13">
        <v>5582</v>
      </c>
      <c r="F43" s="113">
        <v>54.178394642337182</v>
      </c>
      <c r="G43" s="13"/>
      <c r="H43" s="113"/>
    </row>
    <row r="44" spans="1:8" s="5" customFormat="1" ht="11.25" customHeight="1" x14ac:dyDescent="0.2">
      <c r="C44" s="5" t="s">
        <v>2362</v>
      </c>
      <c r="D44" s="28" t="s">
        <v>1072</v>
      </c>
      <c r="E44" s="13">
        <v>4135</v>
      </c>
      <c r="F44" s="113">
        <v>40.133941570416383</v>
      </c>
      <c r="G44" s="13"/>
      <c r="H44" s="113"/>
    </row>
    <row r="45" spans="1:8" s="5" customFormat="1" ht="11.25" customHeight="1" x14ac:dyDescent="0.2">
      <c r="C45" s="5" t="s">
        <v>2363</v>
      </c>
      <c r="D45" s="28" t="s">
        <v>655</v>
      </c>
      <c r="E45" s="13">
        <v>473</v>
      </c>
      <c r="F45" s="113">
        <v>4.5908958555760462</v>
      </c>
      <c r="G45" s="13"/>
      <c r="H45" s="113"/>
    </row>
    <row r="46" spans="1:8" s="5" customFormat="1" ht="11.25" customHeight="1" x14ac:dyDescent="0.2">
      <c r="C46" s="5" t="s">
        <v>2364</v>
      </c>
      <c r="D46" s="28" t="s">
        <v>1071</v>
      </c>
      <c r="E46" s="13">
        <v>113</v>
      </c>
      <c r="F46" s="113">
        <v>1.0967679316703873</v>
      </c>
      <c r="G46" s="13"/>
      <c r="H46" s="113"/>
    </row>
    <row r="47" spans="1:8" s="5" customFormat="1" ht="11.25" customHeight="1" x14ac:dyDescent="0.2">
      <c r="D47" s="28"/>
      <c r="E47" s="162" t="s">
        <v>746</v>
      </c>
      <c r="F47" s="165">
        <v>100</v>
      </c>
      <c r="G47" s="162">
        <f>'[1]04'!C$64</f>
        <v>24844</v>
      </c>
      <c r="H47" s="165">
        <v>41.668008372242795</v>
      </c>
    </row>
    <row r="48" spans="1:8" s="5" customFormat="1" ht="11.25" customHeight="1" x14ac:dyDescent="0.2">
      <c r="D48" s="28"/>
      <c r="E48" s="13"/>
      <c r="F48" s="113"/>
      <c r="G48" s="13"/>
      <c r="H48" s="113"/>
    </row>
    <row r="49" spans="1:8" s="5" customFormat="1" ht="11.25" customHeight="1" x14ac:dyDescent="0.2">
      <c r="A49" s="5" t="s">
        <v>1959</v>
      </c>
      <c r="C49" s="14" t="s">
        <v>1960</v>
      </c>
      <c r="D49" s="28" t="s">
        <v>1736</v>
      </c>
      <c r="E49" s="13">
        <v>6816</v>
      </c>
      <c r="F49" s="113">
        <v>74.958759485318367</v>
      </c>
      <c r="G49" s="13"/>
      <c r="H49" s="113"/>
    </row>
    <row r="50" spans="1:8" s="5" customFormat="1" ht="11.25" customHeight="1" x14ac:dyDescent="0.2">
      <c r="C50" s="5" t="s">
        <v>1961</v>
      </c>
      <c r="D50" s="28" t="s">
        <v>1072</v>
      </c>
      <c r="E50" s="13">
        <v>1836</v>
      </c>
      <c r="F50" s="113">
        <v>20.19135598812273</v>
      </c>
      <c r="G50" s="13"/>
      <c r="H50" s="113"/>
    </row>
    <row r="51" spans="1:8" s="5" customFormat="1" ht="11.25" customHeight="1" x14ac:dyDescent="0.2">
      <c r="C51" s="5" t="s">
        <v>1962</v>
      </c>
      <c r="D51" s="28" t="s">
        <v>655</v>
      </c>
      <c r="E51" s="13">
        <v>441</v>
      </c>
      <c r="F51" s="113">
        <v>4.8498845265588919</v>
      </c>
      <c r="G51" s="13"/>
      <c r="H51" s="113"/>
    </row>
    <row r="52" spans="1:8" s="5" customFormat="1" ht="11.25" customHeight="1" x14ac:dyDescent="0.2">
      <c r="D52" s="28"/>
      <c r="E52" s="162" t="s">
        <v>747</v>
      </c>
      <c r="F52" s="165">
        <v>100</v>
      </c>
      <c r="G52" s="162">
        <f>'[1]05'!C$61</f>
        <v>21920</v>
      </c>
      <c r="H52" s="165">
        <v>41.642335766423358</v>
      </c>
    </row>
    <row r="53" spans="1:8" s="5" customFormat="1" ht="11.25" customHeight="1" x14ac:dyDescent="0.2">
      <c r="D53" s="28"/>
      <c r="E53" s="13"/>
      <c r="F53" s="113"/>
      <c r="G53" s="13"/>
      <c r="H53" s="113"/>
    </row>
    <row r="54" spans="1:8" s="5" customFormat="1" ht="11.25" customHeight="1" x14ac:dyDescent="0.2">
      <c r="A54" s="5" t="s">
        <v>1963</v>
      </c>
      <c r="C54" s="14" t="s">
        <v>481</v>
      </c>
      <c r="D54" s="28" t="s">
        <v>1736</v>
      </c>
      <c r="E54" s="13">
        <v>6922</v>
      </c>
      <c r="F54" s="113">
        <v>62.153183083415641</v>
      </c>
      <c r="G54" s="13"/>
      <c r="H54" s="113"/>
    </row>
    <row r="55" spans="1:8" s="5" customFormat="1" ht="11.25" customHeight="1" x14ac:dyDescent="0.2">
      <c r="C55" s="5" t="s">
        <v>1964</v>
      </c>
      <c r="D55" s="28" t="s">
        <v>653</v>
      </c>
      <c r="E55" s="13">
        <v>434</v>
      </c>
      <c r="F55" s="113">
        <v>3.8969201759899437</v>
      </c>
      <c r="G55" s="13"/>
      <c r="H55" s="113"/>
    </row>
    <row r="56" spans="1:8" s="5" customFormat="1" ht="11.25" customHeight="1" x14ac:dyDescent="0.2">
      <c r="C56" s="5" t="s">
        <v>1965</v>
      </c>
      <c r="D56" s="28" t="s">
        <v>655</v>
      </c>
      <c r="E56" s="13">
        <v>1114</v>
      </c>
      <c r="F56" s="113">
        <v>10.002693723623956</v>
      </c>
      <c r="G56" s="13"/>
      <c r="H56" s="113"/>
    </row>
    <row r="57" spans="1:8" s="5" customFormat="1" ht="11.25" customHeight="1" x14ac:dyDescent="0.2">
      <c r="C57" s="5" t="s">
        <v>1966</v>
      </c>
      <c r="D57" s="28" t="s">
        <v>1072</v>
      </c>
      <c r="E57" s="13">
        <v>2667</v>
      </c>
      <c r="F57" s="113">
        <v>23.947203016970459</v>
      </c>
      <c r="G57" s="13"/>
      <c r="H57" s="113"/>
    </row>
    <row r="58" spans="1:8" s="5" customFormat="1" ht="11.25" customHeight="1" x14ac:dyDescent="0.2">
      <c r="D58" s="28"/>
      <c r="E58" s="162" t="s">
        <v>783</v>
      </c>
      <c r="F58" s="165">
        <v>100</v>
      </c>
      <c r="G58" s="162">
        <f>'[1]06'!C$81</f>
        <v>23220</v>
      </c>
      <c r="H58" s="165">
        <v>48.273040482342807</v>
      </c>
    </row>
    <row r="59" spans="1:8" s="5" customFormat="1" ht="11.25" customHeight="1" x14ac:dyDescent="0.2">
      <c r="D59" s="28"/>
      <c r="E59" s="13"/>
      <c r="F59" s="113"/>
      <c r="G59" s="13"/>
      <c r="H59" s="113"/>
    </row>
    <row r="60" spans="1:8" s="5" customFormat="1" ht="11.25" customHeight="1" x14ac:dyDescent="0.2">
      <c r="A60" s="5" t="s">
        <v>3167</v>
      </c>
      <c r="C60" s="14" t="s">
        <v>3168</v>
      </c>
      <c r="D60" s="28" t="s">
        <v>1736</v>
      </c>
      <c r="E60" s="13">
        <v>6038</v>
      </c>
      <c r="F60" s="113">
        <v>70.818672296504815</v>
      </c>
      <c r="G60" s="13"/>
      <c r="H60" s="113"/>
    </row>
    <row r="61" spans="1:8" s="5" customFormat="1" ht="11.25" customHeight="1" x14ac:dyDescent="0.2">
      <c r="C61" s="5" t="s">
        <v>3169</v>
      </c>
      <c r="D61" s="28" t="s">
        <v>655</v>
      </c>
      <c r="E61" s="13">
        <v>328</v>
      </c>
      <c r="F61" s="113">
        <v>3.8470560638048323</v>
      </c>
      <c r="G61" s="13"/>
      <c r="H61" s="113"/>
    </row>
    <row r="62" spans="1:8" s="5" customFormat="1" ht="11.25" customHeight="1" x14ac:dyDescent="0.2">
      <c r="C62" s="5" t="s">
        <v>1852</v>
      </c>
      <c r="D62" s="28" t="s">
        <v>486</v>
      </c>
      <c r="E62" s="13">
        <v>41</v>
      </c>
      <c r="F62" s="113">
        <v>0.48088200797560404</v>
      </c>
      <c r="G62" s="13"/>
      <c r="H62" s="113"/>
    </row>
    <row r="63" spans="1:8" s="5" customFormat="1" ht="11.25" customHeight="1" x14ac:dyDescent="0.2">
      <c r="C63" s="5" t="s">
        <v>1853</v>
      </c>
      <c r="D63" s="28" t="s">
        <v>1072</v>
      </c>
      <c r="E63" s="13">
        <v>2010</v>
      </c>
      <c r="F63" s="113">
        <v>23.574947220267418</v>
      </c>
      <c r="G63" s="13"/>
      <c r="H63" s="113"/>
    </row>
    <row r="64" spans="1:8" s="5" customFormat="1" ht="11.25" customHeight="1" x14ac:dyDescent="0.2">
      <c r="C64" s="5" t="s">
        <v>1854</v>
      </c>
      <c r="D64" s="28" t="s">
        <v>1071</v>
      </c>
      <c r="E64" s="13">
        <v>109</v>
      </c>
      <c r="F64" s="113">
        <v>1.2784424114473376</v>
      </c>
      <c r="G64" s="13"/>
      <c r="H64" s="113"/>
    </row>
    <row r="65" spans="1:8" s="5" customFormat="1" ht="11.25" customHeight="1" x14ac:dyDescent="0.2">
      <c r="D65" s="28"/>
      <c r="E65" s="162" t="s">
        <v>782</v>
      </c>
      <c r="F65" s="165">
        <v>100</v>
      </c>
      <c r="G65" s="162">
        <f>'[1]07'!C$61</f>
        <v>20509</v>
      </c>
      <c r="H65" s="165">
        <v>41.864547271929396</v>
      </c>
    </row>
    <row r="66" spans="1:8" s="5" customFormat="1" ht="11.25" customHeight="1" x14ac:dyDescent="0.2">
      <c r="D66" s="28"/>
      <c r="E66" s="13"/>
      <c r="F66" s="113"/>
      <c r="G66" s="13"/>
      <c r="H66" s="113"/>
    </row>
    <row r="67" spans="1:8" s="5" customFormat="1" ht="11.25" customHeight="1" x14ac:dyDescent="0.2">
      <c r="A67" s="5" t="s">
        <v>1855</v>
      </c>
      <c r="C67" s="5" t="s">
        <v>1856</v>
      </c>
      <c r="D67" s="28" t="s">
        <v>655</v>
      </c>
      <c r="E67" s="13">
        <v>567</v>
      </c>
      <c r="F67" s="113">
        <v>4.0741539124811386</v>
      </c>
      <c r="G67" s="13"/>
      <c r="H67" s="113"/>
    </row>
    <row r="68" spans="1:8" s="5" customFormat="1" ht="11.25" customHeight="1" x14ac:dyDescent="0.2">
      <c r="C68" s="14" t="s">
        <v>1857</v>
      </c>
      <c r="D68" s="28" t="s">
        <v>1736</v>
      </c>
      <c r="E68" s="13">
        <v>10338</v>
      </c>
      <c r="F68" s="113">
        <v>74.28325070058203</v>
      </c>
      <c r="G68" s="13"/>
      <c r="H68" s="113"/>
    </row>
    <row r="69" spans="1:8" s="5" customFormat="1" ht="11.25" customHeight="1" x14ac:dyDescent="0.2">
      <c r="C69" s="5" t="s">
        <v>1858</v>
      </c>
      <c r="D69" s="28" t="s">
        <v>653</v>
      </c>
      <c r="E69" s="13">
        <v>399</v>
      </c>
      <c r="F69" s="113">
        <v>2.8669971976719122</v>
      </c>
      <c r="G69" s="13"/>
      <c r="H69" s="113"/>
    </row>
    <row r="70" spans="1:8" s="5" customFormat="1" ht="11.25" customHeight="1" x14ac:dyDescent="0.2">
      <c r="C70" s="5" t="s">
        <v>1859</v>
      </c>
      <c r="D70" s="28" t="s">
        <v>1072</v>
      </c>
      <c r="E70" s="13">
        <v>2613</v>
      </c>
      <c r="F70" s="113">
        <v>18.775598189264926</v>
      </c>
      <c r="G70" s="13"/>
      <c r="H70" s="113"/>
    </row>
    <row r="71" spans="1:8" s="5" customFormat="1" ht="11.25" customHeight="1" x14ac:dyDescent="0.2">
      <c r="D71" s="28"/>
      <c r="E71" s="162" t="s">
        <v>781</v>
      </c>
      <c r="F71" s="165">
        <v>100</v>
      </c>
      <c r="G71" s="162">
        <f>'[1]08'!C$71</f>
        <v>26749</v>
      </c>
      <c r="H71" s="165">
        <v>52.173913043478258</v>
      </c>
    </row>
    <row r="72" spans="1:8" s="5" customFormat="1" ht="11.25" customHeight="1" x14ac:dyDescent="0.2">
      <c r="D72" s="28"/>
      <c r="E72" s="13"/>
      <c r="F72" s="113"/>
      <c r="G72" s="13"/>
      <c r="H72" s="113"/>
    </row>
    <row r="73" spans="1:8" s="5" customFormat="1" ht="11.25" customHeight="1" x14ac:dyDescent="0.2">
      <c r="A73" s="5" t="s">
        <v>1860</v>
      </c>
      <c r="C73" s="14" t="s">
        <v>1861</v>
      </c>
      <c r="D73" s="28" t="s">
        <v>1736</v>
      </c>
      <c r="E73" s="13">
        <v>10213</v>
      </c>
      <c r="F73" s="113">
        <v>66.834631241410904</v>
      </c>
      <c r="G73" s="13"/>
      <c r="H73" s="113"/>
    </row>
    <row r="74" spans="1:8" s="5" customFormat="1" ht="11.25" customHeight="1" x14ac:dyDescent="0.2">
      <c r="C74" s="5" t="s">
        <v>1862</v>
      </c>
      <c r="D74" s="28" t="s">
        <v>653</v>
      </c>
      <c r="E74" s="13">
        <v>166</v>
      </c>
      <c r="F74" s="113">
        <v>1.0863163405536287</v>
      </c>
      <c r="G74" s="13"/>
      <c r="H74" s="113"/>
    </row>
    <row r="75" spans="1:8" s="5" customFormat="1" ht="11.25" customHeight="1" x14ac:dyDescent="0.2">
      <c r="C75" s="5" t="s">
        <v>1863</v>
      </c>
      <c r="D75" s="28" t="s">
        <v>1072</v>
      </c>
      <c r="E75" s="13">
        <v>4533</v>
      </c>
      <c r="F75" s="113">
        <v>29.664288986322884</v>
      </c>
      <c r="G75" s="13"/>
      <c r="H75" s="113"/>
    </row>
    <row r="76" spans="1:8" s="5" customFormat="1" ht="11.25" customHeight="1" x14ac:dyDescent="0.2">
      <c r="C76" s="5" t="s">
        <v>1864</v>
      </c>
      <c r="D76" s="28" t="s">
        <v>655</v>
      </c>
      <c r="E76" s="13">
        <v>369</v>
      </c>
      <c r="F76" s="113">
        <v>2.4147634317125846</v>
      </c>
      <c r="G76" s="13"/>
      <c r="H76" s="113"/>
    </row>
    <row r="77" spans="1:8" s="5" customFormat="1" ht="11.25" customHeight="1" x14ac:dyDescent="0.2">
      <c r="D77" s="28"/>
      <c r="E77" s="162" t="s">
        <v>780</v>
      </c>
      <c r="F77" s="165">
        <v>100</v>
      </c>
      <c r="G77" s="162">
        <f>'[1]09'!C$78</f>
        <v>24786</v>
      </c>
      <c r="H77" s="165">
        <v>61.796982167352546</v>
      </c>
    </row>
    <row r="78" spans="1:8" s="5" customFormat="1" ht="11.25" customHeight="1" x14ac:dyDescent="0.2">
      <c r="D78" s="28"/>
      <c r="E78" s="13"/>
      <c r="F78" s="113"/>
      <c r="G78" s="13"/>
      <c r="H78" s="113"/>
    </row>
    <row r="79" spans="1:8" s="5" customFormat="1" ht="11.25" customHeight="1" x14ac:dyDescent="0.2">
      <c r="A79" s="5" t="s">
        <v>1865</v>
      </c>
      <c r="C79" s="5" t="s">
        <v>1866</v>
      </c>
      <c r="D79" s="28" t="s">
        <v>1072</v>
      </c>
      <c r="E79" s="13">
        <v>2853</v>
      </c>
      <c r="F79" s="113">
        <v>21.888905938315176</v>
      </c>
      <c r="G79" s="13"/>
      <c r="H79" s="113"/>
    </row>
    <row r="80" spans="1:8" s="5" customFormat="1" ht="11.25" customHeight="1" x14ac:dyDescent="0.2">
      <c r="C80" s="14" t="s">
        <v>1867</v>
      </c>
      <c r="D80" s="28" t="s">
        <v>1736</v>
      </c>
      <c r="E80" s="13">
        <v>9716</v>
      </c>
      <c r="F80" s="113">
        <v>74.543501611170782</v>
      </c>
      <c r="G80" s="13"/>
      <c r="H80" s="113"/>
    </row>
    <row r="81" spans="1:8" s="5" customFormat="1" ht="11.25" customHeight="1" x14ac:dyDescent="0.2">
      <c r="C81" s="5" t="s">
        <v>1868</v>
      </c>
      <c r="D81" s="28" t="s">
        <v>655</v>
      </c>
      <c r="E81" s="13">
        <v>465</v>
      </c>
      <c r="F81" s="113">
        <v>3.5675924505140397</v>
      </c>
      <c r="G81" s="13"/>
      <c r="H81" s="113"/>
    </row>
    <row r="82" spans="1:8" s="5" customFormat="1" ht="11.25" customHeight="1" x14ac:dyDescent="0.2">
      <c r="D82" s="28"/>
      <c r="E82" s="162" t="s">
        <v>779</v>
      </c>
      <c r="F82" s="165">
        <v>100</v>
      </c>
      <c r="G82" s="162">
        <f>'[1]10'!C$57</f>
        <v>22554</v>
      </c>
      <c r="H82" s="165">
        <v>57.909905116609025</v>
      </c>
    </row>
    <row r="83" spans="1:8" s="5" customFormat="1" ht="11.25" customHeight="1" x14ac:dyDescent="0.2">
      <c r="D83" s="28"/>
      <c r="E83" s="13"/>
      <c r="F83" s="113"/>
      <c r="G83" s="13"/>
      <c r="H83" s="113"/>
    </row>
    <row r="84" spans="1:8" s="5" customFormat="1" ht="11.25" customHeight="1" x14ac:dyDescent="0.2">
      <c r="A84" s="5" t="s">
        <v>1869</v>
      </c>
      <c r="C84" s="5" t="s">
        <v>1870</v>
      </c>
      <c r="D84" s="28" t="s">
        <v>655</v>
      </c>
      <c r="E84" s="13">
        <v>784</v>
      </c>
      <c r="F84" s="113">
        <v>4.3786651773247698</v>
      </c>
      <c r="G84" s="13"/>
      <c r="H84" s="113"/>
    </row>
    <row r="85" spans="1:8" s="5" customFormat="1" ht="11.25" customHeight="1" x14ac:dyDescent="0.2">
      <c r="C85" s="5" t="s">
        <v>1871</v>
      </c>
      <c r="D85" s="28" t="s">
        <v>1072</v>
      </c>
      <c r="E85" s="13">
        <v>5051</v>
      </c>
      <c r="F85" s="113">
        <v>28.209997207483944</v>
      </c>
      <c r="G85" s="13"/>
      <c r="H85" s="113"/>
    </row>
    <row r="86" spans="1:8" s="5" customFormat="1" ht="11.25" customHeight="1" x14ac:dyDescent="0.2">
      <c r="C86" s="14" t="s">
        <v>1872</v>
      </c>
      <c r="D86" s="28" t="s">
        <v>1736</v>
      </c>
      <c r="E86" s="13">
        <v>12070</v>
      </c>
      <c r="F86" s="113">
        <v>67.411337615191286</v>
      </c>
      <c r="G86" s="13"/>
      <c r="H86" s="113"/>
    </row>
    <row r="87" spans="1:8" s="5" customFormat="1" ht="11.25" customHeight="1" x14ac:dyDescent="0.2">
      <c r="D87" s="28"/>
      <c r="E87" s="162" t="s">
        <v>778</v>
      </c>
      <c r="F87" s="165">
        <v>100</v>
      </c>
      <c r="G87" s="162">
        <f>'[1]11'!C$91</f>
        <v>34208</v>
      </c>
      <c r="H87" s="165">
        <v>52.499415341440603</v>
      </c>
    </row>
    <row r="88" spans="1:8" s="5" customFormat="1" ht="11.25" customHeight="1" x14ac:dyDescent="0.2">
      <c r="D88" s="28"/>
      <c r="E88" s="13"/>
      <c r="F88" s="113"/>
      <c r="G88" s="13"/>
      <c r="H88" s="113"/>
    </row>
    <row r="89" spans="1:8" s="5" customFormat="1" ht="11.25" customHeight="1" x14ac:dyDescent="0.2">
      <c r="A89" s="5" t="s">
        <v>1873</v>
      </c>
      <c r="C89" s="5" t="s">
        <v>1874</v>
      </c>
      <c r="D89" s="28" t="s">
        <v>1314</v>
      </c>
      <c r="E89" s="13">
        <v>121</v>
      </c>
      <c r="F89" s="113">
        <v>1.2313015162307928</v>
      </c>
      <c r="G89" s="13"/>
      <c r="H89" s="113"/>
    </row>
    <row r="90" spans="1:8" s="5" customFormat="1" ht="11.25" customHeight="1" x14ac:dyDescent="0.2">
      <c r="C90" s="14" t="s">
        <v>1875</v>
      </c>
      <c r="D90" s="28" t="s">
        <v>1736</v>
      </c>
      <c r="E90" s="13">
        <v>6740</v>
      </c>
      <c r="F90" s="113">
        <v>68.58654726773176</v>
      </c>
      <c r="G90" s="13"/>
      <c r="H90" s="113"/>
    </row>
    <row r="91" spans="1:8" s="5" customFormat="1" ht="11.25" customHeight="1" x14ac:dyDescent="0.2">
      <c r="C91" s="5" t="s">
        <v>1876</v>
      </c>
      <c r="D91" s="28" t="s">
        <v>653</v>
      </c>
      <c r="E91" s="13">
        <v>102</v>
      </c>
      <c r="F91" s="113">
        <v>1.0379566500457922</v>
      </c>
      <c r="G91" s="13"/>
      <c r="H91" s="113"/>
    </row>
    <row r="92" spans="1:8" s="5" customFormat="1" ht="11.25" customHeight="1" x14ac:dyDescent="0.2">
      <c r="C92" s="5" t="s">
        <v>2342</v>
      </c>
      <c r="D92" s="28" t="s">
        <v>655</v>
      </c>
      <c r="E92" s="13">
        <v>501</v>
      </c>
      <c r="F92" s="113">
        <v>5.0981988399308031</v>
      </c>
      <c r="G92" s="13"/>
      <c r="H92" s="113"/>
    </row>
    <row r="93" spans="1:8" s="5" customFormat="1" ht="11.25" customHeight="1" x14ac:dyDescent="0.2">
      <c r="C93" s="5" t="s">
        <v>2343</v>
      </c>
      <c r="D93" s="28" t="s">
        <v>1071</v>
      </c>
      <c r="E93" s="13">
        <v>160</v>
      </c>
      <c r="F93" s="113">
        <v>1.6281672941894778</v>
      </c>
      <c r="G93" s="13"/>
      <c r="H93" s="113"/>
    </row>
    <row r="94" spans="1:8" s="5" customFormat="1" ht="11.25" customHeight="1" x14ac:dyDescent="0.2">
      <c r="C94" s="5" t="s">
        <v>2344</v>
      </c>
      <c r="D94" s="28" t="s">
        <v>1072</v>
      </c>
      <c r="E94" s="13">
        <v>2004</v>
      </c>
      <c r="F94" s="113">
        <v>20.392795359723213</v>
      </c>
      <c r="G94" s="13"/>
      <c r="H94" s="113"/>
    </row>
    <row r="95" spans="1:8" s="5" customFormat="1" ht="11.25" customHeight="1" x14ac:dyDescent="0.2">
      <c r="C95" s="5" t="s">
        <v>2345</v>
      </c>
      <c r="D95" s="28" t="s">
        <v>1315</v>
      </c>
      <c r="E95" s="13">
        <v>99</v>
      </c>
      <c r="F95" s="113">
        <v>1.0074285132797396</v>
      </c>
      <c r="G95" s="13"/>
      <c r="H95" s="113"/>
    </row>
    <row r="96" spans="1:8" s="5" customFormat="1" ht="11.25" customHeight="1" x14ac:dyDescent="0.2">
      <c r="C96" s="5" t="s">
        <v>2346</v>
      </c>
      <c r="D96" s="28" t="s">
        <v>653</v>
      </c>
      <c r="E96" s="13">
        <v>100</v>
      </c>
      <c r="F96" s="113">
        <v>1.0176045588684237</v>
      </c>
      <c r="G96" s="13"/>
      <c r="H96" s="113"/>
    </row>
    <row r="97" spans="1:8" s="5" customFormat="1" ht="11.25" customHeight="1" x14ac:dyDescent="0.2">
      <c r="D97" s="28"/>
      <c r="E97" s="162" t="s">
        <v>777</v>
      </c>
      <c r="F97" s="165">
        <v>100</v>
      </c>
      <c r="G97" s="162">
        <f>'[1]12'!C$61</f>
        <v>22882</v>
      </c>
      <c r="H97" s="165">
        <v>43.134341403723454</v>
      </c>
    </row>
    <row r="98" spans="1:8" s="5" customFormat="1" ht="11.25" customHeight="1" x14ac:dyDescent="0.2">
      <c r="D98" s="28"/>
      <c r="E98" s="13"/>
      <c r="F98" s="113"/>
      <c r="G98" s="13"/>
      <c r="H98" s="113"/>
    </row>
    <row r="99" spans="1:8" s="5" customFormat="1" ht="11.25" customHeight="1" x14ac:dyDescent="0.2">
      <c r="A99" s="5" t="s">
        <v>3211</v>
      </c>
      <c r="C99" s="5" t="s">
        <v>3212</v>
      </c>
      <c r="D99" s="28" t="s">
        <v>1072</v>
      </c>
      <c r="E99" s="13">
        <v>3708</v>
      </c>
      <c r="F99" s="113">
        <v>25.940954246537007</v>
      </c>
      <c r="G99" s="13"/>
      <c r="H99" s="113"/>
    </row>
    <row r="100" spans="1:8" s="5" customFormat="1" ht="11.25" customHeight="1" x14ac:dyDescent="0.2">
      <c r="C100" s="5" t="s">
        <v>3213</v>
      </c>
      <c r="D100" s="28" t="s">
        <v>1314</v>
      </c>
      <c r="E100" s="13">
        <v>467</v>
      </c>
      <c r="F100" s="113">
        <v>3.2671050790541485</v>
      </c>
      <c r="G100" s="13"/>
      <c r="H100" s="113"/>
    </row>
    <row r="101" spans="1:8" s="5" customFormat="1" ht="11.25" customHeight="1" x14ac:dyDescent="0.2">
      <c r="C101" s="14" t="s">
        <v>3214</v>
      </c>
      <c r="D101" s="28" t="s">
        <v>1736</v>
      </c>
      <c r="E101" s="13">
        <v>9678</v>
      </c>
      <c r="F101" s="113">
        <v>67.706730096544007</v>
      </c>
      <c r="G101" s="13"/>
      <c r="H101" s="113"/>
    </row>
    <row r="102" spans="1:8" s="5" customFormat="1" ht="11.25" customHeight="1" x14ac:dyDescent="0.2">
      <c r="C102" s="5" t="s">
        <v>3215</v>
      </c>
      <c r="D102" s="28" t="s">
        <v>655</v>
      </c>
      <c r="E102" s="13">
        <v>441</v>
      </c>
      <c r="F102" s="113">
        <v>3.0852105778648382</v>
      </c>
      <c r="G102" s="13"/>
      <c r="H102" s="113"/>
    </row>
    <row r="103" spans="1:8" s="5" customFormat="1" ht="11.25" customHeight="1" x14ac:dyDescent="0.2">
      <c r="D103" s="28"/>
      <c r="E103" s="162" t="s">
        <v>776</v>
      </c>
      <c r="F103" s="165">
        <v>100</v>
      </c>
      <c r="G103" s="162">
        <f>'[1]13'!C$61</f>
        <v>23644</v>
      </c>
      <c r="H103" s="165">
        <v>60.632718660125192</v>
      </c>
    </row>
    <row r="104" spans="1:8" s="5" customFormat="1" ht="11.25" customHeight="1" x14ac:dyDescent="0.2">
      <c r="D104" s="28"/>
      <c r="E104" s="13"/>
      <c r="F104" s="113"/>
      <c r="G104" s="13"/>
      <c r="H104" s="113"/>
    </row>
    <row r="105" spans="1:8" s="5" customFormat="1" ht="11.25" customHeight="1" x14ac:dyDescent="0.2">
      <c r="A105" s="5" t="s">
        <v>3216</v>
      </c>
      <c r="C105" s="14" t="s">
        <v>3217</v>
      </c>
      <c r="D105" s="28" t="s">
        <v>1736</v>
      </c>
      <c r="E105" s="13">
        <v>8952</v>
      </c>
      <c r="F105" s="113">
        <v>74.185795972486943</v>
      </c>
      <c r="G105" s="13"/>
      <c r="H105" s="113"/>
    </row>
    <row r="106" spans="1:8" s="5" customFormat="1" ht="11.25" customHeight="1" x14ac:dyDescent="0.2">
      <c r="C106" s="5" t="s">
        <v>3218</v>
      </c>
      <c r="D106" s="28" t="s">
        <v>1072</v>
      </c>
      <c r="E106" s="13">
        <v>2538</v>
      </c>
      <c r="F106" s="113">
        <v>21.032568161100524</v>
      </c>
      <c r="G106" s="13"/>
      <c r="H106" s="113"/>
    </row>
    <row r="107" spans="1:8" s="5" customFormat="1" ht="11.25" customHeight="1" x14ac:dyDescent="0.2">
      <c r="C107" s="5" t="s">
        <v>3219</v>
      </c>
      <c r="D107" s="28" t="s">
        <v>655</v>
      </c>
      <c r="E107" s="13">
        <v>577</v>
      </c>
      <c r="F107" s="113">
        <v>4.7816358664125298</v>
      </c>
      <c r="G107" s="13"/>
      <c r="H107" s="113"/>
    </row>
    <row r="108" spans="1:8" s="5" customFormat="1" ht="11.25" customHeight="1" x14ac:dyDescent="0.2">
      <c r="D108" s="28"/>
      <c r="E108" s="162" t="s">
        <v>2650</v>
      </c>
      <c r="F108" s="165">
        <v>100</v>
      </c>
      <c r="G108" s="162">
        <f>'[1]14'!C$56</f>
        <v>22099</v>
      </c>
      <c r="H108" s="165">
        <v>54.776234218742928</v>
      </c>
    </row>
    <row r="109" spans="1:8" s="5" customFormat="1" ht="11.25" customHeight="1" x14ac:dyDescent="0.2">
      <c r="D109" s="28"/>
      <c r="E109" s="13"/>
      <c r="F109" s="113"/>
      <c r="G109" s="13"/>
      <c r="H109" s="113"/>
    </row>
    <row r="110" spans="1:8" s="5" customFormat="1" ht="11.25" customHeight="1" x14ac:dyDescent="0.2">
      <c r="A110" s="5" t="s">
        <v>3220</v>
      </c>
      <c r="C110" s="5" t="s">
        <v>3221</v>
      </c>
      <c r="D110" s="28" t="s">
        <v>1071</v>
      </c>
      <c r="E110" s="13">
        <v>121</v>
      </c>
      <c r="F110" s="113">
        <v>1.2942560701679324</v>
      </c>
      <c r="G110" s="13"/>
      <c r="H110" s="113"/>
    </row>
    <row r="111" spans="1:8" s="5" customFormat="1" ht="11.25" customHeight="1" x14ac:dyDescent="0.2">
      <c r="C111" s="5" t="s">
        <v>3223</v>
      </c>
      <c r="D111" s="28" t="s">
        <v>1315</v>
      </c>
      <c r="E111" s="13">
        <v>139</v>
      </c>
      <c r="F111" s="113">
        <v>1.4867900310193602</v>
      </c>
      <c r="G111" s="13"/>
      <c r="H111" s="113"/>
    </row>
    <row r="112" spans="1:8" s="5" customFormat="1" ht="11.25" customHeight="1" x14ac:dyDescent="0.2">
      <c r="C112" s="5" t="s">
        <v>3224</v>
      </c>
      <c r="D112" s="28" t="s">
        <v>1072</v>
      </c>
      <c r="E112" s="13">
        <v>2082</v>
      </c>
      <c r="F112" s="113">
        <v>22.269761471815166</v>
      </c>
      <c r="G112" s="13"/>
      <c r="H112" s="113"/>
    </row>
    <row r="113" spans="1:8" s="5" customFormat="1" ht="11.25" customHeight="1" x14ac:dyDescent="0.2">
      <c r="C113" s="14" t="s">
        <v>3225</v>
      </c>
      <c r="D113" s="28" t="s">
        <v>1736</v>
      </c>
      <c r="E113" s="13">
        <v>6558</v>
      </c>
      <c r="F113" s="113">
        <v>70.146539736870253</v>
      </c>
      <c r="G113" s="13"/>
      <c r="H113" s="113"/>
    </row>
    <row r="114" spans="1:8" s="5" customFormat="1" ht="11.25" customHeight="1" x14ac:dyDescent="0.2">
      <c r="C114" s="5" t="s">
        <v>3226</v>
      </c>
      <c r="D114" s="28" t="s">
        <v>655</v>
      </c>
      <c r="E114" s="13">
        <v>449</v>
      </c>
      <c r="F114" s="113">
        <v>4.8026526901272861</v>
      </c>
      <c r="G114" s="13"/>
      <c r="H114" s="113"/>
    </row>
    <row r="115" spans="1:8" s="5" customFormat="1" ht="11.25" customHeight="1" x14ac:dyDescent="0.2">
      <c r="D115" s="28"/>
      <c r="E115" s="162" t="s">
        <v>2649</v>
      </c>
      <c r="F115" s="165">
        <v>100</v>
      </c>
      <c r="G115" s="162">
        <f>'[1]15'!C$69</f>
        <v>24070</v>
      </c>
      <c r="H115" s="165">
        <v>38.957208142916492</v>
      </c>
    </row>
    <row r="116" spans="1:8" s="5" customFormat="1" ht="11.25" customHeight="1" x14ac:dyDescent="0.2">
      <c r="D116" s="28"/>
      <c r="E116" s="13"/>
      <c r="F116" s="113"/>
      <c r="G116" s="13"/>
      <c r="H116" s="113"/>
    </row>
    <row r="117" spans="1:8" s="5" customFormat="1" ht="11.25" customHeight="1" x14ac:dyDescent="0.2">
      <c r="A117" s="5" t="s">
        <v>3227</v>
      </c>
      <c r="C117" s="5" t="s">
        <v>3228</v>
      </c>
      <c r="D117" s="28" t="s">
        <v>1072</v>
      </c>
      <c r="E117" s="13">
        <v>2093</v>
      </c>
      <c r="F117" s="113">
        <v>23.346346904629115</v>
      </c>
      <c r="G117" s="13"/>
      <c r="H117" s="113"/>
    </row>
    <row r="118" spans="1:8" s="5" customFormat="1" ht="11.25" customHeight="1" x14ac:dyDescent="0.2">
      <c r="C118" s="14" t="s">
        <v>3229</v>
      </c>
      <c r="D118" s="28" t="s">
        <v>1736</v>
      </c>
      <c r="E118" s="13">
        <v>6329</v>
      </c>
      <c r="F118" s="113">
        <v>70.596765197992198</v>
      </c>
      <c r="G118" s="13"/>
      <c r="H118" s="113"/>
    </row>
    <row r="119" spans="1:8" s="5" customFormat="1" ht="11.25" customHeight="1" x14ac:dyDescent="0.2">
      <c r="C119" s="5" t="s">
        <v>3230</v>
      </c>
      <c r="D119" s="28" t="s">
        <v>655</v>
      </c>
      <c r="E119" s="13">
        <v>543</v>
      </c>
      <c r="F119" s="113">
        <v>6.0568878973786946</v>
      </c>
      <c r="G119" s="13"/>
      <c r="H119" s="113"/>
    </row>
    <row r="120" spans="1:8" s="5" customFormat="1" ht="11.25" customHeight="1" x14ac:dyDescent="0.2">
      <c r="D120" s="28"/>
      <c r="E120" s="162" t="s">
        <v>2648</v>
      </c>
      <c r="F120" s="165">
        <v>100</v>
      </c>
      <c r="G120" s="162">
        <f>'[1]16'!C$60</f>
        <v>21633</v>
      </c>
      <c r="H120" s="165">
        <v>41.584616095779595</v>
      </c>
    </row>
    <row r="121" spans="1:8" s="5" customFormat="1" ht="11.25" customHeight="1" x14ac:dyDescent="0.2">
      <c r="D121" s="28"/>
      <c r="E121" s="13"/>
      <c r="F121" s="113"/>
      <c r="G121" s="13"/>
      <c r="H121" s="113"/>
    </row>
    <row r="122" spans="1:8" s="5" customFormat="1" ht="11.25" customHeight="1" x14ac:dyDescent="0.2">
      <c r="A122" s="5" t="s">
        <v>3231</v>
      </c>
      <c r="C122" s="14" t="s">
        <v>3232</v>
      </c>
      <c r="D122" s="28" t="s">
        <v>1736</v>
      </c>
      <c r="E122" s="13">
        <v>6462</v>
      </c>
      <c r="F122" s="113">
        <v>60.341768605845544</v>
      </c>
      <c r="G122" s="13"/>
      <c r="H122" s="113"/>
    </row>
    <row r="123" spans="1:8" s="5" customFormat="1" ht="11.25" customHeight="1" x14ac:dyDescent="0.2">
      <c r="C123" s="5" t="s">
        <v>3233</v>
      </c>
      <c r="D123" s="28" t="s">
        <v>655</v>
      </c>
      <c r="E123" s="13">
        <v>1637</v>
      </c>
      <c r="F123" s="113">
        <v>15.286207862545522</v>
      </c>
      <c r="G123" s="13"/>
      <c r="H123" s="113"/>
    </row>
    <row r="124" spans="1:8" s="5" customFormat="1" ht="11.25" customHeight="1" x14ac:dyDescent="0.2">
      <c r="C124" s="5" t="s">
        <v>3234</v>
      </c>
      <c r="D124" s="28" t="s">
        <v>1072</v>
      </c>
      <c r="E124" s="13">
        <v>2610</v>
      </c>
      <c r="F124" s="113">
        <v>24.372023531608928</v>
      </c>
      <c r="G124" s="13"/>
      <c r="H124" s="113"/>
    </row>
    <row r="125" spans="1:8" s="5" customFormat="1" ht="11.25" customHeight="1" x14ac:dyDescent="0.2">
      <c r="D125" s="28"/>
      <c r="E125" s="162" t="s">
        <v>2647</v>
      </c>
      <c r="F125" s="165">
        <v>100</v>
      </c>
      <c r="G125" s="162">
        <f>'[1]17'!C$62</f>
        <v>23213</v>
      </c>
      <c r="H125" s="165">
        <v>46.215482703657436</v>
      </c>
    </row>
    <row r="126" spans="1:8" s="5" customFormat="1" ht="11.25" customHeight="1" x14ac:dyDescent="0.2">
      <c r="D126" s="28"/>
      <c r="E126" s="13"/>
      <c r="F126" s="113"/>
      <c r="G126" s="13"/>
      <c r="H126" s="113"/>
    </row>
    <row r="127" spans="1:8" s="5" customFormat="1" ht="11.25" customHeight="1" x14ac:dyDescent="0.2">
      <c r="A127" s="5" t="s">
        <v>3235</v>
      </c>
      <c r="C127" s="5" t="s">
        <v>3236</v>
      </c>
      <c r="D127" s="28" t="s">
        <v>1072</v>
      </c>
      <c r="E127" s="13">
        <v>2529</v>
      </c>
      <c r="F127" s="113">
        <v>22.920065252854812</v>
      </c>
      <c r="G127" s="13"/>
      <c r="H127" s="113"/>
    </row>
    <row r="128" spans="1:8" s="5" customFormat="1" ht="11.25" customHeight="1" x14ac:dyDescent="0.2">
      <c r="C128" s="5" t="s">
        <v>3237</v>
      </c>
      <c r="D128" s="28" t="s">
        <v>1314</v>
      </c>
      <c r="E128" s="13">
        <v>404</v>
      </c>
      <c r="F128" s="113">
        <v>3.6614101866956674</v>
      </c>
      <c r="G128" s="13"/>
      <c r="H128" s="113"/>
    </row>
    <row r="129" spans="1:8" s="5" customFormat="1" ht="11.25" customHeight="1" x14ac:dyDescent="0.2">
      <c r="C129" s="14" t="s">
        <v>3238</v>
      </c>
      <c r="D129" s="28" t="s">
        <v>1736</v>
      </c>
      <c r="E129" s="13">
        <v>7034</v>
      </c>
      <c r="F129" s="113">
        <v>63.748413993112194</v>
      </c>
      <c r="G129" s="13"/>
      <c r="H129" s="113"/>
    </row>
    <row r="130" spans="1:8" s="5" customFormat="1" ht="11.25" customHeight="1" x14ac:dyDescent="0.2">
      <c r="C130" s="5" t="s">
        <v>3239</v>
      </c>
      <c r="D130" s="28" t="s">
        <v>655</v>
      </c>
      <c r="E130" s="13">
        <v>1067</v>
      </c>
      <c r="F130" s="113">
        <v>9.6701105673373213</v>
      </c>
      <c r="G130" s="13"/>
      <c r="H130" s="113"/>
    </row>
    <row r="131" spans="1:8" s="5" customFormat="1" ht="11.25" customHeight="1" x14ac:dyDescent="0.2">
      <c r="D131" s="28"/>
      <c r="E131" s="162" t="s">
        <v>2646</v>
      </c>
      <c r="F131" s="165">
        <v>100</v>
      </c>
      <c r="G131" s="162">
        <f>'[1]18'!C$70</f>
        <v>22630</v>
      </c>
      <c r="H131" s="165">
        <v>48.873177198409188</v>
      </c>
    </row>
    <row r="132" spans="1:8" s="5" customFormat="1" ht="11.25" customHeight="1" x14ac:dyDescent="0.2">
      <c r="D132" s="28"/>
      <c r="E132" s="13"/>
      <c r="F132" s="113"/>
      <c r="G132" s="13"/>
      <c r="H132" s="113"/>
    </row>
    <row r="133" spans="1:8" s="5" customFormat="1" ht="11.25" customHeight="1" x14ac:dyDescent="0.2">
      <c r="A133" s="5" t="s">
        <v>3240</v>
      </c>
      <c r="C133" s="5" t="s">
        <v>3241</v>
      </c>
      <c r="D133" s="28" t="s">
        <v>1072</v>
      </c>
      <c r="E133" s="13">
        <v>4971</v>
      </c>
      <c r="F133" s="113">
        <v>23.239831697054701</v>
      </c>
      <c r="G133" s="13"/>
      <c r="H133" s="113"/>
    </row>
    <row r="134" spans="1:8" s="5" customFormat="1" ht="11.25" customHeight="1" x14ac:dyDescent="0.2">
      <c r="C134" s="5" t="s">
        <v>1169</v>
      </c>
      <c r="D134" s="28" t="s">
        <v>655</v>
      </c>
      <c r="E134" s="13">
        <v>828</v>
      </c>
      <c r="F134" s="113">
        <v>3.870967741935484</v>
      </c>
      <c r="G134" s="13"/>
      <c r="H134" s="113"/>
    </row>
    <row r="135" spans="1:8" s="5" customFormat="1" ht="11.25" customHeight="1" x14ac:dyDescent="0.2">
      <c r="C135" s="14" t="s">
        <v>1170</v>
      </c>
      <c r="D135" s="28" t="s">
        <v>1736</v>
      </c>
      <c r="E135" s="13">
        <v>15292</v>
      </c>
      <c r="F135" s="113">
        <v>71.49135109864423</v>
      </c>
      <c r="G135" s="13"/>
      <c r="H135" s="113"/>
    </row>
    <row r="136" spans="1:8" s="5" customFormat="1" ht="11.25" customHeight="1" x14ac:dyDescent="0.2">
      <c r="C136" s="5" t="s">
        <v>1171</v>
      </c>
      <c r="D136" s="28" t="s">
        <v>1071</v>
      </c>
      <c r="E136" s="13">
        <v>299</v>
      </c>
      <c r="F136" s="113">
        <v>1.3978494623655915</v>
      </c>
      <c r="G136" s="13"/>
      <c r="H136" s="113"/>
    </row>
    <row r="137" spans="1:8" s="5" customFormat="1" ht="11.25" customHeight="1" x14ac:dyDescent="0.2">
      <c r="D137" s="28"/>
      <c r="E137" s="162" t="s">
        <v>2645</v>
      </c>
      <c r="F137" s="165">
        <v>100</v>
      </c>
      <c r="G137" s="162">
        <f>'[1]19'!C$111</f>
        <v>38742</v>
      </c>
      <c r="H137" s="165">
        <v>55.293996179856485</v>
      </c>
    </row>
    <row r="138" spans="1:8" s="5" customFormat="1" ht="11.25" customHeight="1" x14ac:dyDescent="0.2">
      <c r="D138" s="28"/>
      <c r="E138" s="13"/>
      <c r="F138" s="113"/>
      <c r="G138" s="13"/>
      <c r="H138" s="113"/>
    </row>
    <row r="139" spans="1:8" s="5" customFormat="1" ht="11.25" customHeight="1" x14ac:dyDescent="0.2">
      <c r="A139" s="5" t="s">
        <v>1172</v>
      </c>
      <c r="C139" s="14" t="s">
        <v>1173</v>
      </c>
      <c r="D139" s="28" t="s">
        <v>1736</v>
      </c>
      <c r="E139" s="13">
        <v>11997</v>
      </c>
      <c r="F139" s="113">
        <v>74.812920927912202</v>
      </c>
      <c r="G139" s="13"/>
      <c r="H139" s="113"/>
    </row>
    <row r="140" spans="1:8" s="5" customFormat="1" ht="11.25" customHeight="1" x14ac:dyDescent="0.2">
      <c r="C140" s="5" t="s">
        <v>1174</v>
      </c>
      <c r="D140" s="28" t="s">
        <v>655</v>
      </c>
      <c r="E140" s="13">
        <v>776</v>
      </c>
      <c r="F140" s="113">
        <v>4.8391119980044897</v>
      </c>
      <c r="G140" s="13"/>
      <c r="H140" s="113"/>
    </row>
    <row r="141" spans="1:8" s="5" customFormat="1" ht="11.25" customHeight="1" x14ac:dyDescent="0.2">
      <c r="C141" s="5" t="s">
        <v>1175</v>
      </c>
      <c r="D141" s="28" t="s">
        <v>1072</v>
      </c>
      <c r="E141" s="13">
        <v>3263</v>
      </c>
      <c r="F141" s="113">
        <v>20.347967074083311</v>
      </c>
      <c r="G141" s="13"/>
      <c r="H141" s="113"/>
    </row>
    <row r="142" spans="1:8" s="5" customFormat="1" ht="11.25" customHeight="1" x14ac:dyDescent="0.2">
      <c r="D142" s="28"/>
      <c r="E142" s="162" t="s">
        <v>2644</v>
      </c>
      <c r="F142" s="165">
        <v>100</v>
      </c>
      <c r="G142" s="162">
        <f>'[1]20'!C$104</f>
        <v>33778</v>
      </c>
      <c r="H142" s="165">
        <v>47.62567351530582</v>
      </c>
    </row>
    <row r="143" spans="1:8" s="5" customFormat="1" ht="11.25" customHeight="1" x14ac:dyDescent="0.2">
      <c r="D143" s="28"/>
      <c r="E143" s="13"/>
      <c r="F143" s="113"/>
      <c r="G143" s="13"/>
      <c r="H143" s="113"/>
    </row>
    <row r="144" spans="1:8" s="5" customFormat="1" ht="11.25" customHeight="1" x14ac:dyDescent="0.2">
      <c r="A144" s="5" t="s">
        <v>1176</v>
      </c>
      <c r="C144" s="14" t="s">
        <v>1177</v>
      </c>
      <c r="D144" s="28" t="s">
        <v>1736</v>
      </c>
      <c r="E144" s="13">
        <v>20306</v>
      </c>
      <c r="F144" s="113">
        <v>80.720305294959445</v>
      </c>
      <c r="G144" s="13"/>
      <c r="H144" s="113"/>
    </row>
    <row r="145" spans="1:8" s="5" customFormat="1" ht="11.25" customHeight="1" x14ac:dyDescent="0.2">
      <c r="C145" s="5" t="s">
        <v>1178</v>
      </c>
      <c r="D145" s="28" t="s">
        <v>653</v>
      </c>
      <c r="E145" s="13">
        <v>153</v>
      </c>
      <c r="F145" s="113">
        <v>0.60820480203529981</v>
      </c>
      <c r="G145" s="13"/>
      <c r="H145" s="113"/>
    </row>
    <row r="146" spans="1:8" s="5" customFormat="1" ht="11.25" customHeight="1" x14ac:dyDescent="0.2">
      <c r="C146" s="5" t="s">
        <v>1179</v>
      </c>
      <c r="D146" s="28" t="s">
        <v>655</v>
      </c>
      <c r="E146" s="13">
        <v>729</v>
      </c>
      <c r="F146" s="113">
        <v>2.8979169979328989</v>
      </c>
      <c r="G146" s="13"/>
      <c r="H146" s="113"/>
    </row>
    <row r="147" spans="1:8" s="5" customFormat="1" ht="11.25" customHeight="1" x14ac:dyDescent="0.2">
      <c r="C147" s="5" t="s">
        <v>1180</v>
      </c>
      <c r="D147" s="28" t="s">
        <v>1072</v>
      </c>
      <c r="E147" s="13">
        <v>3595</v>
      </c>
      <c r="F147" s="113">
        <v>14.290825250437273</v>
      </c>
      <c r="G147" s="13"/>
      <c r="H147" s="113"/>
    </row>
    <row r="148" spans="1:8" s="5" customFormat="1" ht="11.25" customHeight="1" x14ac:dyDescent="0.2">
      <c r="C148" s="5" t="s">
        <v>1181</v>
      </c>
      <c r="D148" s="28" t="s">
        <v>653</v>
      </c>
      <c r="E148" s="13">
        <v>151</v>
      </c>
      <c r="F148" s="113">
        <v>0.60025441246621081</v>
      </c>
      <c r="G148" s="13"/>
      <c r="H148" s="113"/>
    </row>
    <row r="149" spans="1:8" s="5" customFormat="1" ht="11.25" customHeight="1" x14ac:dyDescent="0.2">
      <c r="C149" s="5" t="s">
        <v>1182</v>
      </c>
      <c r="D149" s="28" t="s">
        <v>1315</v>
      </c>
      <c r="E149" s="13">
        <v>222</v>
      </c>
      <c r="F149" s="113">
        <v>0.88249324216886615</v>
      </c>
      <c r="G149" s="13"/>
      <c r="H149" s="113"/>
    </row>
    <row r="150" spans="1:8" s="5" customFormat="1" ht="11.25" customHeight="1" x14ac:dyDescent="0.2">
      <c r="D150" s="28"/>
      <c r="E150" s="162" t="s">
        <v>2643</v>
      </c>
      <c r="F150" s="165">
        <v>100</v>
      </c>
      <c r="G150" s="162">
        <f>'[1]21'!C$135</f>
        <v>49366</v>
      </c>
      <c r="H150" s="165">
        <v>51.03107401855528</v>
      </c>
    </row>
    <row r="151" spans="1:8" s="5" customFormat="1" ht="11.25" customHeight="1" x14ac:dyDescent="0.2">
      <c r="D151" s="28"/>
      <c r="E151" s="13"/>
      <c r="F151" s="113"/>
      <c r="G151" s="13"/>
      <c r="H151" s="113"/>
    </row>
    <row r="152" spans="1:8" s="5" customFormat="1" ht="11.25" customHeight="1" x14ac:dyDescent="0.2">
      <c r="A152" s="5" t="s">
        <v>1183</v>
      </c>
      <c r="C152" s="5" t="s">
        <v>1184</v>
      </c>
      <c r="D152" s="28" t="s">
        <v>1314</v>
      </c>
      <c r="E152" s="13">
        <v>334</v>
      </c>
      <c r="F152" s="113">
        <v>2.4283844699723716</v>
      </c>
      <c r="G152" s="13"/>
      <c r="H152" s="113"/>
    </row>
    <row r="153" spans="1:8" s="5" customFormat="1" ht="11.25" customHeight="1" x14ac:dyDescent="0.2">
      <c r="C153" s="5" t="s">
        <v>1185</v>
      </c>
      <c r="D153" s="28" t="s">
        <v>1072</v>
      </c>
      <c r="E153" s="13">
        <v>3938</v>
      </c>
      <c r="F153" s="113">
        <v>28.631670786680242</v>
      </c>
      <c r="G153" s="13"/>
      <c r="H153" s="113"/>
    </row>
    <row r="154" spans="1:8" s="5" customFormat="1" ht="11.25" customHeight="1" x14ac:dyDescent="0.2">
      <c r="C154" s="5" t="s">
        <v>1186</v>
      </c>
      <c r="D154" s="28" t="s">
        <v>655</v>
      </c>
      <c r="E154" s="13">
        <v>1309</v>
      </c>
      <c r="F154" s="113">
        <v>9.5172313508797437</v>
      </c>
      <c r="G154" s="13"/>
      <c r="H154" s="113"/>
    </row>
    <row r="155" spans="1:8" s="5" customFormat="1" ht="11.25" customHeight="1" x14ac:dyDescent="0.2">
      <c r="C155" s="14" t="s">
        <v>1187</v>
      </c>
      <c r="D155" s="28" t="s">
        <v>1736</v>
      </c>
      <c r="E155" s="13">
        <v>8173</v>
      </c>
      <c r="F155" s="113">
        <v>59.422713392467642</v>
      </c>
      <c r="G155" s="13"/>
      <c r="H155" s="113"/>
    </row>
    <row r="156" spans="1:8" s="5" customFormat="1" ht="11.25" customHeight="1" x14ac:dyDescent="0.2">
      <c r="D156" s="28"/>
      <c r="E156" s="162" t="s">
        <v>2642</v>
      </c>
      <c r="F156" s="165">
        <v>100</v>
      </c>
      <c r="G156" s="162">
        <f>'[1]22'!C$73</f>
        <v>23260</v>
      </c>
      <c r="H156" s="165">
        <v>59.41530524505589</v>
      </c>
    </row>
    <row r="157" spans="1:8" s="5" customFormat="1" ht="11.25" customHeight="1" x14ac:dyDescent="0.2">
      <c r="D157" s="28"/>
      <c r="E157" s="13"/>
      <c r="F157" s="113"/>
      <c r="G157" s="13"/>
      <c r="H157" s="113"/>
    </row>
    <row r="158" spans="1:8" s="5" customFormat="1" ht="11.25" customHeight="1" x14ac:dyDescent="0.2">
      <c r="A158" s="5" t="s">
        <v>1188</v>
      </c>
      <c r="C158" s="5" t="s">
        <v>1189</v>
      </c>
      <c r="D158" s="28" t="s">
        <v>655</v>
      </c>
      <c r="E158" s="13">
        <v>1263</v>
      </c>
      <c r="F158" s="113">
        <v>7.1810325221742088</v>
      </c>
      <c r="G158" s="13"/>
      <c r="H158" s="113"/>
    </row>
    <row r="159" spans="1:8" s="5" customFormat="1" ht="11.25" customHeight="1" x14ac:dyDescent="0.2">
      <c r="C159" s="14" t="s">
        <v>1190</v>
      </c>
      <c r="D159" s="28" t="s">
        <v>1736</v>
      </c>
      <c r="E159" s="13">
        <v>12866</v>
      </c>
      <c r="F159" s="113">
        <v>73.152149192631342</v>
      </c>
      <c r="G159" s="13"/>
      <c r="H159" s="113"/>
    </row>
    <row r="160" spans="1:8" s="5" customFormat="1" ht="11.25" customHeight="1" x14ac:dyDescent="0.2">
      <c r="C160" s="5" t="s">
        <v>1191</v>
      </c>
      <c r="D160" s="28" t="s">
        <v>1072</v>
      </c>
      <c r="E160" s="13">
        <v>3459</v>
      </c>
      <c r="F160" s="113">
        <v>19.666818285194452</v>
      </c>
      <c r="G160" s="13"/>
      <c r="H160" s="113"/>
    </row>
    <row r="161" spans="1:8" s="5" customFormat="1" ht="11.25" customHeight="1" x14ac:dyDescent="0.2">
      <c r="D161" s="28"/>
      <c r="E161" s="162" t="s">
        <v>2641</v>
      </c>
      <c r="F161" s="165">
        <v>100</v>
      </c>
      <c r="G161" s="162">
        <f>'[1]23'!C$109</f>
        <v>32302</v>
      </c>
      <c r="H161" s="165">
        <v>54.625100612965142</v>
      </c>
    </row>
    <row r="162" spans="1:8" s="5" customFormat="1" ht="11.25" customHeight="1" x14ac:dyDescent="0.2">
      <c r="D162" s="28"/>
      <c r="E162" s="13"/>
      <c r="F162" s="113"/>
      <c r="G162" s="13"/>
      <c r="H162" s="113"/>
    </row>
    <row r="163" spans="1:8" s="5" customFormat="1" ht="11.25" customHeight="1" x14ac:dyDescent="0.2">
      <c r="A163" s="5" t="s">
        <v>1023</v>
      </c>
      <c r="C163" s="5" t="s">
        <v>1024</v>
      </c>
      <c r="D163" s="28" t="s">
        <v>1072</v>
      </c>
      <c r="E163" s="13">
        <v>1747</v>
      </c>
      <c r="F163" s="113">
        <v>17.826530612244898</v>
      </c>
      <c r="G163" s="13"/>
      <c r="H163" s="113"/>
    </row>
    <row r="164" spans="1:8" s="5" customFormat="1" ht="11.25" customHeight="1" x14ac:dyDescent="0.2">
      <c r="C164" s="14" t="s">
        <v>1025</v>
      </c>
      <c r="D164" s="28" t="s">
        <v>1736</v>
      </c>
      <c r="E164" s="13">
        <v>5256</v>
      </c>
      <c r="F164" s="113">
        <v>53.632653061224488</v>
      </c>
      <c r="G164" s="13"/>
      <c r="H164" s="113"/>
    </row>
    <row r="165" spans="1:8" s="5" customFormat="1" ht="11.25" customHeight="1" x14ac:dyDescent="0.2">
      <c r="C165" s="5" t="s">
        <v>1329</v>
      </c>
      <c r="D165" s="28" t="s">
        <v>1315</v>
      </c>
      <c r="E165" s="13">
        <v>2557</v>
      </c>
      <c r="F165" s="113">
        <v>26.091836734693878</v>
      </c>
      <c r="G165" s="13"/>
      <c r="H165" s="113"/>
    </row>
    <row r="166" spans="1:8" s="5" customFormat="1" ht="11.25" customHeight="1" x14ac:dyDescent="0.2">
      <c r="C166" s="5" t="s">
        <v>1330</v>
      </c>
      <c r="D166" s="28" t="s">
        <v>655</v>
      </c>
      <c r="E166" s="13">
        <v>240</v>
      </c>
      <c r="F166" s="113">
        <v>2.4489795918367347</v>
      </c>
      <c r="G166" s="13"/>
      <c r="H166" s="113"/>
    </row>
    <row r="167" spans="1:8" s="5" customFormat="1" ht="11.25" customHeight="1" x14ac:dyDescent="0.2">
      <c r="D167" s="28"/>
      <c r="E167" s="162" t="s">
        <v>2617</v>
      </c>
      <c r="F167" s="165">
        <v>100</v>
      </c>
      <c r="G167" s="162">
        <f>'[1]47'!C$63</f>
        <v>18470</v>
      </c>
      <c r="H167" s="165">
        <v>53.107742284786141</v>
      </c>
    </row>
    <row r="168" spans="1:8" s="5" customFormat="1" ht="11.25" customHeight="1" x14ac:dyDescent="0.2">
      <c r="D168" s="28"/>
      <c r="E168" s="13"/>
      <c r="F168" s="113"/>
      <c r="G168" s="13"/>
      <c r="H168" s="113"/>
    </row>
    <row r="169" spans="1:8" s="5" customFormat="1" ht="11.25" customHeight="1" x14ac:dyDescent="0.2">
      <c r="A169" s="5" t="s">
        <v>1331</v>
      </c>
      <c r="C169" s="5" t="s">
        <v>1332</v>
      </c>
      <c r="D169" s="28" t="s">
        <v>1072</v>
      </c>
      <c r="E169" s="13">
        <v>4606</v>
      </c>
      <c r="F169" s="113">
        <v>29.866424588250553</v>
      </c>
      <c r="G169" s="13"/>
      <c r="H169" s="113"/>
    </row>
    <row r="170" spans="1:8" s="5" customFormat="1" ht="11.25" customHeight="1" x14ac:dyDescent="0.2">
      <c r="C170" s="14" t="s">
        <v>1333</v>
      </c>
      <c r="D170" s="28" t="s">
        <v>1736</v>
      </c>
      <c r="E170" s="13">
        <v>9674</v>
      </c>
      <c r="F170" s="113">
        <v>62.728569575930493</v>
      </c>
      <c r="G170" s="13"/>
      <c r="H170" s="113"/>
    </row>
    <row r="171" spans="1:8" s="5" customFormat="1" ht="11.25" customHeight="1" x14ac:dyDescent="0.2">
      <c r="C171" s="5" t="s">
        <v>1334</v>
      </c>
      <c r="D171" s="28" t="s">
        <v>655</v>
      </c>
      <c r="E171" s="13">
        <v>1142</v>
      </c>
      <c r="F171" s="113">
        <v>7.4050058358189608</v>
      </c>
      <c r="G171" s="13"/>
      <c r="H171" s="113"/>
    </row>
    <row r="172" spans="1:8" s="5" customFormat="1" ht="11.25" customHeight="1" x14ac:dyDescent="0.2">
      <c r="D172" s="28"/>
      <c r="E172" s="162" t="s">
        <v>2616</v>
      </c>
      <c r="F172" s="165">
        <v>100</v>
      </c>
      <c r="G172" s="162">
        <f>'[1]48'!C$72</f>
        <v>25620</v>
      </c>
      <c r="H172" s="165">
        <v>60.323965651834499</v>
      </c>
    </row>
    <row r="173" spans="1:8" s="5" customFormat="1" ht="11.25" customHeight="1" x14ac:dyDescent="0.2">
      <c r="D173" s="28"/>
      <c r="E173" s="13"/>
      <c r="F173" s="113"/>
      <c r="G173" s="13"/>
      <c r="H173" s="113"/>
    </row>
    <row r="174" spans="1:8" s="5" customFormat="1" ht="11.25" customHeight="1" x14ac:dyDescent="0.2">
      <c r="A174" s="5" t="s">
        <v>1335</v>
      </c>
      <c r="C174" s="5" t="s">
        <v>1336</v>
      </c>
      <c r="D174" s="28" t="s">
        <v>655</v>
      </c>
      <c r="E174" s="13">
        <v>598</v>
      </c>
      <c r="F174" s="113">
        <v>6.0440671113806346</v>
      </c>
      <c r="G174" s="13"/>
      <c r="H174" s="113"/>
    </row>
    <row r="175" spans="1:8" s="5" customFormat="1" ht="11.25" customHeight="1" x14ac:dyDescent="0.2">
      <c r="C175" s="5" t="s">
        <v>1337</v>
      </c>
      <c r="D175" s="28" t="s">
        <v>1072</v>
      </c>
      <c r="E175" s="13">
        <v>2074</v>
      </c>
      <c r="F175" s="113">
        <v>20.962199312714777</v>
      </c>
      <c r="G175" s="13"/>
      <c r="H175" s="113"/>
    </row>
    <row r="176" spans="1:8" s="5" customFormat="1" ht="11.25" customHeight="1" x14ac:dyDescent="0.2">
      <c r="C176" s="14" t="s">
        <v>1338</v>
      </c>
      <c r="D176" s="28" t="s">
        <v>1736</v>
      </c>
      <c r="E176" s="13">
        <v>7222</v>
      </c>
      <c r="F176" s="113">
        <v>72.993733575904585</v>
      </c>
      <c r="G176" s="13"/>
      <c r="H176" s="113"/>
    </row>
    <row r="177" spans="1:8" s="5" customFormat="1" ht="11.25" customHeight="1" x14ac:dyDescent="0.2">
      <c r="D177" s="28"/>
      <c r="E177" s="162" t="s">
        <v>2615</v>
      </c>
      <c r="F177" s="165">
        <v>100</v>
      </c>
      <c r="G177" s="162">
        <f>'[1]49'!C$64</f>
        <v>19878</v>
      </c>
      <c r="H177" s="165">
        <v>49.964785189656908</v>
      </c>
    </row>
    <row r="178" spans="1:8" s="5" customFormat="1" ht="11.25" customHeight="1" x14ac:dyDescent="0.2">
      <c r="D178" s="28"/>
      <c r="E178" s="13"/>
      <c r="F178" s="113"/>
      <c r="G178" s="13"/>
      <c r="H178" s="113"/>
    </row>
    <row r="179" spans="1:8" s="5" customFormat="1" ht="11.25" customHeight="1" x14ac:dyDescent="0.2">
      <c r="A179" s="5" t="s">
        <v>1339</v>
      </c>
      <c r="C179" s="14" t="s">
        <v>1340</v>
      </c>
      <c r="D179" s="28" t="s">
        <v>1736</v>
      </c>
      <c r="E179" s="13">
        <v>7673</v>
      </c>
      <c r="F179" s="113">
        <v>68.392904893484257</v>
      </c>
      <c r="G179" s="13"/>
      <c r="H179" s="113"/>
    </row>
    <row r="180" spans="1:8" s="5" customFormat="1" ht="11.25" customHeight="1" x14ac:dyDescent="0.2">
      <c r="C180" s="5" t="s">
        <v>1341</v>
      </c>
      <c r="D180" s="28" t="s">
        <v>1072</v>
      </c>
      <c r="E180" s="13">
        <v>2229</v>
      </c>
      <c r="F180" s="113">
        <v>19.868080934129601</v>
      </c>
      <c r="G180" s="13"/>
      <c r="H180" s="113"/>
    </row>
    <row r="181" spans="1:8" s="5" customFormat="1" ht="11.25" customHeight="1" x14ac:dyDescent="0.2">
      <c r="C181" s="5" t="s">
        <v>1342</v>
      </c>
      <c r="D181" s="28" t="s">
        <v>655</v>
      </c>
      <c r="E181" s="13">
        <v>588</v>
      </c>
      <c r="F181" s="113">
        <v>5.241108833229343</v>
      </c>
      <c r="G181" s="13"/>
      <c r="H181" s="113"/>
    </row>
    <row r="182" spans="1:8" s="5" customFormat="1" ht="11.25" customHeight="1" x14ac:dyDescent="0.2">
      <c r="C182" s="5" t="s">
        <v>1343</v>
      </c>
      <c r="D182" s="28" t="s">
        <v>653</v>
      </c>
      <c r="E182" s="13">
        <v>729</v>
      </c>
      <c r="F182" s="113">
        <v>6.4979053391567874</v>
      </c>
      <c r="G182" s="13"/>
      <c r="H182" s="113"/>
    </row>
    <row r="183" spans="1:8" s="5" customFormat="1" ht="11.25" customHeight="1" x14ac:dyDescent="0.2">
      <c r="D183" s="28"/>
      <c r="E183" s="162" t="s">
        <v>2614</v>
      </c>
      <c r="F183" s="165">
        <v>100</v>
      </c>
      <c r="G183" s="162">
        <f>'[1]50'!C$64</f>
        <v>18416</v>
      </c>
      <c r="H183" s="165">
        <v>61.012163336229364</v>
      </c>
    </row>
    <row r="184" spans="1:8" s="5" customFormat="1" ht="11.25" customHeight="1" x14ac:dyDescent="0.2">
      <c r="D184" s="28"/>
      <c r="E184" s="13"/>
      <c r="F184" s="113"/>
      <c r="G184" s="13"/>
      <c r="H184" s="113"/>
    </row>
    <row r="185" spans="1:8" s="5" customFormat="1" ht="11.25" customHeight="1" x14ac:dyDescent="0.2">
      <c r="A185" s="5" t="s">
        <v>1344</v>
      </c>
      <c r="C185" s="5" t="s">
        <v>1345</v>
      </c>
      <c r="D185" s="28" t="s">
        <v>655</v>
      </c>
      <c r="E185" s="13">
        <v>546</v>
      </c>
      <c r="F185" s="113">
        <v>5.9646056368800524</v>
      </c>
      <c r="G185" s="13"/>
      <c r="H185" s="113"/>
    </row>
    <row r="186" spans="1:8" s="5" customFormat="1" ht="11.25" customHeight="1" x14ac:dyDescent="0.2">
      <c r="C186" s="14" t="s">
        <v>1346</v>
      </c>
      <c r="D186" s="28" t="s">
        <v>1736</v>
      </c>
      <c r="E186" s="13">
        <v>6684</v>
      </c>
      <c r="F186" s="113">
        <v>73.017260214114046</v>
      </c>
      <c r="G186" s="13"/>
      <c r="H186" s="113"/>
    </row>
    <row r="187" spans="1:8" s="5" customFormat="1" ht="11.25" customHeight="1" x14ac:dyDescent="0.2">
      <c r="C187" s="5" t="s">
        <v>1347</v>
      </c>
      <c r="D187" s="28" t="s">
        <v>1072</v>
      </c>
      <c r="E187" s="13">
        <v>921</v>
      </c>
      <c r="F187" s="113">
        <v>10.061175442429539</v>
      </c>
      <c r="G187" s="13"/>
      <c r="H187" s="113"/>
    </row>
    <row r="188" spans="1:8" s="5" customFormat="1" ht="11.25" customHeight="1" x14ac:dyDescent="0.2">
      <c r="C188" s="5" t="s">
        <v>1348</v>
      </c>
      <c r="D188" s="28" t="s">
        <v>1071</v>
      </c>
      <c r="E188" s="13">
        <v>184</v>
      </c>
      <c r="F188" s="113">
        <v>2.0100502512562812</v>
      </c>
      <c r="G188" s="13"/>
      <c r="H188" s="113"/>
    </row>
    <row r="189" spans="1:8" s="5" customFormat="1" ht="11.25" customHeight="1" x14ac:dyDescent="0.2">
      <c r="C189" s="5" t="s">
        <v>1349</v>
      </c>
      <c r="D189" s="28" t="s">
        <v>653</v>
      </c>
      <c r="E189" s="13">
        <v>819</v>
      </c>
      <c r="F189" s="113">
        <v>8.9469084553200773</v>
      </c>
      <c r="G189" s="13"/>
      <c r="H189" s="113"/>
    </row>
    <row r="190" spans="1:8" s="5" customFormat="1" ht="11.25" customHeight="1" x14ac:dyDescent="0.2">
      <c r="D190" s="28"/>
      <c r="E190" s="162" t="s">
        <v>2613</v>
      </c>
      <c r="F190" s="165">
        <v>100</v>
      </c>
      <c r="G190" s="162">
        <f>'[1]51'!C$57</f>
        <v>16066</v>
      </c>
      <c r="H190" s="165">
        <v>57.170422009211997</v>
      </c>
    </row>
    <row r="191" spans="1:8" s="5" customFormat="1" ht="11.25" customHeight="1" x14ac:dyDescent="0.2">
      <c r="D191" s="28"/>
      <c r="E191" s="13"/>
      <c r="F191" s="113"/>
      <c r="G191" s="13"/>
      <c r="H191" s="113"/>
    </row>
    <row r="192" spans="1:8" s="5" customFormat="1" ht="11.25" customHeight="1" x14ac:dyDescent="0.2">
      <c r="A192" s="5" t="s">
        <v>1350</v>
      </c>
      <c r="C192" s="5" t="s">
        <v>1351</v>
      </c>
      <c r="D192" s="28" t="s">
        <v>653</v>
      </c>
      <c r="E192" s="13">
        <v>208</v>
      </c>
      <c r="F192" s="113">
        <v>2.3883339074520613</v>
      </c>
      <c r="G192" s="13"/>
      <c r="H192" s="113"/>
    </row>
    <row r="193" spans="1:8" s="5" customFormat="1" ht="11.25" customHeight="1" x14ac:dyDescent="0.2">
      <c r="C193" s="14" t="s">
        <v>1352</v>
      </c>
      <c r="D193" s="28" t="s">
        <v>1736</v>
      </c>
      <c r="E193" s="13">
        <v>5857</v>
      </c>
      <c r="F193" s="113">
        <v>67.252267768974633</v>
      </c>
      <c r="G193" s="13"/>
      <c r="H193" s="113"/>
    </row>
    <row r="194" spans="1:8" s="5" customFormat="1" ht="11.25" customHeight="1" x14ac:dyDescent="0.2">
      <c r="C194" s="5" t="s">
        <v>1353</v>
      </c>
      <c r="D194" s="28" t="s">
        <v>653</v>
      </c>
      <c r="E194" s="13">
        <v>248</v>
      </c>
      <c r="F194" s="113">
        <v>2.8476288896543807</v>
      </c>
      <c r="G194" s="13"/>
      <c r="H194" s="113"/>
    </row>
    <row r="195" spans="1:8" s="5" customFormat="1" ht="11.25" customHeight="1" x14ac:dyDescent="0.2">
      <c r="C195" s="5" t="s">
        <v>1354</v>
      </c>
      <c r="D195" s="28" t="s">
        <v>1072</v>
      </c>
      <c r="E195" s="13">
        <v>1888</v>
      </c>
      <c r="F195" s="113">
        <v>21.678723159949477</v>
      </c>
      <c r="G195" s="13"/>
      <c r="H195" s="113"/>
    </row>
    <row r="196" spans="1:8" s="5" customFormat="1" ht="11.25" customHeight="1" x14ac:dyDescent="0.2">
      <c r="C196" s="5" t="s">
        <v>1355</v>
      </c>
      <c r="D196" s="28" t="s">
        <v>655</v>
      </c>
      <c r="E196" s="13">
        <v>508</v>
      </c>
      <c r="F196" s="113">
        <v>5.8330462739694573</v>
      </c>
      <c r="G196" s="13"/>
      <c r="H196" s="113"/>
    </row>
    <row r="197" spans="1:8" s="5" customFormat="1" ht="11.25" customHeight="1" x14ac:dyDescent="0.2">
      <c r="D197" s="28"/>
      <c r="E197" s="162" t="s">
        <v>2612</v>
      </c>
      <c r="F197" s="165">
        <v>100</v>
      </c>
      <c r="G197" s="162">
        <f>'[1]52'!C$60</f>
        <v>15907</v>
      </c>
      <c r="H197" s="165">
        <v>54.938077575909972</v>
      </c>
    </row>
    <row r="198" spans="1:8" s="5" customFormat="1" ht="11.25" customHeight="1" x14ac:dyDescent="0.2">
      <c r="D198" s="28"/>
      <c r="E198" s="13"/>
      <c r="F198" s="113"/>
      <c r="G198" s="13"/>
      <c r="H198" s="113"/>
    </row>
    <row r="199" spans="1:8" s="5" customFormat="1" ht="11.25" customHeight="1" x14ac:dyDescent="0.2">
      <c r="A199" s="5" t="s">
        <v>1192</v>
      </c>
      <c r="C199" s="5" t="s">
        <v>1193</v>
      </c>
      <c r="D199" s="28" t="s">
        <v>655</v>
      </c>
      <c r="E199" s="13">
        <v>1985</v>
      </c>
      <c r="F199" s="113">
        <v>19.14914142388578</v>
      </c>
      <c r="G199" s="13"/>
      <c r="H199" s="113"/>
    </row>
    <row r="200" spans="1:8" s="5" customFormat="1" ht="11.25" customHeight="1" x14ac:dyDescent="0.2">
      <c r="C200" s="5" t="s">
        <v>464</v>
      </c>
      <c r="D200" s="28" t="s">
        <v>653</v>
      </c>
      <c r="E200" s="13">
        <v>56</v>
      </c>
      <c r="F200" s="113">
        <v>0.54022766737410766</v>
      </c>
      <c r="G200" s="13"/>
      <c r="H200" s="113"/>
    </row>
    <row r="201" spans="1:8" s="5" customFormat="1" ht="11.25" customHeight="1" x14ac:dyDescent="0.2">
      <c r="C201" s="5" t="s">
        <v>465</v>
      </c>
      <c r="D201" s="28" t="s">
        <v>1072</v>
      </c>
      <c r="E201" s="13">
        <v>3290</v>
      </c>
      <c r="F201" s="113">
        <v>31.738375458228823</v>
      </c>
      <c r="G201" s="13"/>
      <c r="H201" s="113"/>
    </row>
    <row r="202" spans="1:8" s="5" customFormat="1" ht="11.25" customHeight="1" x14ac:dyDescent="0.2">
      <c r="C202" s="5" t="s">
        <v>466</v>
      </c>
      <c r="D202" s="28" t="s">
        <v>653</v>
      </c>
      <c r="E202" s="13">
        <v>211</v>
      </c>
      <c r="F202" s="113">
        <v>2.0355006752845841</v>
      </c>
      <c r="G202" s="13"/>
      <c r="H202" s="113"/>
    </row>
    <row r="203" spans="1:8" s="5" customFormat="1" ht="11.25" customHeight="1" x14ac:dyDescent="0.2">
      <c r="C203" s="14" t="s">
        <v>467</v>
      </c>
      <c r="D203" s="28" t="s">
        <v>1736</v>
      </c>
      <c r="E203" s="13">
        <v>4732</v>
      </c>
      <c r="F203" s="113">
        <v>45.649237893112101</v>
      </c>
      <c r="G203" s="13"/>
      <c r="H203" s="113"/>
    </row>
    <row r="204" spans="1:8" s="5" customFormat="1" ht="11.25" customHeight="1" x14ac:dyDescent="0.2">
      <c r="C204" s="5" t="s">
        <v>468</v>
      </c>
      <c r="D204" s="28" t="s">
        <v>1315</v>
      </c>
      <c r="E204" s="13">
        <v>92</v>
      </c>
      <c r="F204" s="113">
        <v>0.88751688211460544</v>
      </c>
      <c r="G204" s="13"/>
      <c r="H204" s="113"/>
    </row>
    <row r="205" spans="1:8" s="5" customFormat="1" ht="11.25" customHeight="1" x14ac:dyDescent="0.2">
      <c r="D205" s="28"/>
      <c r="E205" s="162" t="s">
        <v>2640</v>
      </c>
      <c r="F205" s="165">
        <v>100</v>
      </c>
      <c r="G205" s="162">
        <f>'[1]24'!C$62</f>
        <v>21290</v>
      </c>
      <c r="H205" s="165">
        <v>48.727101925786755</v>
      </c>
    </row>
    <row r="206" spans="1:8" s="5" customFormat="1" ht="11.25" customHeight="1" x14ac:dyDescent="0.2">
      <c r="D206" s="28"/>
      <c r="E206" s="13"/>
      <c r="F206" s="113"/>
      <c r="G206" s="13"/>
      <c r="H206" s="113"/>
    </row>
    <row r="207" spans="1:8" s="5" customFormat="1" ht="11.25" customHeight="1" x14ac:dyDescent="0.2">
      <c r="A207" s="5" t="s">
        <v>469</v>
      </c>
      <c r="C207" s="5" t="s">
        <v>470</v>
      </c>
      <c r="D207" s="28" t="s">
        <v>655</v>
      </c>
      <c r="E207" s="13">
        <v>2432</v>
      </c>
      <c r="F207" s="113">
        <v>19.911576878991323</v>
      </c>
      <c r="G207" s="13"/>
      <c r="H207" s="113"/>
    </row>
    <row r="208" spans="1:8" s="5" customFormat="1" ht="11.25" customHeight="1" x14ac:dyDescent="0.2">
      <c r="C208" s="14" t="s">
        <v>471</v>
      </c>
      <c r="D208" s="28" t="s">
        <v>1736</v>
      </c>
      <c r="E208" s="13">
        <v>5128</v>
      </c>
      <c r="F208" s="113">
        <v>41.984607827083678</v>
      </c>
      <c r="G208" s="13"/>
      <c r="H208" s="113"/>
    </row>
    <row r="209" spans="1:8" s="5" customFormat="1" ht="11.25" customHeight="1" x14ac:dyDescent="0.2">
      <c r="C209" s="5" t="s">
        <v>472</v>
      </c>
      <c r="D209" s="28" t="s">
        <v>1072</v>
      </c>
      <c r="E209" s="13">
        <v>4654</v>
      </c>
      <c r="F209" s="113">
        <v>38.103815293925003</v>
      </c>
      <c r="G209" s="13"/>
      <c r="H209" s="113"/>
    </row>
    <row r="210" spans="1:8" s="5" customFormat="1" ht="11.25" customHeight="1" x14ac:dyDescent="0.2">
      <c r="D210" s="28"/>
      <c r="E210" s="162" t="s">
        <v>2639</v>
      </c>
      <c r="F210" s="165">
        <v>100</v>
      </c>
      <c r="G210" s="162">
        <f>'[1]25'!C$69</f>
        <v>23671</v>
      </c>
      <c r="H210" s="165">
        <v>51.700392885809642</v>
      </c>
    </row>
    <row r="211" spans="1:8" s="5" customFormat="1" ht="11.25" customHeight="1" x14ac:dyDescent="0.2">
      <c r="D211" s="28"/>
      <c r="E211" s="13"/>
      <c r="F211" s="113"/>
      <c r="G211" s="13"/>
      <c r="H211" s="113"/>
    </row>
    <row r="212" spans="1:8" s="5" customFormat="1" ht="11.25" customHeight="1" x14ac:dyDescent="0.2">
      <c r="A212" s="5" t="s">
        <v>473</v>
      </c>
      <c r="C212" s="5" t="s">
        <v>474</v>
      </c>
      <c r="D212" s="28" t="s">
        <v>655</v>
      </c>
      <c r="E212" s="13">
        <v>1235</v>
      </c>
      <c r="F212" s="113">
        <v>10.569105691056912</v>
      </c>
      <c r="G212" s="13"/>
      <c r="H212" s="113"/>
    </row>
    <row r="213" spans="1:8" s="5" customFormat="1" ht="11.25" customHeight="1" x14ac:dyDescent="0.2">
      <c r="C213" s="14" t="s">
        <v>475</v>
      </c>
      <c r="D213" s="28" t="s">
        <v>1736</v>
      </c>
      <c r="E213" s="13">
        <v>5971</v>
      </c>
      <c r="F213" s="113">
        <v>51.099700470688916</v>
      </c>
      <c r="G213" s="13"/>
      <c r="H213" s="113"/>
    </row>
    <row r="214" spans="1:8" s="5" customFormat="1" ht="11.25" customHeight="1" x14ac:dyDescent="0.2">
      <c r="C214" s="5" t="s">
        <v>476</v>
      </c>
      <c r="D214" s="28" t="s">
        <v>1072</v>
      </c>
      <c r="E214" s="13">
        <v>4479</v>
      </c>
      <c r="F214" s="113">
        <v>38.331193838254173</v>
      </c>
      <c r="G214" s="13"/>
      <c r="H214" s="113"/>
    </row>
    <row r="215" spans="1:8" s="5" customFormat="1" ht="11.25" customHeight="1" x14ac:dyDescent="0.2">
      <c r="D215" s="28"/>
      <c r="E215" s="162" t="s">
        <v>2638</v>
      </c>
      <c r="F215" s="165">
        <v>100</v>
      </c>
      <c r="G215" s="162">
        <f>'[1]26'!C$68</f>
        <v>24921</v>
      </c>
      <c r="H215" s="165">
        <v>46.948356807511736</v>
      </c>
    </row>
    <row r="216" spans="1:8" s="5" customFormat="1" ht="11.25" customHeight="1" x14ac:dyDescent="0.2">
      <c r="D216" s="28"/>
      <c r="E216" s="13"/>
      <c r="F216" s="113"/>
      <c r="G216" s="13"/>
      <c r="H216" s="113"/>
    </row>
    <row r="217" spans="1:8" s="5" customFormat="1" ht="11.25" customHeight="1" x14ac:dyDescent="0.2">
      <c r="A217" s="5" t="s">
        <v>477</v>
      </c>
      <c r="C217" s="14" t="s">
        <v>478</v>
      </c>
      <c r="D217" s="28" t="s">
        <v>1072</v>
      </c>
      <c r="E217" s="13">
        <v>5095</v>
      </c>
      <c r="F217" s="113">
        <v>44.013476157567382</v>
      </c>
      <c r="G217" s="13"/>
      <c r="H217" s="113"/>
    </row>
    <row r="218" spans="1:8" s="5" customFormat="1" ht="11.25" customHeight="1" x14ac:dyDescent="0.2">
      <c r="C218" s="5" t="s">
        <v>479</v>
      </c>
      <c r="D218" s="28" t="s">
        <v>655</v>
      </c>
      <c r="E218" s="13">
        <v>1959</v>
      </c>
      <c r="F218" s="113">
        <v>16.92294402211472</v>
      </c>
      <c r="G218" s="13"/>
      <c r="H218" s="113"/>
    </row>
    <row r="219" spans="1:8" s="5" customFormat="1" ht="11.25" customHeight="1" x14ac:dyDescent="0.2">
      <c r="C219" s="5" t="s">
        <v>480</v>
      </c>
      <c r="D219" s="28" t="s">
        <v>486</v>
      </c>
      <c r="E219" s="13">
        <v>76</v>
      </c>
      <c r="F219" s="113">
        <v>0.65653075328265376</v>
      </c>
      <c r="G219" s="13"/>
      <c r="H219" s="113"/>
    </row>
    <row r="220" spans="1:8" s="5" customFormat="1" ht="11.25" customHeight="1" x14ac:dyDescent="0.2">
      <c r="C220" s="5" t="s">
        <v>1087</v>
      </c>
      <c r="D220" s="28" t="s">
        <v>1736</v>
      </c>
      <c r="E220" s="13">
        <v>4446</v>
      </c>
      <c r="F220" s="113">
        <v>38.407049067035246</v>
      </c>
      <c r="G220" s="13"/>
      <c r="H220" s="113"/>
    </row>
    <row r="221" spans="1:8" s="5" customFormat="1" ht="11.25" customHeight="1" x14ac:dyDescent="0.2">
      <c r="D221" s="28"/>
      <c r="E221" s="162" t="s">
        <v>2637</v>
      </c>
      <c r="F221" s="165">
        <v>100</v>
      </c>
      <c r="G221" s="162">
        <f>'[1]27'!C$74</f>
        <v>22648</v>
      </c>
      <c r="H221" s="165">
        <v>51.439420699399506</v>
      </c>
    </row>
    <row r="222" spans="1:8" s="5" customFormat="1" ht="11.25" customHeight="1" x14ac:dyDescent="0.2">
      <c r="D222" s="28"/>
      <c r="E222" s="13"/>
      <c r="F222" s="113"/>
      <c r="G222" s="13"/>
      <c r="H222" s="113"/>
    </row>
    <row r="223" spans="1:8" s="5" customFormat="1" ht="11.25" customHeight="1" x14ac:dyDescent="0.2">
      <c r="A223" s="5" t="s">
        <v>1088</v>
      </c>
      <c r="C223" s="14" t="s">
        <v>1089</v>
      </c>
      <c r="D223" s="28" t="s">
        <v>1072</v>
      </c>
      <c r="E223" s="13">
        <v>4481</v>
      </c>
      <c r="F223" s="113">
        <v>44.859345279807791</v>
      </c>
      <c r="G223" s="13"/>
      <c r="H223" s="113"/>
    </row>
    <row r="224" spans="1:8" s="5" customFormat="1" ht="11.25" customHeight="1" x14ac:dyDescent="0.2">
      <c r="C224" s="5" t="s">
        <v>1090</v>
      </c>
      <c r="D224" s="28" t="s">
        <v>655</v>
      </c>
      <c r="E224" s="13">
        <v>1299</v>
      </c>
      <c r="F224" s="113">
        <v>13.004304735208731</v>
      </c>
      <c r="G224" s="13"/>
      <c r="H224" s="113"/>
    </row>
    <row r="225" spans="1:8" s="5" customFormat="1" ht="11.25" customHeight="1" x14ac:dyDescent="0.2">
      <c r="C225" s="5" t="s">
        <v>1091</v>
      </c>
      <c r="D225" s="28" t="s">
        <v>1736</v>
      </c>
      <c r="E225" s="13">
        <v>4209</v>
      </c>
      <c r="F225" s="113">
        <v>42.136349984983482</v>
      </c>
      <c r="G225" s="13"/>
      <c r="H225" s="113"/>
    </row>
    <row r="226" spans="1:8" s="5" customFormat="1" ht="11.25" customHeight="1" x14ac:dyDescent="0.2">
      <c r="D226" s="28"/>
      <c r="E226" s="162" t="s">
        <v>2636</v>
      </c>
      <c r="F226" s="165">
        <v>100</v>
      </c>
      <c r="G226" s="162">
        <f>'[1]28'!C$53</f>
        <v>19210</v>
      </c>
      <c r="H226" s="165">
        <v>52.228006246746482</v>
      </c>
    </row>
    <row r="227" spans="1:8" s="5" customFormat="1" ht="11.25" customHeight="1" x14ac:dyDescent="0.2">
      <c r="D227" s="28"/>
      <c r="E227" s="13"/>
      <c r="F227" s="113"/>
      <c r="G227" s="13"/>
      <c r="H227" s="113"/>
    </row>
    <row r="228" spans="1:8" s="5" customFormat="1" ht="11.25" customHeight="1" x14ac:dyDescent="0.2">
      <c r="A228" s="5" t="s">
        <v>1092</v>
      </c>
      <c r="C228" s="5" t="s">
        <v>1093</v>
      </c>
      <c r="D228" s="28" t="s">
        <v>1736</v>
      </c>
      <c r="E228" s="13">
        <v>4715</v>
      </c>
      <c r="F228" s="113">
        <v>44.891935637436923</v>
      </c>
      <c r="G228" s="13"/>
      <c r="H228" s="113"/>
    </row>
    <row r="229" spans="1:8" s="5" customFormat="1" ht="11.25" customHeight="1" x14ac:dyDescent="0.2">
      <c r="C229" s="14" t="s">
        <v>1094</v>
      </c>
      <c r="D229" s="28" t="s">
        <v>1072</v>
      </c>
      <c r="E229" s="13">
        <v>4784</v>
      </c>
      <c r="F229" s="113">
        <v>45.548890793106736</v>
      </c>
      <c r="G229" s="13"/>
      <c r="H229" s="113"/>
    </row>
    <row r="230" spans="1:8" s="5" customFormat="1" ht="11.25" customHeight="1" x14ac:dyDescent="0.2">
      <c r="C230" s="5" t="s">
        <v>1095</v>
      </c>
      <c r="D230" s="28" t="s">
        <v>655</v>
      </c>
      <c r="E230" s="13">
        <v>1004</v>
      </c>
      <c r="F230" s="113">
        <v>9.5591735694563464</v>
      </c>
      <c r="G230" s="13"/>
      <c r="H230" s="113"/>
    </row>
    <row r="231" spans="1:8" s="5" customFormat="1" ht="11.25" customHeight="1" x14ac:dyDescent="0.2">
      <c r="D231" s="28"/>
      <c r="E231" s="162" t="s">
        <v>2635</v>
      </c>
      <c r="F231" s="165">
        <v>100</v>
      </c>
      <c r="G231" s="162">
        <f>'[1]29'!C$63</f>
        <v>21763</v>
      </c>
      <c r="H231" s="165">
        <v>48.302164223682396</v>
      </c>
    </row>
    <row r="232" spans="1:8" s="5" customFormat="1" ht="11.25" customHeight="1" x14ac:dyDescent="0.2">
      <c r="D232" s="28"/>
      <c r="E232" s="13"/>
      <c r="F232" s="113"/>
      <c r="G232" s="13"/>
      <c r="H232" s="113"/>
    </row>
    <row r="233" spans="1:8" s="5" customFormat="1" ht="11.25" customHeight="1" x14ac:dyDescent="0.2">
      <c r="A233" s="5" t="s">
        <v>1096</v>
      </c>
      <c r="C233" s="5" t="s">
        <v>1097</v>
      </c>
      <c r="D233" s="28" t="s">
        <v>655</v>
      </c>
      <c r="E233" s="13">
        <v>1232</v>
      </c>
      <c r="F233" s="113">
        <v>10.202898550724637</v>
      </c>
      <c r="G233" s="13"/>
      <c r="H233" s="113"/>
    </row>
    <row r="234" spans="1:8" s="5" customFormat="1" ht="11.25" customHeight="1" x14ac:dyDescent="0.2">
      <c r="C234" s="14" t="s">
        <v>1098</v>
      </c>
      <c r="D234" s="28" t="s">
        <v>1736</v>
      </c>
      <c r="E234" s="13">
        <v>5515</v>
      </c>
      <c r="F234" s="113">
        <v>45.67287784679089</v>
      </c>
      <c r="G234" s="13"/>
      <c r="H234" s="113"/>
    </row>
    <row r="235" spans="1:8" s="5" customFormat="1" ht="11.25" customHeight="1" x14ac:dyDescent="0.2">
      <c r="C235" s="5" t="s">
        <v>1099</v>
      </c>
      <c r="D235" s="28" t="s">
        <v>1072</v>
      </c>
      <c r="E235" s="13">
        <v>5328</v>
      </c>
      <c r="F235" s="113">
        <v>44.124223602484477</v>
      </c>
      <c r="G235" s="13"/>
      <c r="H235" s="113"/>
    </row>
    <row r="236" spans="1:8" s="5" customFormat="1" ht="11.25" customHeight="1" x14ac:dyDescent="0.2">
      <c r="D236" s="28"/>
      <c r="E236" s="162" t="s">
        <v>2634</v>
      </c>
      <c r="F236" s="165">
        <v>100</v>
      </c>
      <c r="G236" s="162">
        <f>'[1]30'!C$60</f>
        <v>21343</v>
      </c>
      <c r="H236" s="165">
        <v>56.702431710631117</v>
      </c>
    </row>
    <row r="237" spans="1:8" s="5" customFormat="1" ht="11.25" customHeight="1" x14ac:dyDescent="0.2">
      <c r="D237" s="28"/>
      <c r="E237" s="13"/>
      <c r="F237" s="113"/>
      <c r="G237" s="13"/>
      <c r="H237" s="113"/>
    </row>
    <row r="238" spans="1:8" s="5" customFormat="1" ht="11.25" customHeight="1" x14ac:dyDescent="0.2">
      <c r="A238" s="5" t="s">
        <v>1100</v>
      </c>
      <c r="C238" s="5" t="s">
        <v>1101</v>
      </c>
      <c r="D238" s="28" t="s">
        <v>655</v>
      </c>
      <c r="E238" s="13">
        <v>1159</v>
      </c>
      <c r="F238" s="113">
        <v>7.7333689197304336</v>
      </c>
      <c r="G238" s="13"/>
      <c r="H238" s="113"/>
    </row>
    <row r="239" spans="1:8" s="5" customFormat="1" ht="11.25" customHeight="1" x14ac:dyDescent="0.2">
      <c r="C239" s="5" t="s">
        <v>1102</v>
      </c>
      <c r="D239" s="28" t="s">
        <v>1736</v>
      </c>
      <c r="E239" s="13">
        <v>5981</v>
      </c>
      <c r="F239" s="113">
        <v>39.907920197504502</v>
      </c>
      <c r="G239" s="13"/>
      <c r="H239" s="113"/>
    </row>
    <row r="240" spans="1:8" s="5" customFormat="1" ht="11.25" customHeight="1" x14ac:dyDescent="0.2">
      <c r="C240" s="14" t="s">
        <v>1103</v>
      </c>
      <c r="D240" s="28" t="s">
        <v>1072</v>
      </c>
      <c r="E240" s="13">
        <v>7654</v>
      </c>
      <c r="F240" s="113">
        <v>51.070928137719349</v>
      </c>
      <c r="G240" s="13"/>
      <c r="H240" s="113"/>
    </row>
    <row r="241" spans="1:8" s="5" customFormat="1" ht="11.25" customHeight="1" x14ac:dyDescent="0.2">
      <c r="C241" s="5" t="s">
        <v>1104</v>
      </c>
      <c r="D241" s="28" t="s">
        <v>1314</v>
      </c>
      <c r="E241" s="13">
        <v>193</v>
      </c>
      <c r="F241" s="113">
        <v>1.2877827450457062</v>
      </c>
      <c r="G241" s="13"/>
      <c r="H241" s="113"/>
    </row>
    <row r="242" spans="1:8" s="5" customFormat="1" ht="11.25" customHeight="1" x14ac:dyDescent="0.2">
      <c r="D242" s="28"/>
      <c r="E242" s="162" t="s">
        <v>2633</v>
      </c>
      <c r="F242" s="165">
        <v>100</v>
      </c>
      <c r="G242" s="162">
        <f>'[1]31'!C$70</f>
        <v>23337</v>
      </c>
      <c r="H242" s="165">
        <v>64.309894159489218</v>
      </c>
    </row>
    <row r="243" spans="1:8" s="5" customFormat="1" ht="11.25" customHeight="1" x14ac:dyDescent="0.2">
      <c r="D243" s="28"/>
      <c r="E243" s="13"/>
      <c r="F243" s="113"/>
      <c r="G243" s="13"/>
      <c r="H243" s="113"/>
    </row>
    <row r="244" spans="1:8" s="5" customFormat="1" ht="11.25" customHeight="1" x14ac:dyDescent="0.2">
      <c r="A244" s="5" t="s">
        <v>1105</v>
      </c>
      <c r="C244" s="5" t="s">
        <v>1106</v>
      </c>
      <c r="D244" s="28" t="s">
        <v>1736</v>
      </c>
      <c r="E244" s="13">
        <v>3477</v>
      </c>
      <c r="F244" s="113">
        <v>34.63492379719095</v>
      </c>
      <c r="G244" s="13"/>
      <c r="H244" s="113"/>
    </row>
    <row r="245" spans="1:8" s="5" customFormat="1" ht="11.25" customHeight="1" x14ac:dyDescent="0.2">
      <c r="C245" s="5" t="s">
        <v>1107</v>
      </c>
      <c r="D245" s="28" t="s">
        <v>1072</v>
      </c>
      <c r="E245" s="13">
        <v>1921</v>
      </c>
      <c r="F245" s="113">
        <v>19.135372049008865</v>
      </c>
      <c r="G245" s="13"/>
      <c r="H245" s="113"/>
    </row>
    <row r="246" spans="1:8" s="5" customFormat="1" ht="11.25" customHeight="1" x14ac:dyDescent="0.2">
      <c r="C246" s="14" t="s">
        <v>1108</v>
      </c>
      <c r="D246" s="28" t="s">
        <v>655</v>
      </c>
      <c r="E246" s="13">
        <v>4641</v>
      </c>
      <c r="F246" s="113">
        <v>46.229704153800178</v>
      </c>
      <c r="G246" s="13"/>
      <c r="H246" s="113"/>
    </row>
    <row r="247" spans="1:8" s="5" customFormat="1" ht="11.25" customHeight="1" x14ac:dyDescent="0.2">
      <c r="D247" s="28"/>
      <c r="E247" s="162" t="s">
        <v>2632</v>
      </c>
      <c r="F247" s="165">
        <v>100</v>
      </c>
      <c r="G247" s="162">
        <f>'[1]32'!C$70</f>
        <v>21539</v>
      </c>
      <c r="H247" s="165">
        <v>46.770973582803286</v>
      </c>
    </row>
    <row r="248" spans="1:8" s="5" customFormat="1" ht="11.25" customHeight="1" x14ac:dyDescent="0.2">
      <c r="D248" s="28"/>
      <c r="E248" s="13"/>
      <c r="F248" s="113"/>
      <c r="G248" s="13"/>
      <c r="H248" s="113"/>
    </row>
    <row r="249" spans="1:8" s="5" customFormat="1" ht="11.25" customHeight="1" x14ac:dyDescent="0.2">
      <c r="A249" s="5" t="s">
        <v>1109</v>
      </c>
      <c r="C249" s="5" t="s">
        <v>1110</v>
      </c>
      <c r="D249" s="28" t="s">
        <v>1072</v>
      </c>
      <c r="E249" s="13">
        <v>5523</v>
      </c>
      <c r="F249" s="113">
        <v>42.602591792656582</v>
      </c>
      <c r="G249" s="13"/>
      <c r="H249" s="113"/>
    </row>
    <row r="250" spans="1:8" s="5" customFormat="1" ht="11.25" customHeight="1" x14ac:dyDescent="0.2">
      <c r="C250" s="5" t="s">
        <v>1111</v>
      </c>
      <c r="D250" s="28" t="s">
        <v>655</v>
      </c>
      <c r="E250" s="13">
        <v>1538</v>
      </c>
      <c r="F250" s="113">
        <v>11.863622338784326</v>
      </c>
      <c r="G250" s="13"/>
      <c r="H250" s="113"/>
    </row>
    <row r="251" spans="1:8" s="5" customFormat="1" ht="11.25" customHeight="1" x14ac:dyDescent="0.2">
      <c r="C251" s="14" t="s">
        <v>1112</v>
      </c>
      <c r="D251" s="28" t="s">
        <v>1736</v>
      </c>
      <c r="E251" s="13">
        <v>5903</v>
      </c>
      <c r="F251" s="113">
        <v>45.533785868559086</v>
      </c>
      <c r="G251" s="13"/>
      <c r="H251" s="113"/>
    </row>
    <row r="252" spans="1:8" s="5" customFormat="1" ht="11.25" customHeight="1" x14ac:dyDescent="0.2">
      <c r="D252" s="28"/>
      <c r="E252" s="162" t="s">
        <v>2631</v>
      </c>
      <c r="F252" s="165">
        <v>100</v>
      </c>
      <c r="G252" s="162">
        <f>'[1]33'!C$78</f>
        <v>26021</v>
      </c>
      <c r="H252" s="165">
        <v>49.925060528035047</v>
      </c>
    </row>
    <row r="253" spans="1:8" s="5" customFormat="1" ht="11.25" customHeight="1" x14ac:dyDescent="0.2">
      <c r="D253" s="28"/>
      <c r="E253" s="13"/>
      <c r="F253" s="113"/>
      <c r="G253" s="13"/>
      <c r="H253" s="113"/>
    </row>
    <row r="254" spans="1:8" s="5" customFormat="1" ht="11.25" customHeight="1" x14ac:dyDescent="0.2">
      <c r="A254" s="5" t="s">
        <v>1113</v>
      </c>
      <c r="C254" s="5" t="s">
        <v>1114</v>
      </c>
      <c r="D254" s="28" t="s">
        <v>655</v>
      </c>
      <c r="E254" s="13">
        <v>804</v>
      </c>
      <c r="F254" s="113">
        <v>5.8121882454998914</v>
      </c>
      <c r="G254" s="13"/>
      <c r="H254" s="113"/>
    </row>
    <row r="255" spans="1:8" s="5" customFormat="1" ht="11.25" customHeight="1" x14ac:dyDescent="0.2">
      <c r="C255" s="5" t="s">
        <v>1115</v>
      </c>
      <c r="D255" s="28" t="s">
        <v>653</v>
      </c>
      <c r="E255" s="13">
        <v>133</v>
      </c>
      <c r="F255" s="113">
        <v>0.96146895105906161</v>
      </c>
      <c r="G255" s="13"/>
      <c r="H255" s="113"/>
    </row>
    <row r="256" spans="1:8" s="5" customFormat="1" ht="11.25" customHeight="1" x14ac:dyDescent="0.2">
      <c r="C256" s="5" t="s">
        <v>1116</v>
      </c>
      <c r="D256" s="28" t="s">
        <v>1072</v>
      </c>
      <c r="E256" s="13">
        <v>5920</v>
      </c>
      <c r="F256" s="113">
        <v>42.796211956914625</v>
      </c>
      <c r="G256" s="13"/>
      <c r="H256" s="113"/>
    </row>
    <row r="257" spans="1:8" s="5" customFormat="1" ht="11.25" customHeight="1" x14ac:dyDescent="0.2">
      <c r="C257" s="14" t="s">
        <v>1117</v>
      </c>
      <c r="D257" s="28" t="s">
        <v>1736</v>
      </c>
      <c r="E257" s="13">
        <v>6976</v>
      </c>
      <c r="F257" s="113">
        <v>50.430130846526424</v>
      </c>
      <c r="G257" s="13"/>
      <c r="H257" s="113"/>
    </row>
    <row r="258" spans="1:8" s="5" customFormat="1" ht="11.25" customHeight="1" x14ac:dyDescent="0.2">
      <c r="D258" s="28"/>
      <c r="E258" s="162" t="s">
        <v>2630</v>
      </c>
      <c r="F258" s="165">
        <v>100</v>
      </c>
      <c r="G258" s="162">
        <f>'[1]34'!C$65</f>
        <v>24723</v>
      </c>
      <c r="H258" s="165">
        <v>55.9762164785827</v>
      </c>
    </row>
    <row r="259" spans="1:8" s="5" customFormat="1" ht="11.25" customHeight="1" x14ac:dyDescent="0.2">
      <c r="D259" s="28"/>
      <c r="E259" s="13"/>
      <c r="F259" s="113"/>
      <c r="G259" s="13"/>
      <c r="H259" s="113"/>
    </row>
    <row r="260" spans="1:8" s="5" customFormat="1" ht="11.25" customHeight="1" x14ac:dyDescent="0.2">
      <c r="A260" s="5" t="s">
        <v>1118</v>
      </c>
      <c r="C260" s="5" t="s">
        <v>1119</v>
      </c>
      <c r="D260" s="28" t="s">
        <v>655</v>
      </c>
      <c r="E260" s="13">
        <v>636</v>
      </c>
      <c r="F260" s="113">
        <v>5.0628880751472698</v>
      </c>
      <c r="G260" s="13"/>
      <c r="H260" s="113"/>
    </row>
    <row r="261" spans="1:8" s="5" customFormat="1" ht="11.25" customHeight="1" x14ac:dyDescent="0.2">
      <c r="C261" s="5" t="s">
        <v>1120</v>
      </c>
      <c r="D261" s="28" t="s">
        <v>1072</v>
      </c>
      <c r="E261" s="13">
        <v>5674</v>
      </c>
      <c r="F261" s="113">
        <v>45.167966884254099</v>
      </c>
      <c r="G261" s="13"/>
      <c r="H261" s="113"/>
    </row>
    <row r="262" spans="1:8" s="5" customFormat="1" ht="11.25" customHeight="1" x14ac:dyDescent="0.2">
      <c r="C262" s="14" t="s">
        <v>1121</v>
      </c>
      <c r="D262" s="28" t="s">
        <v>1736</v>
      </c>
      <c r="E262" s="13">
        <v>6108</v>
      </c>
      <c r="F262" s="113">
        <v>48.622830759433214</v>
      </c>
      <c r="G262" s="13"/>
      <c r="H262" s="113"/>
    </row>
    <row r="263" spans="1:8" s="5" customFormat="1" ht="11.25" customHeight="1" x14ac:dyDescent="0.2">
      <c r="C263" s="5" t="s">
        <v>1122</v>
      </c>
      <c r="D263" s="28" t="s">
        <v>653</v>
      </c>
      <c r="E263" s="13">
        <v>144</v>
      </c>
      <c r="F263" s="113">
        <v>1.1463142811654194</v>
      </c>
      <c r="G263" s="13"/>
      <c r="H263" s="113"/>
    </row>
    <row r="264" spans="1:8" s="5" customFormat="1" ht="11.25" customHeight="1" x14ac:dyDescent="0.2">
      <c r="D264" s="28"/>
      <c r="E264" s="162" t="s">
        <v>2629</v>
      </c>
      <c r="F264" s="165">
        <v>100</v>
      </c>
      <c r="G264" s="162">
        <f>'[1]35'!C$63</f>
        <v>22491</v>
      </c>
      <c r="H264" s="165">
        <v>55.991285403050107</v>
      </c>
    </row>
    <row r="265" spans="1:8" s="5" customFormat="1" ht="11.25" customHeight="1" x14ac:dyDescent="0.2">
      <c r="D265" s="28"/>
      <c r="E265" s="13"/>
      <c r="F265" s="113"/>
      <c r="G265" s="13"/>
      <c r="H265" s="113"/>
    </row>
    <row r="266" spans="1:8" s="5" customFormat="1" ht="11.25" customHeight="1" x14ac:dyDescent="0.2">
      <c r="A266" s="5" t="s">
        <v>1123</v>
      </c>
      <c r="C266" s="5" t="s">
        <v>1124</v>
      </c>
      <c r="D266" s="28" t="s">
        <v>1072</v>
      </c>
      <c r="E266" s="13">
        <v>4229</v>
      </c>
      <c r="F266" s="113">
        <v>29.117323051500964</v>
      </c>
      <c r="G266" s="13"/>
      <c r="H266" s="113"/>
    </row>
    <row r="267" spans="1:8" s="5" customFormat="1" ht="11.25" customHeight="1" x14ac:dyDescent="0.2">
      <c r="C267" s="5" t="s">
        <v>973</v>
      </c>
      <c r="D267" s="28" t="s">
        <v>1315</v>
      </c>
      <c r="E267" s="13">
        <v>220</v>
      </c>
      <c r="F267" s="113">
        <v>1.5147342329936657</v>
      </c>
      <c r="G267" s="13"/>
      <c r="H267" s="113"/>
    </row>
    <row r="268" spans="1:8" s="5" customFormat="1" ht="11.25" customHeight="1" x14ac:dyDescent="0.2">
      <c r="C268" s="5" t="s">
        <v>974</v>
      </c>
      <c r="D268" s="28" t="s">
        <v>1314</v>
      </c>
      <c r="E268" s="13">
        <v>97</v>
      </c>
      <c r="F268" s="113">
        <v>0.66786009363811627</v>
      </c>
      <c r="G268" s="13"/>
      <c r="H268" s="113"/>
    </row>
    <row r="269" spans="1:8" s="5" customFormat="1" ht="11.25" customHeight="1" x14ac:dyDescent="0.2">
      <c r="C269" s="5" t="s">
        <v>975</v>
      </c>
      <c r="D269" s="28" t="s">
        <v>655</v>
      </c>
      <c r="E269" s="13">
        <v>1893</v>
      </c>
      <c r="F269" s="113">
        <v>13.033599559350042</v>
      </c>
      <c r="G269" s="13"/>
      <c r="H269" s="113"/>
    </row>
    <row r="270" spans="1:8" s="5" customFormat="1" ht="11.25" customHeight="1" x14ac:dyDescent="0.2">
      <c r="C270" s="14" t="s">
        <v>976</v>
      </c>
      <c r="D270" s="28" t="s">
        <v>1736</v>
      </c>
      <c r="E270" s="13">
        <v>8085</v>
      </c>
      <c r="F270" s="113">
        <v>55.666483062517216</v>
      </c>
      <c r="G270" s="13"/>
      <c r="H270" s="113"/>
    </row>
    <row r="271" spans="1:8" s="5" customFormat="1" ht="11.25" customHeight="1" x14ac:dyDescent="0.2">
      <c r="D271" s="28"/>
      <c r="E271" s="162" t="s">
        <v>2628</v>
      </c>
      <c r="F271" s="165">
        <v>100</v>
      </c>
      <c r="G271" s="162">
        <f>'[1]36'!C$81</f>
        <v>26307</v>
      </c>
      <c r="H271" s="165">
        <v>55.365492074352829</v>
      </c>
    </row>
    <row r="272" spans="1:8" s="5" customFormat="1" ht="11.25" customHeight="1" x14ac:dyDescent="0.2">
      <c r="D272" s="28"/>
      <c r="E272" s="13"/>
      <c r="F272" s="113"/>
      <c r="G272" s="13"/>
      <c r="H272" s="113"/>
    </row>
    <row r="273" spans="1:8" s="5" customFormat="1" ht="11.25" customHeight="1" x14ac:dyDescent="0.2">
      <c r="A273" s="5" t="s">
        <v>977</v>
      </c>
      <c r="C273" s="5" t="s">
        <v>978</v>
      </c>
      <c r="D273" s="28" t="s">
        <v>1736</v>
      </c>
      <c r="E273" s="13">
        <v>4402</v>
      </c>
      <c r="F273" s="113">
        <v>43.814073852891411</v>
      </c>
      <c r="G273" s="13"/>
      <c r="H273" s="113"/>
    </row>
    <row r="274" spans="1:8" s="5" customFormat="1" ht="11.25" customHeight="1" x14ac:dyDescent="0.2">
      <c r="C274" s="5" t="s">
        <v>979</v>
      </c>
      <c r="D274" s="28" t="s">
        <v>655</v>
      </c>
      <c r="E274" s="13">
        <v>725</v>
      </c>
      <c r="F274" s="113">
        <v>7.2160844033044693</v>
      </c>
      <c r="G274" s="13"/>
      <c r="H274" s="113"/>
    </row>
    <row r="275" spans="1:8" s="5" customFormat="1" ht="11.25" customHeight="1" x14ac:dyDescent="0.2">
      <c r="C275" s="14" t="s">
        <v>980</v>
      </c>
      <c r="D275" s="28" t="s">
        <v>1072</v>
      </c>
      <c r="E275" s="13">
        <v>4920</v>
      </c>
      <c r="F275" s="113">
        <v>48.969841743804125</v>
      </c>
      <c r="G275" s="13"/>
      <c r="H275" s="113"/>
    </row>
    <row r="276" spans="1:8" s="5" customFormat="1" ht="11.25" customHeight="1" x14ac:dyDescent="0.2">
      <c r="D276" s="28"/>
      <c r="E276" s="162" t="s">
        <v>2627</v>
      </c>
      <c r="F276" s="165">
        <v>100</v>
      </c>
      <c r="G276" s="162">
        <f>'[1]37'!C$55</f>
        <v>18546</v>
      </c>
      <c r="H276" s="165">
        <v>54.324382616197568</v>
      </c>
    </row>
    <row r="277" spans="1:8" s="5" customFormat="1" ht="11.25" customHeight="1" x14ac:dyDescent="0.2">
      <c r="D277" s="28"/>
      <c r="E277" s="13"/>
      <c r="F277" s="113"/>
      <c r="G277" s="13"/>
      <c r="H277" s="113"/>
    </row>
    <row r="278" spans="1:8" s="5" customFormat="1" ht="11.25" customHeight="1" x14ac:dyDescent="0.2">
      <c r="A278" s="5" t="s">
        <v>981</v>
      </c>
      <c r="C278" s="5" t="s">
        <v>982</v>
      </c>
      <c r="D278" s="28" t="s">
        <v>1072</v>
      </c>
      <c r="E278" s="13">
        <v>3164</v>
      </c>
      <c r="F278" s="113">
        <v>36.518928901200368</v>
      </c>
      <c r="G278" s="13"/>
      <c r="H278" s="113"/>
    </row>
    <row r="279" spans="1:8" s="5" customFormat="1" ht="11.25" customHeight="1" x14ac:dyDescent="0.2">
      <c r="C279" s="14" t="s">
        <v>983</v>
      </c>
      <c r="D279" s="28" t="s">
        <v>1736</v>
      </c>
      <c r="E279" s="13">
        <v>3304</v>
      </c>
      <c r="F279" s="113">
        <v>38.134810710987999</v>
      </c>
      <c r="G279" s="13"/>
      <c r="H279" s="113"/>
    </row>
    <row r="280" spans="1:8" s="5" customFormat="1" ht="11.25" customHeight="1" x14ac:dyDescent="0.2">
      <c r="C280" s="5" t="s">
        <v>984</v>
      </c>
      <c r="D280" s="28" t="s">
        <v>655</v>
      </c>
      <c r="E280" s="13">
        <v>2196</v>
      </c>
      <c r="F280" s="113">
        <v>25.346260387811636</v>
      </c>
      <c r="G280" s="13"/>
      <c r="H280" s="113"/>
    </row>
    <row r="281" spans="1:8" s="5" customFormat="1" ht="11.25" customHeight="1" x14ac:dyDescent="0.2">
      <c r="D281" s="28"/>
      <c r="E281" s="162" t="s">
        <v>2626</v>
      </c>
      <c r="F281" s="165">
        <v>100</v>
      </c>
      <c r="G281" s="162">
        <f>'[1]38'!C$64</f>
        <v>19343</v>
      </c>
      <c r="H281" s="165">
        <v>44.874114666804523</v>
      </c>
    </row>
    <row r="282" spans="1:8" s="5" customFormat="1" ht="11.25" customHeight="1" x14ac:dyDescent="0.2">
      <c r="D282" s="28"/>
      <c r="E282" s="13"/>
      <c r="F282" s="113"/>
      <c r="G282" s="13"/>
      <c r="H282" s="113"/>
    </row>
    <row r="283" spans="1:8" s="5" customFormat="1" ht="11.25" customHeight="1" x14ac:dyDescent="0.2">
      <c r="A283" s="5" t="s">
        <v>985</v>
      </c>
      <c r="C283" s="5" t="s">
        <v>986</v>
      </c>
      <c r="D283" s="28" t="s">
        <v>1736</v>
      </c>
      <c r="E283" s="13">
        <v>5883</v>
      </c>
      <c r="F283" s="113">
        <v>39.385418758786905</v>
      </c>
      <c r="G283" s="13"/>
      <c r="H283" s="113"/>
    </row>
    <row r="284" spans="1:8" s="5" customFormat="1" ht="11.25" customHeight="1" x14ac:dyDescent="0.2">
      <c r="C284" s="5" t="s">
        <v>987</v>
      </c>
      <c r="D284" s="28" t="s">
        <v>655</v>
      </c>
      <c r="E284" s="13">
        <v>1469</v>
      </c>
      <c r="F284" s="113">
        <v>9.8346388163620535</v>
      </c>
      <c r="G284" s="13"/>
      <c r="H284" s="113"/>
    </row>
    <row r="285" spans="1:8" s="5" customFormat="1" ht="11.25" customHeight="1" x14ac:dyDescent="0.2">
      <c r="C285" s="5" t="s">
        <v>988</v>
      </c>
      <c r="D285" s="28" t="s">
        <v>1314</v>
      </c>
      <c r="E285" s="13">
        <v>165</v>
      </c>
      <c r="F285" s="113">
        <v>1.1046394858405302</v>
      </c>
      <c r="G285" s="13"/>
      <c r="H285" s="113"/>
    </row>
    <row r="286" spans="1:8" s="5" customFormat="1" ht="11.25" customHeight="1" x14ac:dyDescent="0.2">
      <c r="C286" s="14" t="s">
        <v>989</v>
      </c>
      <c r="D286" s="28" t="s">
        <v>1072</v>
      </c>
      <c r="E286" s="13">
        <v>7420</v>
      </c>
      <c r="F286" s="113">
        <v>49.675302939010514</v>
      </c>
      <c r="G286" s="13"/>
      <c r="H286" s="113"/>
    </row>
    <row r="287" spans="1:8" s="5" customFormat="1" ht="11.25" customHeight="1" x14ac:dyDescent="0.2">
      <c r="D287" s="28"/>
      <c r="E287" s="162" t="s">
        <v>2625</v>
      </c>
      <c r="F287" s="165">
        <v>100</v>
      </c>
      <c r="G287" s="162">
        <f>'[1]39'!C$73</f>
        <v>23208</v>
      </c>
      <c r="H287" s="165">
        <v>64.525163736642526</v>
      </c>
    </row>
    <row r="288" spans="1:8" s="5" customFormat="1" ht="11.25" customHeight="1" x14ac:dyDescent="0.2">
      <c r="D288" s="28"/>
      <c r="E288" s="13"/>
      <c r="F288" s="113"/>
      <c r="G288" s="13"/>
      <c r="H288" s="113"/>
    </row>
    <row r="289" spans="1:8" s="5" customFormat="1" ht="11.25" customHeight="1" x14ac:dyDescent="0.2">
      <c r="A289" s="5" t="s">
        <v>990</v>
      </c>
      <c r="C289" s="5" t="s">
        <v>991</v>
      </c>
      <c r="D289" s="28" t="s">
        <v>655</v>
      </c>
      <c r="E289" s="13">
        <v>1071</v>
      </c>
      <c r="F289" s="113">
        <v>8.3658803311982499</v>
      </c>
      <c r="G289" s="13"/>
      <c r="H289" s="113"/>
    </row>
    <row r="290" spans="1:8" s="5" customFormat="1" ht="11.25" customHeight="1" x14ac:dyDescent="0.2">
      <c r="C290" s="14" t="s">
        <v>992</v>
      </c>
      <c r="D290" s="28" t="s">
        <v>1736</v>
      </c>
      <c r="E290" s="13">
        <v>6173</v>
      </c>
      <c r="F290" s="113">
        <v>48.219028276831743</v>
      </c>
      <c r="G290" s="13"/>
      <c r="H290" s="113"/>
    </row>
    <row r="291" spans="1:8" s="5" customFormat="1" ht="11.25" customHeight="1" x14ac:dyDescent="0.2">
      <c r="C291" s="5" t="s">
        <v>993</v>
      </c>
      <c r="D291" s="28" t="s">
        <v>1072</v>
      </c>
      <c r="E291" s="13">
        <v>5558</v>
      </c>
      <c r="F291" s="113">
        <v>43.415091391970009</v>
      </c>
      <c r="G291" s="13"/>
      <c r="H291" s="113"/>
    </row>
    <row r="292" spans="1:8" s="5" customFormat="1" ht="11.25" customHeight="1" x14ac:dyDescent="0.2">
      <c r="D292" s="28"/>
      <c r="E292" s="162" t="s">
        <v>2624</v>
      </c>
      <c r="F292" s="165">
        <v>100</v>
      </c>
      <c r="G292" s="162">
        <f>'[1]40'!C$69</f>
        <v>22762</v>
      </c>
      <c r="H292" s="165">
        <v>56.401019242597314</v>
      </c>
    </row>
    <row r="293" spans="1:8" s="5" customFormat="1" ht="11.25" customHeight="1" x14ac:dyDescent="0.2">
      <c r="D293" s="28"/>
      <c r="E293" s="13"/>
      <c r="F293" s="113"/>
      <c r="G293" s="13"/>
      <c r="H293" s="113"/>
    </row>
    <row r="294" spans="1:8" s="5" customFormat="1" ht="11.25" customHeight="1" x14ac:dyDescent="0.2">
      <c r="A294" s="5" t="s">
        <v>994</v>
      </c>
      <c r="C294" s="5" t="s">
        <v>995</v>
      </c>
      <c r="D294" s="28" t="s">
        <v>1072</v>
      </c>
      <c r="E294" s="13">
        <v>1944</v>
      </c>
      <c r="F294" s="113">
        <v>14.059448904317639</v>
      </c>
      <c r="G294" s="13"/>
      <c r="H294" s="113"/>
    </row>
    <row r="295" spans="1:8" s="5" customFormat="1" ht="11.25" customHeight="1" x14ac:dyDescent="0.2">
      <c r="C295" s="5" t="s">
        <v>996</v>
      </c>
      <c r="D295" s="28" t="s">
        <v>1315</v>
      </c>
      <c r="E295" s="13">
        <v>136</v>
      </c>
      <c r="F295" s="113">
        <v>0.98358284515802419</v>
      </c>
      <c r="G295" s="13"/>
      <c r="H295" s="113"/>
    </row>
    <row r="296" spans="1:8" s="5" customFormat="1" ht="11.25" customHeight="1" x14ac:dyDescent="0.2">
      <c r="C296" s="5" t="s">
        <v>997</v>
      </c>
      <c r="D296" s="28" t="s">
        <v>1736</v>
      </c>
      <c r="E296" s="13">
        <v>4749</v>
      </c>
      <c r="F296" s="113">
        <v>34.345845085701889</v>
      </c>
      <c r="G296" s="13"/>
      <c r="H296" s="113"/>
    </row>
    <row r="297" spans="1:8" s="5" customFormat="1" ht="11.25" customHeight="1" x14ac:dyDescent="0.2">
      <c r="C297" s="14" t="s">
        <v>998</v>
      </c>
      <c r="D297" s="28" t="s">
        <v>655</v>
      </c>
      <c r="E297" s="13">
        <v>6998</v>
      </c>
      <c r="F297" s="113">
        <v>50.611123164822445</v>
      </c>
      <c r="G297" s="13"/>
      <c r="H297" s="113"/>
    </row>
    <row r="298" spans="1:8" s="5" customFormat="1" ht="11.25" customHeight="1" x14ac:dyDescent="0.2">
      <c r="D298" s="28"/>
      <c r="E298" s="162" t="s">
        <v>2623</v>
      </c>
      <c r="F298" s="165">
        <v>100</v>
      </c>
      <c r="G298" s="162">
        <f>'[1]41'!C$63</f>
        <v>24381</v>
      </c>
      <c r="H298" s="165">
        <v>56.835240556170788</v>
      </c>
    </row>
    <row r="299" spans="1:8" s="5" customFormat="1" ht="11.25" customHeight="1" x14ac:dyDescent="0.2">
      <c r="D299" s="28"/>
      <c r="E299" s="13"/>
      <c r="F299" s="113"/>
      <c r="G299" s="13"/>
      <c r="H299" s="113"/>
    </row>
    <row r="300" spans="1:8" s="5" customFormat="1" ht="11.25" customHeight="1" x14ac:dyDescent="0.2">
      <c r="A300" s="5" t="s">
        <v>999</v>
      </c>
      <c r="C300" s="5" t="s">
        <v>1000</v>
      </c>
      <c r="D300" s="28" t="s">
        <v>655</v>
      </c>
      <c r="E300" s="13">
        <v>1178</v>
      </c>
      <c r="F300" s="113">
        <v>6.3452733638567196</v>
      </c>
      <c r="G300" s="13"/>
      <c r="H300" s="113"/>
    </row>
    <row r="301" spans="1:8" s="5" customFormat="1" ht="11.25" customHeight="1" x14ac:dyDescent="0.2">
      <c r="C301" s="14" t="s">
        <v>1001</v>
      </c>
      <c r="D301" s="28" t="s">
        <v>1736</v>
      </c>
      <c r="E301" s="13">
        <v>10884</v>
      </c>
      <c r="F301" s="113">
        <v>58.626447616482622</v>
      </c>
      <c r="G301" s="13"/>
      <c r="H301" s="113"/>
    </row>
    <row r="302" spans="1:8" s="5" customFormat="1" ht="11.25" customHeight="1" x14ac:dyDescent="0.2">
      <c r="C302" s="5" t="s">
        <v>1002</v>
      </c>
      <c r="D302" s="28" t="s">
        <v>1072</v>
      </c>
      <c r="E302" s="13">
        <v>6503</v>
      </c>
      <c r="F302" s="113">
        <v>35.028279019660651</v>
      </c>
      <c r="G302" s="13"/>
      <c r="H302" s="113"/>
    </row>
    <row r="303" spans="1:8" s="5" customFormat="1" ht="11.25" customHeight="1" x14ac:dyDescent="0.2">
      <c r="D303" s="28"/>
      <c r="E303" s="162" t="s">
        <v>2622</v>
      </c>
      <c r="F303" s="165">
        <v>100</v>
      </c>
      <c r="G303" s="162">
        <f>'[1]42'!C$85</f>
        <v>30853</v>
      </c>
      <c r="H303" s="165">
        <v>60.353936408128874</v>
      </c>
    </row>
    <row r="304" spans="1:8" s="5" customFormat="1" ht="11.25" customHeight="1" x14ac:dyDescent="0.2">
      <c r="D304" s="28"/>
      <c r="E304" s="13"/>
      <c r="F304" s="113"/>
      <c r="G304" s="13"/>
      <c r="H304" s="113"/>
    </row>
    <row r="305" spans="1:8" s="5" customFormat="1" ht="11.25" customHeight="1" x14ac:dyDescent="0.2">
      <c r="A305" s="5" t="s">
        <v>1356</v>
      </c>
      <c r="C305" s="14" t="s">
        <v>1357</v>
      </c>
      <c r="D305" s="28" t="s">
        <v>1736</v>
      </c>
      <c r="E305" s="13">
        <v>5914</v>
      </c>
      <c r="F305" s="113">
        <v>64.485879402464292</v>
      </c>
      <c r="G305" s="13"/>
      <c r="H305" s="113"/>
    </row>
    <row r="306" spans="1:8" s="5" customFormat="1" ht="11.25" customHeight="1" x14ac:dyDescent="0.2">
      <c r="C306" s="5" t="s">
        <v>1358</v>
      </c>
      <c r="D306" s="28" t="s">
        <v>655</v>
      </c>
      <c r="E306" s="13">
        <v>1498</v>
      </c>
      <c r="F306" s="113">
        <v>16.334096608875804</v>
      </c>
      <c r="G306" s="13"/>
      <c r="H306" s="113"/>
    </row>
    <row r="307" spans="1:8" s="5" customFormat="1" ht="11.25" customHeight="1" x14ac:dyDescent="0.2">
      <c r="C307" s="5" t="s">
        <v>1359</v>
      </c>
      <c r="D307" s="28" t="s">
        <v>1072</v>
      </c>
      <c r="E307" s="13">
        <v>1759</v>
      </c>
      <c r="F307" s="113">
        <v>19.180023988659904</v>
      </c>
      <c r="G307" s="13"/>
      <c r="H307" s="113"/>
    </row>
    <row r="308" spans="1:8" s="5" customFormat="1" ht="11.25" customHeight="1" x14ac:dyDescent="0.2">
      <c r="D308" s="28"/>
      <c r="E308" s="162" t="s">
        <v>2611</v>
      </c>
      <c r="F308" s="165">
        <v>100</v>
      </c>
      <c r="G308" s="162">
        <f>'[1]53'!C$61</f>
        <v>24170</v>
      </c>
      <c r="H308" s="165">
        <v>38.018204385601983</v>
      </c>
    </row>
    <row r="309" spans="1:8" s="5" customFormat="1" ht="11.25" customHeight="1" x14ac:dyDescent="0.2">
      <c r="D309" s="28"/>
      <c r="E309" s="13"/>
      <c r="F309" s="113"/>
      <c r="G309" s="13"/>
      <c r="H309" s="113"/>
    </row>
    <row r="310" spans="1:8" s="5" customFormat="1" ht="11.25" customHeight="1" x14ac:dyDescent="0.2">
      <c r="A310" s="5" t="s">
        <v>1360</v>
      </c>
      <c r="C310" s="14" t="s">
        <v>1361</v>
      </c>
      <c r="D310" s="28" t="s">
        <v>1736</v>
      </c>
      <c r="E310" s="13">
        <v>6241</v>
      </c>
      <c r="F310" s="113">
        <v>67.543290043290042</v>
      </c>
      <c r="G310" s="13"/>
      <c r="H310" s="113"/>
    </row>
    <row r="311" spans="1:8" s="5" customFormat="1" ht="11.25" customHeight="1" x14ac:dyDescent="0.2">
      <c r="C311" s="5" t="s">
        <v>1362</v>
      </c>
      <c r="D311" s="28" t="s">
        <v>655</v>
      </c>
      <c r="E311" s="13">
        <v>842</v>
      </c>
      <c r="F311" s="113">
        <v>9.112554112554113</v>
      </c>
      <c r="G311" s="13"/>
      <c r="H311" s="113"/>
    </row>
    <row r="312" spans="1:8" s="5" customFormat="1" ht="11.25" customHeight="1" x14ac:dyDescent="0.2">
      <c r="C312" s="5" t="s">
        <v>1363</v>
      </c>
      <c r="D312" s="28" t="s">
        <v>1072</v>
      </c>
      <c r="E312" s="13">
        <v>1777</v>
      </c>
      <c r="F312" s="113">
        <v>19.231601731601732</v>
      </c>
      <c r="G312" s="13"/>
      <c r="H312" s="113"/>
    </row>
    <row r="313" spans="1:8" s="5" customFormat="1" ht="11.25" customHeight="1" x14ac:dyDescent="0.2">
      <c r="C313" s="5" t="s">
        <v>1364</v>
      </c>
      <c r="D313" s="28" t="s">
        <v>653</v>
      </c>
      <c r="E313" s="13">
        <v>380</v>
      </c>
      <c r="F313" s="113">
        <v>4.112554112554113</v>
      </c>
      <c r="G313" s="13"/>
      <c r="H313" s="113"/>
    </row>
    <row r="314" spans="1:8" s="5" customFormat="1" ht="11.25" customHeight="1" x14ac:dyDescent="0.2">
      <c r="D314" s="28"/>
      <c r="E314" s="162" t="s">
        <v>2610</v>
      </c>
      <c r="F314" s="165">
        <v>100</v>
      </c>
      <c r="G314" s="162">
        <f>'[1]54'!C$75</f>
        <v>21068</v>
      </c>
      <c r="H314" s="165">
        <v>43.881716347066643</v>
      </c>
    </row>
    <row r="315" spans="1:8" s="5" customFormat="1" ht="11.25" customHeight="1" x14ac:dyDescent="0.2">
      <c r="D315" s="28"/>
      <c r="E315" s="13"/>
      <c r="F315" s="113"/>
      <c r="G315" s="13"/>
      <c r="H315" s="113"/>
    </row>
    <row r="316" spans="1:8" s="5" customFormat="1" ht="11.25" customHeight="1" x14ac:dyDescent="0.2">
      <c r="A316" s="5" t="s">
        <v>1365</v>
      </c>
      <c r="C316" s="5" t="s">
        <v>1366</v>
      </c>
      <c r="D316" s="28" t="s">
        <v>655</v>
      </c>
      <c r="E316" s="13">
        <v>819</v>
      </c>
      <c r="F316" s="113">
        <v>9.4550912029554368</v>
      </c>
      <c r="G316" s="13"/>
      <c r="H316" s="113"/>
    </row>
    <row r="317" spans="1:8" s="5" customFormat="1" ht="11.25" customHeight="1" x14ac:dyDescent="0.2">
      <c r="C317" s="5" t="s">
        <v>1367</v>
      </c>
      <c r="D317" s="28" t="s">
        <v>653</v>
      </c>
      <c r="E317" s="13">
        <v>136</v>
      </c>
      <c r="F317" s="113">
        <v>1.5700761948741631</v>
      </c>
      <c r="G317" s="13"/>
      <c r="H317" s="113"/>
    </row>
    <row r="318" spans="1:8" s="5" customFormat="1" ht="11.25" customHeight="1" x14ac:dyDescent="0.2">
      <c r="C318" s="14" t="s">
        <v>1368</v>
      </c>
      <c r="D318" s="28" t="s">
        <v>1736</v>
      </c>
      <c r="E318" s="13">
        <v>5674</v>
      </c>
      <c r="F318" s="113">
        <v>65.504502424382366</v>
      </c>
      <c r="G318" s="13"/>
      <c r="H318" s="113"/>
    </row>
    <row r="319" spans="1:8" s="5" customFormat="1" ht="11.25" customHeight="1" x14ac:dyDescent="0.2">
      <c r="C319" s="5" t="s">
        <v>1369</v>
      </c>
      <c r="D319" s="28" t="s">
        <v>1071</v>
      </c>
      <c r="E319" s="13">
        <v>432</v>
      </c>
      <c r="F319" s="113">
        <v>4.9873008543061648</v>
      </c>
      <c r="G319" s="13"/>
      <c r="H319" s="113"/>
    </row>
    <row r="320" spans="1:8" s="5" customFormat="1" ht="11.25" customHeight="1" x14ac:dyDescent="0.2">
      <c r="C320" s="5" t="s">
        <v>1370</v>
      </c>
      <c r="D320" s="28" t="s">
        <v>1072</v>
      </c>
      <c r="E320" s="13">
        <v>1489</v>
      </c>
      <c r="F320" s="113">
        <v>17.190025398291386</v>
      </c>
      <c r="G320" s="13"/>
      <c r="H320" s="113"/>
    </row>
    <row r="321" spans="1:8" s="5" customFormat="1" ht="11.25" customHeight="1" x14ac:dyDescent="0.2">
      <c r="C321" s="5" t="s">
        <v>1371</v>
      </c>
      <c r="D321" s="28" t="s">
        <v>653</v>
      </c>
      <c r="E321" s="13">
        <v>112</v>
      </c>
      <c r="F321" s="113">
        <v>1.293003925190487</v>
      </c>
      <c r="G321" s="13"/>
      <c r="H321" s="113"/>
    </row>
    <row r="322" spans="1:8" s="5" customFormat="1" ht="11.25" customHeight="1" x14ac:dyDescent="0.2">
      <c r="D322" s="28"/>
      <c r="E322" s="162" t="s">
        <v>2609</v>
      </c>
      <c r="F322" s="165">
        <v>100</v>
      </c>
      <c r="G322" s="162">
        <f>'[1]55'!C$63</f>
        <v>19730</v>
      </c>
      <c r="H322" s="165">
        <v>43.973644196654845</v>
      </c>
    </row>
    <row r="323" spans="1:8" s="5" customFormat="1" ht="11.25" customHeight="1" x14ac:dyDescent="0.2">
      <c r="D323" s="28"/>
      <c r="E323" s="13"/>
      <c r="F323" s="113"/>
      <c r="G323" s="13"/>
      <c r="H323" s="113"/>
    </row>
    <row r="324" spans="1:8" s="5" customFormat="1" ht="11.25" customHeight="1" x14ac:dyDescent="0.2">
      <c r="A324" s="5" t="s">
        <v>1372</v>
      </c>
      <c r="C324" s="5" t="s">
        <v>1373</v>
      </c>
      <c r="D324" s="28" t="s">
        <v>1072</v>
      </c>
      <c r="E324" s="13">
        <v>2000</v>
      </c>
      <c r="F324" s="113">
        <v>11.994002998500749</v>
      </c>
      <c r="G324" s="13"/>
      <c r="H324" s="113"/>
    </row>
    <row r="325" spans="1:8" s="5" customFormat="1" ht="11.25" customHeight="1" x14ac:dyDescent="0.2">
      <c r="C325" s="5" t="s">
        <v>1374</v>
      </c>
      <c r="D325" s="28" t="s">
        <v>655</v>
      </c>
      <c r="E325" s="13">
        <v>773</v>
      </c>
      <c r="F325" s="113">
        <v>4.6356821589205399</v>
      </c>
      <c r="G325" s="13"/>
      <c r="H325" s="113"/>
    </row>
    <row r="326" spans="1:8" s="5" customFormat="1" ht="11.25" customHeight="1" x14ac:dyDescent="0.2">
      <c r="C326" s="14" t="s">
        <v>1375</v>
      </c>
      <c r="D326" s="28" t="s">
        <v>1736</v>
      </c>
      <c r="E326" s="13">
        <v>13321</v>
      </c>
      <c r="F326" s="113">
        <v>79.886056971514236</v>
      </c>
      <c r="G326" s="13"/>
      <c r="H326" s="113"/>
    </row>
    <row r="327" spans="1:8" s="5" customFormat="1" ht="11.25" customHeight="1" x14ac:dyDescent="0.2">
      <c r="C327" s="5" t="s">
        <v>1376</v>
      </c>
      <c r="D327" s="28" t="s">
        <v>1314</v>
      </c>
      <c r="E327" s="13">
        <v>581</v>
      </c>
      <c r="F327" s="113">
        <v>3.484257871064468</v>
      </c>
      <c r="G327" s="13"/>
      <c r="H327" s="113"/>
    </row>
    <row r="328" spans="1:8" s="5" customFormat="1" ht="11.25" customHeight="1" x14ac:dyDescent="0.2">
      <c r="D328" s="28"/>
      <c r="E328" s="162" t="s">
        <v>2608</v>
      </c>
      <c r="F328" s="165">
        <v>100</v>
      </c>
      <c r="G328" s="162">
        <f>'[1]56'!C$81</f>
        <v>29806</v>
      </c>
      <c r="H328" s="165">
        <v>56.065892773267123</v>
      </c>
    </row>
    <row r="329" spans="1:8" s="5" customFormat="1" ht="11.25" customHeight="1" x14ac:dyDescent="0.2">
      <c r="D329" s="28"/>
      <c r="E329" s="13"/>
      <c r="F329" s="113"/>
      <c r="G329" s="13"/>
      <c r="H329" s="113"/>
    </row>
    <row r="330" spans="1:8" s="5" customFormat="1" ht="11.25" customHeight="1" x14ac:dyDescent="0.2">
      <c r="A330" s="5" t="s">
        <v>1377</v>
      </c>
      <c r="C330" s="5" t="s">
        <v>1378</v>
      </c>
      <c r="D330" s="28" t="s">
        <v>655</v>
      </c>
      <c r="E330" s="13">
        <v>651</v>
      </c>
      <c r="F330" s="113">
        <v>4.9969296898986801</v>
      </c>
      <c r="G330" s="13"/>
      <c r="H330" s="113"/>
    </row>
    <row r="331" spans="1:8" s="5" customFormat="1" ht="11.25" customHeight="1" x14ac:dyDescent="0.2">
      <c r="C331" s="5" t="s">
        <v>1379</v>
      </c>
      <c r="D331" s="28" t="s">
        <v>1072</v>
      </c>
      <c r="E331" s="13">
        <v>2652</v>
      </c>
      <c r="F331" s="113">
        <v>20.356155971753147</v>
      </c>
      <c r="G331" s="13"/>
      <c r="H331" s="113"/>
    </row>
    <row r="332" spans="1:8" s="5" customFormat="1" ht="11.25" customHeight="1" x14ac:dyDescent="0.2">
      <c r="C332" s="14" t="s">
        <v>1380</v>
      </c>
      <c r="D332" s="28" t="s">
        <v>1736</v>
      </c>
      <c r="E332" s="13">
        <v>9725</v>
      </c>
      <c r="F332" s="113">
        <v>74.646914338348168</v>
      </c>
      <c r="G332" s="13"/>
      <c r="H332" s="113"/>
    </row>
    <row r="333" spans="1:8" s="5" customFormat="1" ht="11.25" customHeight="1" x14ac:dyDescent="0.2">
      <c r="D333" s="28"/>
      <c r="E333" s="162" t="s">
        <v>2607</v>
      </c>
      <c r="F333" s="165">
        <v>100</v>
      </c>
      <c r="G333" s="162">
        <f>'[1]57'!C$68</f>
        <v>24028</v>
      </c>
      <c r="H333" s="165">
        <v>54.399034459796901</v>
      </c>
    </row>
    <row r="334" spans="1:8" s="5" customFormat="1" ht="11.25" customHeight="1" x14ac:dyDescent="0.2">
      <c r="D334" s="28"/>
      <c r="E334" s="13"/>
      <c r="F334" s="113"/>
      <c r="G334" s="13"/>
      <c r="H334" s="113"/>
    </row>
    <row r="335" spans="1:8" s="5" customFormat="1" ht="11.25" customHeight="1" x14ac:dyDescent="0.2">
      <c r="A335" s="5" t="s">
        <v>1381</v>
      </c>
      <c r="C335" s="14" t="s">
        <v>1382</v>
      </c>
      <c r="D335" s="28" t="s">
        <v>1736</v>
      </c>
      <c r="E335" s="13">
        <v>5335</v>
      </c>
      <c r="F335" s="113">
        <v>60.038262435291465</v>
      </c>
      <c r="G335" s="13"/>
      <c r="H335" s="113"/>
    </row>
    <row r="336" spans="1:8" s="5" customFormat="1" ht="11.25" customHeight="1" x14ac:dyDescent="0.2">
      <c r="C336" s="5" t="s">
        <v>1383</v>
      </c>
      <c r="D336" s="28" t="s">
        <v>1072</v>
      </c>
      <c r="E336" s="13">
        <v>3195</v>
      </c>
      <c r="F336" s="113">
        <v>35.955435516542877</v>
      </c>
      <c r="G336" s="13"/>
      <c r="H336" s="113"/>
    </row>
    <row r="337" spans="1:8" s="5" customFormat="1" ht="11.25" customHeight="1" x14ac:dyDescent="0.2">
      <c r="C337" s="5" t="s">
        <v>1384</v>
      </c>
      <c r="D337" s="28" t="s">
        <v>655</v>
      </c>
      <c r="E337" s="13">
        <v>356</v>
      </c>
      <c r="F337" s="113">
        <v>4.0063020481656535</v>
      </c>
      <c r="G337" s="13"/>
      <c r="H337" s="113"/>
    </row>
    <row r="338" spans="1:8" s="5" customFormat="1" ht="11.25" customHeight="1" x14ac:dyDescent="0.2">
      <c r="D338" s="28"/>
      <c r="E338" s="162" t="s">
        <v>2606</v>
      </c>
      <c r="F338" s="165">
        <v>100</v>
      </c>
      <c r="G338" s="162">
        <f>'[1]58'!C$50</f>
        <v>15641</v>
      </c>
      <c r="H338" s="165">
        <v>56.927306438207268</v>
      </c>
    </row>
    <row r="339" spans="1:8" s="5" customFormat="1" ht="11.25" customHeight="1" x14ac:dyDescent="0.2">
      <c r="D339" s="28"/>
      <c r="E339" s="13"/>
      <c r="F339" s="113"/>
      <c r="G339" s="13"/>
      <c r="H339" s="113"/>
    </row>
    <row r="340" spans="1:8" s="5" customFormat="1" ht="11.25" customHeight="1" x14ac:dyDescent="0.2">
      <c r="A340" s="5" t="s">
        <v>1926</v>
      </c>
      <c r="C340" s="5" t="s">
        <v>1927</v>
      </c>
      <c r="D340" s="28" t="s">
        <v>653</v>
      </c>
      <c r="E340" s="13">
        <v>554</v>
      </c>
      <c r="F340" s="113">
        <v>4.7229326513213978</v>
      </c>
      <c r="G340" s="13"/>
      <c r="H340" s="113"/>
    </row>
    <row r="341" spans="1:8" s="5" customFormat="1" ht="11.25" customHeight="1" x14ac:dyDescent="0.2">
      <c r="C341" s="5" t="s">
        <v>1928</v>
      </c>
      <c r="D341" s="28" t="s">
        <v>655</v>
      </c>
      <c r="E341" s="13">
        <v>455</v>
      </c>
      <c r="F341" s="113">
        <v>3.8789428815004259</v>
      </c>
      <c r="G341" s="13"/>
      <c r="H341" s="113"/>
    </row>
    <row r="342" spans="1:8" s="5" customFormat="1" ht="11.25" customHeight="1" x14ac:dyDescent="0.2">
      <c r="C342" s="14" t="s">
        <v>1929</v>
      </c>
      <c r="D342" s="28" t="s">
        <v>1736</v>
      </c>
      <c r="E342" s="13">
        <v>8221</v>
      </c>
      <c r="F342" s="113">
        <v>70.085251491901118</v>
      </c>
      <c r="G342" s="13"/>
      <c r="H342" s="113"/>
    </row>
    <row r="343" spans="1:8" s="5" customFormat="1" ht="11.25" customHeight="1" x14ac:dyDescent="0.2">
      <c r="C343" s="5" t="s">
        <v>1930</v>
      </c>
      <c r="D343" s="28" t="s">
        <v>1072</v>
      </c>
      <c r="E343" s="13">
        <v>2500</v>
      </c>
      <c r="F343" s="113">
        <v>21.312872975277067</v>
      </c>
      <c r="G343" s="13"/>
      <c r="H343" s="113"/>
    </row>
    <row r="344" spans="1:8" s="5" customFormat="1" ht="11.25" customHeight="1" x14ac:dyDescent="0.2">
      <c r="D344" s="28"/>
      <c r="E344" s="162" t="s">
        <v>2605</v>
      </c>
      <c r="F344" s="165">
        <v>100</v>
      </c>
      <c r="G344" s="162">
        <f>'[1]59'!C$60</f>
        <v>21103</v>
      </c>
      <c r="H344" s="165">
        <v>55.655593991375632</v>
      </c>
    </row>
    <row r="345" spans="1:8" s="5" customFormat="1" ht="11.25" customHeight="1" x14ac:dyDescent="0.2">
      <c r="D345" s="28"/>
      <c r="E345" s="13"/>
      <c r="F345" s="113"/>
      <c r="G345" s="13"/>
      <c r="H345" s="113"/>
    </row>
    <row r="346" spans="1:8" s="5" customFormat="1" ht="11.25" customHeight="1" x14ac:dyDescent="0.2">
      <c r="A346" s="5" t="s">
        <v>1931</v>
      </c>
      <c r="C346" s="5" t="s">
        <v>1932</v>
      </c>
      <c r="D346" s="28" t="s">
        <v>1072</v>
      </c>
      <c r="E346" s="13">
        <v>3575</v>
      </c>
      <c r="F346" s="113">
        <v>25.967894239848917</v>
      </c>
      <c r="G346" s="13"/>
      <c r="H346" s="113"/>
    </row>
    <row r="347" spans="1:8" s="5" customFormat="1" ht="11.25" customHeight="1" x14ac:dyDescent="0.2">
      <c r="C347" s="14" t="s">
        <v>1933</v>
      </c>
      <c r="D347" s="28" t="s">
        <v>1736</v>
      </c>
      <c r="E347" s="13">
        <v>9235</v>
      </c>
      <c r="F347" s="113">
        <v>67.080700225176145</v>
      </c>
      <c r="G347" s="13"/>
      <c r="H347" s="113"/>
    </row>
    <row r="348" spans="1:8" s="5" customFormat="1" ht="11.25" customHeight="1" x14ac:dyDescent="0.2">
      <c r="C348" s="5" t="s">
        <v>1934</v>
      </c>
      <c r="D348" s="28" t="s">
        <v>655</v>
      </c>
      <c r="E348" s="13">
        <v>957</v>
      </c>
      <c r="F348" s="113">
        <v>6.9514055349749402</v>
      </c>
      <c r="G348" s="13"/>
      <c r="H348" s="113"/>
    </row>
    <row r="349" spans="1:8" s="5" customFormat="1" ht="11.25" customHeight="1" x14ac:dyDescent="0.2">
      <c r="D349" s="28"/>
      <c r="E349" s="162" t="s">
        <v>2604</v>
      </c>
      <c r="F349" s="165">
        <v>100</v>
      </c>
      <c r="G349" s="162">
        <f>'[1]60'!C$74</f>
        <v>24286</v>
      </c>
      <c r="H349" s="165">
        <v>57.020505641110105</v>
      </c>
    </row>
    <row r="350" spans="1:8" s="5" customFormat="1" ht="11.25" customHeight="1" x14ac:dyDescent="0.2">
      <c r="D350" s="28"/>
      <c r="E350" s="13"/>
      <c r="F350" s="113"/>
      <c r="G350" s="13"/>
      <c r="H350" s="113"/>
    </row>
    <row r="351" spans="1:8" s="53" customFormat="1" ht="11.25" customHeight="1" x14ac:dyDescent="0.2">
      <c r="A351" s="1" t="s">
        <v>2350</v>
      </c>
      <c r="B351"/>
      <c r="C351" s="53" t="s">
        <v>2351</v>
      </c>
      <c r="D351" s="28" t="s">
        <v>655</v>
      </c>
      <c r="E351" s="13">
        <v>232</v>
      </c>
      <c r="F351" s="113">
        <v>3.6097712774233703</v>
      </c>
      <c r="G351" s="13"/>
      <c r="H351" s="113"/>
    </row>
    <row r="352" spans="1:8" s="53" customFormat="1" ht="11.25" customHeight="1" x14ac:dyDescent="0.2">
      <c r="A352"/>
      <c r="B352"/>
      <c r="C352" s="55" t="s">
        <v>2352</v>
      </c>
      <c r="D352" s="28" t="s">
        <v>1736</v>
      </c>
      <c r="E352" s="13">
        <v>4766</v>
      </c>
      <c r="F352" s="113">
        <v>74.155904776723204</v>
      </c>
      <c r="G352" s="13"/>
      <c r="H352" s="113"/>
    </row>
    <row r="353" spans="1:8" s="53" customFormat="1" ht="11.25" customHeight="1" x14ac:dyDescent="0.2">
      <c r="A353"/>
      <c r="B353"/>
      <c r="C353" s="53" t="s">
        <v>2353</v>
      </c>
      <c r="D353" s="28" t="s">
        <v>1072</v>
      </c>
      <c r="E353" s="13">
        <v>1429</v>
      </c>
      <c r="F353" s="113">
        <v>22.234323945853433</v>
      </c>
      <c r="G353" s="13"/>
      <c r="H353" s="113"/>
    </row>
    <row r="354" spans="1:8" s="53" customFormat="1" ht="11.25" customHeight="1" x14ac:dyDescent="0.2">
      <c r="D354" s="28"/>
      <c r="E354" s="162" t="s">
        <v>784</v>
      </c>
      <c r="F354" s="165">
        <v>100</v>
      </c>
      <c r="G354" s="162">
        <v>14185</v>
      </c>
      <c r="H354" s="165">
        <v>45.52696510398308</v>
      </c>
    </row>
    <row r="355" spans="1:8" s="53" customFormat="1" ht="11.25" customHeight="1" x14ac:dyDescent="0.2">
      <c r="D355" s="28"/>
      <c r="E355" s="13"/>
      <c r="F355" s="113"/>
      <c r="G355" s="13"/>
      <c r="H355" s="113"/>
    </row>
    <row r="356" spans="1:8" s="5" customFormat="1" ht="11.25" customHeight="1" x14ac:dyDescent="0.2">
      <c r="A356" s="5" t="s">
        <v>1935</v>
      </c>
      <c r="C356" s="5" t="s">
        <v>1936</v>
      </c>
      <c r="D356" s="28" t="s">
        <v>1736</v>
      </c>
      <c r="E356" s="13">
        <v>4704</v>
      </c>
      <c r="F356" s="113">
        <v>36.925975351283455</v>
      </c>
      <c r="G356" s="13"/>
      <c r="H356" s="113"/>
    </row>
    <row r="357" spans="1:8" s="5" customFormat="1" ht="11.25" customHeight="1" x14ac:dyDescent="0.2">
      <c r="C357" s="5" t="s">
        <v>3177</v>
      </c>
      <c r="D357" s="28" t="s">
        <v>655</v>
      </c>
      <c r="E357" s="13">
        <v>542</v>
      </c>
      <c r="F357" s="113">
        <v>4.2546510715126775</v>
      </c>
      <c r="G357" s="13"/>
      <c r="H357" s="113"/>
    </row>
    <row r="358" spans="1:8" s="5" customFormat="1" ht="11.25" customHeight="1" x14ac:dyDescent="0.2">
      <c r="C358" s="14" t="s">
        <v>3178</v>
      </c>
      <c r="D358" s="28" t="s">
        <v>1072</v>
      </c>
      <c r="E358" s="13">
        <v>6939</v>
      </c>
      <c r="F358" s="113">
        <v>54.470523588978722</v>
      </c>
      <c r="G358" s="13"/>
      <c r="H358" s="113"/>
    </row>
    <row r="359" spans="1:8" s="5" customFormat="1" ht="11.25" customHeight="1" x14ac:dyDescent="0.2">
      <c r="C359" s="5" t="s">
        <v>3179</v>
      </c>
      <c r="D359" s="28" t="s">
        <v>1315</v>
      </c>
      <c r="E359" s="13">
        <v>554</v>
      </c>
      <c r="F359" s="113">
        <v>4.3488499882251359</v>
      </c>
      <c r="G359" s="13"/>
      <c r="H359" s="113"/>
    </row>
    <row r="360" spans="1:8" s="5" customFormat="1" ht="11.25" customHeight="1" x14ac:dyDescent="0.2">
      <c r="D360" s="28"/>
      <c r="E360" s="162" t="s">
        <v>2603</v>
      </c>
      <c r="F360" s="165">
        <v>100</v>
      </c>
      <c r="G360" s="162">
        <f>'[1]61'!C$64</f>
        <v>24040</v>
      </c>
      <c r="H360" s="165">
        <v>53.069883527454245</v>
      </c>
    </row>
    <row r="361" spans="1:8" s="5" customFormat="1" ht="11.25" customHeight="1" x14ac:dyDescent="0.2">
      <c r="D361" s="28"/>
      <c r="E361" s="13"/>
      <c r="F361" s="113"/>
      <c r="G361" s="13"/>
      <c r="H361" s="113"/>
    </row>
    <row r="362" spans="1:8" s="5" customFormat="1" ht="11.25" customHeight="1" x14ac:dyDescent="0.2">
      <c r="A362" s="5" t="s">
        <v>3180</v>
      </c>
      <c r="C362" s="14" t="s">
        <v>3181</v>
      </c>
      <c r="D362" s="28" t="s">
        <v>1736</v>
      </c>
      <c r="E362" s="13">
        <v>6685</v>
      </c>
      <c r="F362" s="113">
        <v>48.076231571377207</v>
      </c>
      <c r="G362" s="13"/>
      <c r="H362" s="113"/>
    </row>
    <row r="363" spans="1:8" s="5" customFormat="1" ht="11.25" customHeight="1" x14ac:dyDescent="0.2">
      <c r="C363" s="5" t="s">
        <v>3182</v>
      </c>
      <c r="D363" s="28" t="s">
        <v>655</v>
      </c>
      <c r="E363" s="13">
        <v>1062</v>
      </c>
      <c r="F363" s="113">
        <v>7.6375404530744335</v>
      </c>
      <c r="G363" s="13"/>
      <c r="H363" s="113"/>
    </row>
    <row r="364" spans="1:8" s="5" customFormat="1" ht="11.25" customHeight="1" x14ac:dyDescent="0.2">
      <c r="C364" s="5" t="s">
        <v>3183</v>
      </c>
      <c r="D364" s="28" t="s">
        <v>1315</v>
      </c>
      <c r="E364" s="13">
        <v>662</v>
      </c>
      <c r="F364" s="113">
        <v>4.7608773822366057</v>
      </c>
      <c r="G364" s="13"/>
      <c r="H364" s="113"/>
    </row>
    <row r="365" spans="1:8" s="5" customFormat="1" ht="11.25" customHeight="1" x14ac:dyDescent="0.2">
      <c r="C365" s="5" t="s">
        <v>3184</v>
      </c>
      <c r="D365" s="28" t="s">
        <v>1072</v>
      </c>
      <c r="E365" s="13">
        <v>5496</v>
      </c>
      <c r="F365" s="113">
        <v>39.525350593311757</v>
      </c>
      <c r="G365" s="13"/>
      <c r="H365" s="113"/>
    </row>
    <row r="366" spans="1:8" s="5" customFormat="1" ht="11.25" customHeight="1" x14ac:dyDescent="0.2">
      <c r="D366" s="28"/>
      <c r="E366" s="162" t="s">
        <v>2602</v>
      </c>
      <c r="F366" s="165">
        <v>100</v>
      </c>
      <c r="G366" s="162">
        <f>'[1]62'!C$71</f>
        <v>24561</v>
      </c>
      <c r="H366" s="165">
        <v>56.744432229958065</v>
      </c>
    </row>
    <row r="367" spans="1:8" s="5" customFormat="1" ht="11.25" customHeight="1" x14ac:dyDescent="0.2">
      <c r="D367" s="28"/>
      <c r="E367" s="13"/>
      <c r="F367" s="113"/>
      <c r="G367" s="13"/>
      <c r="H367" s="113"/>
    </row>
    <row r="368" spans="1:8" s="5" customFormat="1" ht="11.25" customHeight="1" x14ac:dyDescent="0.2">
      <c r="A368" s="5" t="s">
        <v>3185</v>
      </c>
      <c r="C368" s="5" t="s">
        <v>3186</v>
      </c>
      <c r="D368" s="28" t="s">
        <v>655</v>
      </c>
      <c r="E368" s="13">
        <v>319</v>
      </c>
      <c r="F368" s="113">
        <v>3.0040493455127599</v>
      </c>
      <c r="G368" s="13"/>
      <c r="H368" s="113"/>
    </row>
    <row r="369" spans="1:8" s="5" customFormat="1" ht="11.25" customHeight="1" x14ac:dyDescent="0.2">
      <c r="C369" s="5" t="s">
        <v>3187</v>
      </c>
      <c r="D369" s="28" t="s">
        <v>653</v>
      </c>
      <c r="E369" s="13">
        <v>885</v>
      </c>
      <c r="F369" s="113">
        <v>8.334118090215652</v>
      </c>
      <c r="G369" s="13"/>
      <c r="H369" s="113"/>
    </row>
    <row r="370" spans="1:8" s="5" customFormat="1" ht="11.25" customHeight="1" x14ac:dyDescent="0.2">
      <c r="C370" s="5" t="s">
        <v>3188</v>
      </c>
      <c r="D370" s="28" t="s">
        <v>1072</v>
      </c>
      <c r="E370" s="13">
        <v>2534</v>
      </c>
      <c r="F370" s="113">
        <v>23.862887277521423</v>
      </c>
      <c r="G370" s="13"/>
      <c r="H370" s="113"/>
    </row>
    <row r="371" spans="1:8" s="5" customFormat="1" ht="11.25" customHeight="1" x14ac:dyDescent="0.2">
      <c r="C371" s="14" t="s">
        <v>3189</v>
      </c>
      <c r="D371" s="28" t="s">
        <v>1736</v>
      </c>
      <c r="E371" s="13">
        <v>6881</v>
      </c>
      <c r="F371" s="113">
        <v>64.798945286750168</v>
      </c>
      <c r="G371" s="13"/>
      <c r="H371" s="113"/>
    </row>
    <row r="372" spans="1:8" s="5" customFormat="1" ht="11.25" customHeight="1" x14ac:dyDescent="0.2">
      <c r="D372" s="28"/>
      <c r="E372" s="162" t="s">
        <v>2601</v>
      </c>
      <c r="F372" s="165">
        <v>100</v>
      </c>
      <c r="G372" s="162">
        <f>'[1]63'!C$61</f>
        <v>18771</v>
      </c>
      <c r="H372" s="165">
        <v>56.661872036652284</v>
      </c>
    </row>
    <row r="373" spans="1:8" s="5" customFormat="1" ht="11.25" customHeight="1" x14ac:dyDescent="0.2">
      <c r="D373" s="28"/>
      <c r="E373" s="13"/>
      <c r="F373" s="113"/>
      <c r="G373" s="13"/>
      <c r="H373" s="113"/>
    </row>
    <row r="374" spans="1:8" s="5" customFormat="1" ht="11.25" customHeight="1" x14ac:dyDescent="0.2">
      <c r="A374" s="5" t="s">
        <v>3190</v>
      </c>
      <c r="C374" s="14" t="s">
        <v>3191</v>
      </c>
      <c r="D374" s="28" t="s">
        <v>1736</v>
      </c>
      <c r="E374" s="13">
        <v>6340</v>
      </c>
      <c r="F374" s="113">
        <v>60.687278644586961</v>
      </c>
      <c r="G374" s="13"/>
      <c r="H374" s="113"/>
    </row>
    <row r="375" spans="1:8" s="5" customFormat="1" ht="11.25" customHeight="1" x14ac:dyDescent="0.2">
      <c r="C375" s="5" t="s">
        <v>3192</v>
      </c>
      <c r="D375" s="28" t="s">
        <v>1315</v>
      </c>
      <c r="E375" s="13">
        <v>519</v>
      </c>
      <c r="F375" s="113">
        <v>4.9679333780032549</v>
      </c>
      <c r="G375" s="13"/>
      <c r="H375" s="113"/>
    </row>
    <row r="376" spans="1:8" s="5" customFormat="1" ht="11.25" customHeight="1" x14ac:dyDescent="0.2">
      <c r="C376" s="5" t="s">
        <v>3193</v>
      </c>
      <c r="D376" s="28" t="s">
        <v>1072</v>
      </c>
      <c r="E376" s="13">
        <v>3035</v>
      </c>
      <c r="F376" s="113">
        <v>29.051402316454482</v>
      </c>
      <c r="G376" s="13"/>
      <c r="H376" s="113"/>
    </row>
    <row r="377" spans="1:8" s="5" customFormat="1" ht="11.25" customHeight="1" x14ac:dyDescent="0.2">
      <c r="C377" s="5" t="s">
        <v>3194</v>
      </c>
      <c r="D377" s="28" t="s">
        <v>655</v>
      </c>
      <c r="E377" s="13">
        <v>553</v>
      </c>
      <c r="F377" s="113">
        <v>5.2933856609552983</v>
      </c>
      <c r="G377" s="13"/>
      <c r="H377" s="113"/>
    </row>
    <row r="378" spans="1:8" s="5" customFormat="1" ht="11.25" customHeight="1" x14ac:dyDescent="0.2">
      <c r="D378" s="28"/>
      <c r="E378" s="162" t="s">
        <v>2600</v>
      </c>
      <c r="F378" s="165">
        <v>100</v>
      </c>
      <c r="G378" s="162">
        <f>'[1]64'!C$59</f>
        <v>24270</v>
      </c>
      <c r="H378" s="165">
        <v>43.201483312731767</v>
      </c>
    </row>
    <row r="379" spans="1:8" s="5" customFormat="1" ht="11.25" customHeight="1" x14ac:dyDescent="0.2">
      <c r="D379" s="28"/>
      <c r="E379" s="13"/>
      <c r="F379" s="113"/>
      <c r="G379" s="13"/>
      <c r="H379" s="113"/>
    </row>
    <row r="380" spans="1:8" s="5" customFormat="1" ht="11.25" customHeight="1" x14ac:dyDescent="0.2">
      <c r="A380" s="5" t="s">
        <v>3195</v>
      </c>
      <c r="C380" s="5" t="s">
        <v>3196</v>
      </c>
      <c r="D380" s="28" t="s">
        <v>1072</v>
      </c>
      <c r="E380" s="13">
        <v>4166</v>
      </c>
      <c r="F380" s="113">
        <v>31.894043791149901</v>
      </c>
      <c r="G380" s="13"/>
      <c r="H380" s="113"/>
    </row>
    <row r="381" spans="1:8" s="5" customFormat="1" ht="11.25" customHeight="1" x14ac:dyDescent="0.2">
      <c r="C381" s="5" t="s">
        <v>408</v>
      </c>
      <c r="D381" s="28" t="s">
        <v>655</v>
      </c>
      <c r="E381" s="13">
        <v>787</v>
      </c>
      <c r="F381" s="113">
        <v>6.0251110090338384</v>
      </c>
      <c r="G381" s="13"/>
      <c r="H381" s="113"/>
    </row>
    <row r="382" spans="1:8" s="5" customFormat="1" ht="11.25" customHeight="1" x14ac:dyDescent="0.2">
      <c r="C382" s="14" t="s">
        <v>409</v>
      </c>
      <c r="D382" s="28" t="s">
        <v>1736</v>
      </c>
      <c r="E382" s="13">
        <v>8109</v>
      </c>
      <c r="F382" s="113">
        <v>62.08084519981626</v>
      </c>
      <c r="G382" s="13"/>
      <c r="H382" s="113"/>
    </row>
    <row r="383" spans="1:8" s="5" customFormat="1" ht="11.25" customHeight="1" x14ac:dyDescent="0.2">
      <c r="D383" s="28"/>
      <c r="E383" s="162" t="s">
        <v>2599</v>
      </c>
      <c r="F383" s="165">
        <v>100</v>
      </c>
      <c r="G383" s="162">
        <f>'[1]65'!C$78</f>
        <v>25360</v>
      </c>
      <c r="H383" s="165">
        <v>51.74290220820189</v>
      </c>
    </row>
    <row r="384" spans="1:8" s="5" customFormat="1" ht="11.25" customHeight="1" x14ac:dyDescent="0.2">
      <c r="D384" s="28"/>
      <c r="E384" s="13"/>
      <c r="F384" s="113"/>
      <c r="G384" s="13"/>
      <c r="H384" s="113"/>
    </row>
    <row r="385" spans="1:8" s="5" customFormat="1" ht="11.25" customHeight="1" x14ac:dyDescent="0.2">
      <c r="A385" s="5" t="s">
        <v>410</v>
      </c>
      <c r="C385" s="5" t="s">
        <v>411</v>
      </c>
      <c r="D385" s="28" t="s">
        <v>655</v>
      </c>
      <c r="E385" s="13">
        <v>383</v>
      </c>
      <c r="F385" s="113">
        <v>2.9328432498659929</v>
      </c>
      <c r="G385" s="13"/>
      <c r="H385" s="113"/>
    </row>
    <row r="386" spans="1:8" s="5" customFormat="1" ht="11.25" customHeight="1" x14ac:dyDescent="0.2">
      <c r="C386" s="14" t="s">
        <v>412</v>
      </c>
      <c r="D386" s="28" t="s">
        <v>1736</v>
      </c>
      <c r="E386" s="13">
        <v>10553</v>
      </c>
      <c r="F386" s="113">
        <v>80.810169231947313</v>
      </c>
      <c r="G386" s="13"/>
      <c r="H386" s="113"/>
    </row>
    <row r="387" spans="1:8" s="5" customFormat="1" ht="11.25" customHeight="1" x14ac:dyDescent="0.2">
      <c r="C387" s="5" t="s">
        <v>413</v>
      </c>
      <c r="D387" s="28" t="s">
        <v>1072</v>
      </c>
      <c r="E387" s="13">
        <v>1663</v>
      </c>
      <c r="F387" s="113">
        <v>12.734512596676623</v>
      </c>
      <c r="G387" s="13"/>
      <c r="H387" s="113"/>
    </row>
    <row r="388" spans="1:8" s="5" customFormat="1" ht="11.25" customHeight="1" x14ac:dyDescent="0.2">
      <c r="C388" s="5" t="s">
        <v>414</v>
      </c>
      <c r="D388" s="28" t="s">
        <v>1071</v>
      </c>
      <c r="E388" s="13">
        <v>460</v>
      </c>
      <c r="F388" s="113">
        <v>3.5224749215100695</v>
      </c>
      <c r="G388" s="13"/>
      <c r="H388" s="113"/>
    </row>
    <row r="389" spans="1:8" s="5" customFormat="1" ht="11.25" customHeight="1" x14ac:dyDescent="0.2">
      <c r="D389" s="28"/>
      <c r="E389" s="162" t="s">
        <v>2598</v>
      </c>
      <c r="F389" s="165">
        <v>100</v>
      </c>
      <c r="G389" s="162">
        <f>'[1]66'!C$64</f>
        <v>21391</v>
      </c>
      <c r="H389" s="165">
        <v>61.273432752092006</v>
      </c>
    </row>
    <row r="390" spans="1:8" s="5" customFormat="1" ht="11.25" customHeight="1" x14ac:dyDescent="0.2">
      <c r="D390" s="28"/>
      <c r="E390" s="13"/>
      <c r="F390" s="113"/>
      <c r="G390" s="13"/>
      <c r="H390" s="113"/>
    </row>
    <row r="391" spans="1:8" s="5" customFormat="1" ht="11.25" customHeight="1" x14ac:dyDescent="0.2">
      <c r="A391" s="5" t="s">
        <v>415</v>
      </c>
      <c r="C391" s="5" t="s">
        <v>416</v>
      </c>
      <c r="D391" s="28" t="s">
        <v>1072</v>
      </c>
      <c r="E391" s="13">
        <v>1544</v>
      </c>
      <c r="F391" s="113">
        <v>26.303236797274277</v>
      </c>
      <c r="G391" s="13"/>
      <c r="H391" s="113"/>
    </row>
    <row r="392" spans="1:8" s="5" customFormat="1" ht="11.25" customHeight="1" x14ac:dyDescent="0.2">
      <c r="C392" s="5" t="s">
        <v>417</v>
      </c>
      <c r="D392" s="28" t="s">
        <v>655</v>
      </c>
      <c r="E392" s="13">
        <v>338</v>
      </c>
      <c r="F392" s="113">
        <v>5.7580919931856895</v>
      </c>
      <c r="G392" s="13"/>
      <c r="H392" s="113"/>
    </row>
    <row r="393" spans="1:8" s="5" customFormat="1" ht="11.25" customHeight="1" x14ac:dyDescent="0.2">
      <c r="C393" s="14" t="s">
        <v>418</v>
      </c>
      <c r="D393" s="28" t="s">
        <v>1736</v>
      </c>
      <c r="E393" s="13">
        <v>3782</v>
      </c>
      <c r="F393" s="113">
        <v>64.429301533219757</v>
      </c>
      <c r="G393" s="13"/>
      <c r="H393" s="113"/>
    </row>
    <row r="394" spans="1:8" s="5" customFormat="1" ht="11.25" customHeight="1" x14ac:dyDescent="0.2">
      <c r="C394" s="5" t="s">
        <v>419</v>
      </c>
      <c r="D394" s="28" t="s">
        <v>1315</v>
      </c>
      <c r="E394" s="13">
        <v>206</v>
      </c>
      <c r="F394" s="113">
        <v>3.5093696763202722</v>
      </c>
      <c r="G394" s="13"/>
      <c r="H394" s="113"/>
    </row>
    <row r="395" spans="1:8" s="5" customFormat="1" ht="11.25" customHeight="1" x14ac:dyDescent="0.2">
      <c r="D395" s="28"/>
      <c r="E395" s="162" t="s">
        <v>2597</v>
      </c>
      <c r="F395" s="165">
        <v>100</v>
      </c>
      <c r="G395" s="162">
        <f>'[1]67'!C$57</f>
        <v>16176</v>
      </c>
      <c r="H395" s="165">
        <v>36.368694362017806</v>
      </c>
    </row>
    <row r="396" spans="1:8" s="5" customFormat="1" ht="11.25" customHeight="1" x14ac:dyDescent="0.2">
      <c r="D396" s="28"/>
      <c r="E396" s="13"/>
      <c r="F396" s="113"/>
      <c r="G396" s="13"/>
      <c r="H396" s="113"/>
    </row>
    <row r="397" spans="1:8" s="5" customFormat="1" ht="11.25" customHeight="1" x14ac:dyDescent="0.2">
      <c r="A397" s="5" t="s">
        <v>420</v>
      </c>
      <c r="C397" s="5" t="s">
        <v>421</v>
      </c>
      <c r="D397" s="28" t="s">
        <v>1072</v>
      </c>
      <c r="E397" s="13">
        <v>1296</v>
      </c>
      <c r="F397" s="113">
        <v>13.741914961297846</v>
      </c>
      <c r="G397" s="13"/>
      <c r="H397" s="113"/>
    </row>
    <row r="398" spans="1:8" s="5" customFormat="1" ht="11.25" customHeight="1" x14ac:dyDescent="0.2">
      <c r="C398" s="14" t="s">
        <v>422</v>
      </c>
      <c r="D398" s="28" t="s">
        <v>1736</v>
      </c>
      <c r="E398" s="13">
        <v>6797</v>
      </c>
      <c r="F398" s="113">
        <v>72.070830240695585</v>
      </c>
      <c r="G398" s="13"/>
      <c r="H398" s="113"/>
    </row>
    <row r="399" spans="1:8" s="5" customFormat="1" ht="11.25" customHeight="1" x14ac:dyDescent="0.2">
      <c r="C399" s="5" t="s">
        <v>423</v>
      </c>
      <c r="D399" s="28" t="s">
        <v>653</v>
      </c>
      <c r="E399" s="13">
        <v>764</v>
      </c>
      <c r="F399" s="113">
        <v>8.1009436963206447</v>
      </c>
      <c r="G399" s="13"/>
      <c r="H399" s="113"/>
    </row>
    <row r="400" spans="1:8" s="5" customFormat="1" ht="11.25" customHeight="1" x14ac:dyDescent="0.2">
      <c r="C400" s="5" t="s">
        <v>424</v>
      </c>
      <c r="D400" s="28" t="s">
        <v>655</v>
      </c>
      <c r="E400" s="13">
        <v>574</v>
      </c>
      <c r="F400" s="113">
        <v>6.0863111016859293</v>
      </c>
      <c r="G400" s="13"/>
      <c r="H400" s="113"/>
    </row>
    <row r="401" spans="1:8" s="5" customFormat="1" ht="11.25" customHeight="1" x14ac:dyDescent="0.2">
      <c r="D401" s="28"/>
      <c r="E401" s="162" t="s">
        <v>2596</v>
      </c>
      <c r="F401" s="165">
        <v>100</v>
      </c>
      <c r="G401" s="162">
        <f>'[1]68'!C$56</f>
        <v>16158</v>
      </c>
      <c r="H401" s="165">
        <v>58.528283203366748</v>
      </c>
    </row>
    <row r="402" spans="1:8" s="5" customFormat="1" ht="11.25" customHeight="1" x14ac:dyDescent="0.2">
      <c r="D402" s="28"/>
      <c r="E402" s="13"/>
      <c r="F402" s="113"/>
      <c r="G402" s="13"/>
      <c r="H402" s="113"/>
    </row>
    <row r="403" spans="1:8" s="5" customFormat="1" ht="11.25" customHeight="1" x14ac:dyDescent="0.2">
      <c r="A403" s="5" t="s">
        <v>425</v>
      </c>
      <c r="C403" s="5" t="s">
        <v>426</v>
      </c>
      <c r="D403" s="28" t="s">
        <v>1315</v>
      </c>
      <c r="E403" s="13">
        <v>356</v>
      </c>
      <c r="F403" s="113">
        <v>4.045454545454545</v>
      </c>
      <c r="G403" s="13"/>
      <c r="H403" s="113"/>
    </row>
    <row r="404" spans="1:8" s="5" customFormat="1" ht="11.25" customHeight="1" x14ac:dyDescent="0.2">
      <c r="C404" s="5" t="s">
        <v>427</v>
      </c>
      <c r="D404" s="28" t="s">
        <v>655</v>
      </c>
      <c r="E404" s="13">
        <v>309</v>
      </c>
      <c r="F404" s="113">
        <v>3.5113636363636362</v>
      </c>
      <c r="G404" s="13"/>
      <c r="H404" s="113"/>
    </row>
    <row r="405" spans="1:8" s="5" customFormat="1" ht="11.25" customHeight="1" x14ac:dyDescent="0.2">
      <c r="C405" s="14" t="s">
        <v>428</v>
      </c>
      <c r="D405" s="28" t="s">
        <v>1736</v>
      </c>
      <c r="E405" s="13">
        <v>5025</v>
      </c>
      <c r="F405" s="113">
        <v>57.102272727272727</v>
      </c>
      <c r="G405" s="13"/>
      <c r="H405" s="113"/>
    </row>
    <row r="406" spans="1:8" s="5" customFormat="1" ht="11.25" customHeight="1" x14ac:dyDescent="0.2">
      <c r="C406" s="5" t="s">
        <v>429</v>
      </c>
      <c r="D406" s="28" t="s">
        <v>1072</v>
      </c>
      <c r="E406" s="13">
        <v>3110</v>
      </c>
      <c r="F406" s="113">
        <v>35.340909090909086</v>
      </c>
      <c r="G406" s="13"/>
      <c r="H406" s="113"/>
    </row>
    <row r="407" spans="1:8" s="5" customFormat="1" ht="11.25" customHeight="1" x14ac:dyDescent="0.2">
      <c r="D407" s="28"/>
      <c r="E407" s="162" t="s">
        <v>764</v>
      </c>
      <c r="F407" s="165">
        <v>100</v>
      </c>
      <c r="G407" s="162">
        <f>'[1]69'!C$59</f>
        <v>21651</v>
      </c>
      <c r="H407" s="165">
        <v>40.690961156528566</v>
      </c>
    </row>
    <row r="408" spans="1:8" s="5" customFormat="1" ht="11.25" customHeight="1" x14ac:dyDescent="0.2">
      <c r="D408" s="28"/>
      <c r="E408" s="13"/>
      <c r="F408" s="113"/>
      <c r="G408" s="13"/>
      <c r="H408" s="113"/>
    </row>
    <row r="409" spans="1:8" s="5" customFormat="1" ht="11.25" customHeight="1" x14ac:dyDescent="0.2">
      <c r="A409" s="5" t="s">
        <v>430</v>
      </c>
      <c r="C409" s="5" t="s">
        <v>431</v>
      </c>
      <c r="D409" s="28" t="s">
        <v>1315</v>
      </c>
      <c r="E409" s="13">
        <v>459</v>
      </c>
      <c r="F409" s="113">
        <v>3.5901447008212748</v>
      </c>
      <c r="G409" s="13"/>
      <c r="H409" s="113"/>
    </row>
    <row r="410" spans="1:8" s="5" customFormat="1" ht="11.25" customHeight="1" x14ac:dyDescent="0.2">
      <c r="C410" s="5" t="s">
        <v>432</v>
      </c>
      <c r="D410" s="28" t="s">
        <v>655</v>
      </c>
      <c r="E410" s="13">
        <v>512</v>
      </c>
      <c r="F410" s="113">
        <v>4.0046929996089169</v>
      </c>
      <c r="G410" s="13"/>
      <c r="H410" s="113"/>
    </row>
    <row r="411" spans="1:8" s="5" customFormat="1" ht="11.25" customHeight="1" x14ac:dyDescent="0.2">
      <c r="C411" s="14" t="s">
        <v>433</v>
      </c>
      <c r="D411" s="28" t="s">
        <v>1736</v>
      </c>
      <c r="E411" s="13">
        <v>7684</v>
      </c>
      <c r="F411" s="113">
        <v>60.101681658193193</v>
      </c>
      <c r="G411" s="13"/>
      <c r="H411" s="113"/>
    </row>
    <row r="412" spans="1:8" s="5" customFormat="1" ht="11.25" customHeight="1" x14ac:dyDescent="0.2">
      <c r="C412" s="5" t="s">
        <v>434</v>
      </c>
      <c r="D412" s="28" t="s">
        <v>653</v>
      </c>
      <c r="E412" s="13">
        <v>203</v>
      </c>
      <c r="F412" s="113">
        <v>1.5877982010168168</v>
      </c>
      <c r="G412" s="13"/>
      <c r="H412" s="113"/>
    </row>
    <row r="413" spans="1:8" s="5" customFormat="1" ht="11.25" customHeight="1" x14ac:dyDescent="0.2">
      <c r="C413" s="5" t="s">
        <v>435</v>
      </c>
      <c r="D413" s="28" t="s">
        <v>1072</v>
      </c>
      <c r="E413" s="13">
        <v>3927</v>
      </c>
      <c r="F413" s="113">
        <v>30.715682440359799</v>
      </c>
      <c r="G413" s="13"/>
      <c r="H413" s="113"/>
    </row>
    <row r="414" spans="1:8" s="5" customFormat="1" ht="11.25" customHeight="1" x14ac:dyDescent="0.2">
      <c r="D414" s="28"/>
      <c r="E414" s="162" t="s">
        <v>748</v>
      </c>
      <c r="F414" s="165">
        <v>100</v>
      </c>
      <c r="G414" s="162">
        <f>'[1]70'!C$68</f>
        <v>25283</v>
      </c>
      <c r="H414" s="165">
        <v>50.709963216390463</v>
      </c>
    </row>
    <row r="415" spans="1:8" s="5" customFormat="1" ht="11.25" customHeight="1" x14ac:dyDescent="0.2">
      <c r="D415" s="28"/>
      <c r="E415" s="13"/>
      <c r="F415" s="113"/>
      <c r="G415" s="13"/>
      <c r="H415" s="113"/>
    </row>
    <row r="416" spans="1:8" s="5" customFormat="1" ht="11.25" customHeight="1" x14ac:dyDescent="0.2">
      <c r="A416" s="5" t="s">
        <v>436</v>
      </c>
      <c r="C416" s="14" t="s">
        <v>437</v>
      </c>
      <c r="D416" s="28" t="s">
        <v>1736</v>
      </c>
      <c r="E416" s="13">
        <v>7319</v>
      </c>
      <c r="F416" s="113">
        <v>58.328020401657632</v>
      </c>
      <c r="G416" s="13"/>
      <c r="H416" s="113"/>
    </row>
    <row r="417" spans="1:8" s="5" customFormat="1" ht="11.25" customHeight="1" x14ac:dyDescent="0.2">
      <c r="C417" s="5" t="s">
        <v>438</v>
      </c>
      <c r="D417" s="28" t="s">
        <v>1315</v>
      </c>
      <c r="E417" s="13">
        <v>647</v>
      </c>
      <c r="F417" s="113">
        <v>5.1562001912655404</v>
      </c>
      <c r="G417" s="13"/>
      <c r="H417" s="113"/>
    </row>
    <row r="418" spans="1:8" s="5" customFormat="1" ht="11.25" customHeight="1" x14ac:dyDescent="0.2">
      <c r="C418" s="5" t="s">
        <v>439</v>
      </c>
      <c r="D418" s="28" t="s">
        <v>1072</v>
      </c>
      <c r="E418" s="13">
        <v>3924</v>
      </c>
      <c r="F418" s="113">
        <v>31.271915843162258</v>
      </c>
      <c r="G418" s="13"/>
      <c r="H418" s="113"/>
    </row>
    <row r="419" spans="1:8" s="5" customFormat="1" ht="11.25" customHeight="1" x14ac:dyDescent="0.2">
      <c r="C419" s="5" t="s">
        <v>440</v>
      </c>
      <c r="D419" s="28" t="s">
        <v>655</v>
      </c>
      <c r="E419" s="13">
        <v>658</v>
      </c>
      <c r="F419" s="113">
        <v>5.2438635639145676</v>
      </c>
      <c r="G419" s="13"/>
      <c r="H419" s="113"/>
    </row>
    <row r="420" spans="1:8" s="5" customFormat="1" ht="11.25" customHeight="1" x14ac:dyDescent="0.2">
      <c r="D420" s="28"/>
      <c r="E420" s="162" t="s">
        <v>749</v>
      </c>
      <c r="F420" s="165">
        <v>100</v>
      </c>
      <c r="G420" s="162">
        <f>'[1]71'!C$69</f>
        <v>21656</v>
      </c>
      <c r="H420" s="165">
        <v>58.127077946065754</v>
      </c>
    </row>
    <row r="421" spans="1:8" s="5" customFormat="1" ht="11.25" customHeight="1" x14ac:dyDescent="0.2">
      <c r="D421" s="28"/>
      <c r="E421" s="13"/>
      <c r="F421" s="113"/>
      <c r="G421" s="13"/>
      <c r="H421" s="113"/>
    </row>
    <row r="422" spans="1:8" s="5" customFormat="1" ht="11.25" customHeight="1" x14ac:dyDescent="0.2">
      <c r="A422" s="5" t="s">
        <v>441</v>
      </c>
      <c r="C422" s="5" t="s">
        <v>442</v>
      </c>
      <c r="D422" s="28" t="s">
        <v>1071</v>
      </c>
      <c r="E422" s="13">
        <v>1705</v>
      </c>
      <c r="F422" s="113">
        <v>15.354827089337174</v>
      </c>
      <c r="G422" s="13"/>
      <c r="H422" s="113"/>
    </row>
    <row r="423" spans="1:8" s="5" customFormat="1" ht="11.25" customHeight="1" x14ac:dyDescent="0.2">
      <c r="C423" s="5" t="s">
        <v>443</v>
      </c>
      <c r="D423" s="28" t="s">
        <v>1072</v>
      </c>
      <c r="E423" s="13">
        <v>1171</v>
      </c>
      <c r="F423" s="113">
        <v>10.545749279538905</v>
      </c>
      <c r="G423" s="13"/>
      <c r="H423" s="113"/>
    </row>
    <row r="424" spans="1:8" s="5" customFormat="1" ht="11.25" customHeight="1" x14ac:dyDescent="0.2">
      <c r="C424" s="14" t="s">
        <v>444</v>
      </c>
      <c r="D424" s="28" t="s">
        <v>1736</v>
      </c>
      <c r="E424" s="13">
        <v>7820</v>
      </c>
      <c r="F424" s="113">
        <v>70.425072046109506</v>
      </c>
      <c r="G424" s="13"/>
      <c r="H424" s="113"/>
    </row>
    <row r="425" spans="1:8" s="5" customFormat="1" ht="11.25" customHeight="1" x14ac:dyDescent="0.2">
      <c r="C425" s="5" t="s">
        <v>445</v>
      </c>
      <c r="D425" s="28" t="s">
        <v>655</v>
      </c>
      <c r="E425" s="13">
        <v>408</v>
      </c>
      <c r="F425" s="113">
        <v>3.6743515850144091</v>
      </c>
      <c r="G425" s="13"/>
      <c r="H425" s="113"/>
    </row>
    <row r="426" spans="1:8" s="5" customFormat="1" ht="11.25" customHeight="1" x14ac:dyDescent="0.2">
      <c r="D426" s="28"/>
      <c r="E426" s="162" t="s">
        <v>750</v>
      </c>
      <c r="F426" s="165">
        <v>100</v>
      </c>
      <c r="G426" s="162">
        <f>'[1]72'!C$63</f>
        <v>20051</v>
      </c>
      <c r="H426" s="165">
        <v>55.503466161288713</v>
      </c>
    </row>
    <row r="427" spans="1:8" s="5" customFormat="1" ht="11.25" customHeight="1" x14ac:dyDescent="0.2">
      <c r="D427" s="28"/>
      <c r="E427" s="13"/>
      <c r="F427" s="113"/>
      <c r="G427" s="13"/>
      <c r="H427" s="113"/>
    </row>
    <row r="428" spans="1:8" s="5" customFormat="1" ht="11.25" customHeight="1" x14ac:dyDescent="0.2">
      <c r="A428" s="5" t="s">
        <v>446</v>
      </c>
      <c r="C428" s="5" t="s">
        <v>902</v>
      </c>
      <c r="D428" s="28" t="s">
        <v>1072</v>
      </c>
      <c r="E428" s="13">
        <v>7479</v>
      </c>
      <c r="F428" s="113">
        <v>41.233873635461457</v>
      </c>
      <c r="G428" s="13"/>
      <c r="H428" s="113"/>
    </row>
    <row r="429" spans="1:8" s="5" customFormat="1" ht="11.25" customHeight="1" x14ac:dyDescent="0.2">
      <c r="C429" s="5" t="s">
        <v>903</v>
      </c>
      <c r="D429" s="28" t="s">
        <v>655</v>
      </c>
      <c r="E429" s="13">
        <v>1122</v>
      </c>
      <c r="F429" s="113">
        <v>6.185908038372478</v>
      </c>
      <c r="G429" s="13"/>
      <c r="H429" s="113"/>
    </row>
    <row r="430" spans="1:8" s="5" customFormat="1" ht="11.25" customHeight="1" x14ac:dyDescent="0.2">
      <c r="C430" s="14" t="s">
        <v>904</v>
      </c>
      <c r="D430" s="28" t="s">
        <v>1736</v>
      </c>
      <c r="E430" s="13">
        <v>9537</v>
      </c>
      <c r="F430" s="113">
        <v>52.580218326166062</v>
      </c>
      <c r="G430" s="13"/>
      <c r="H430" s="113"/>
    </row>
    <row r="431" spans="1:8" s="5" customFormat="1" ht="11.25" customHeight="1" x14ac:dyDescent="0.2">
      <c r="D431" s="28"/>
      <c r="E431" s="162" t="s">
        <v>751</v>
      </c>
      <c r="F431" s="165">
        <v>100</v>
      </c>
      <c r="G431" s="162">
        <f>'[1]73'!C$79</f>
        <v>28444</v>
      </c>
      <c r="H431" s="165">
        <v>63.869357333708344</v>
      </c>
    </row>
    <row r="432" spans="1:8" s="5" customFormat="1" ht="11.25" customHeight="1" x14ac:dyDescent="0.2">
      <c r="D432" s="28"/>
      <c r="E432" s="13"/>
      <c r="F432" s="113"/>
      <c r="G432" s="13"/>
      <c r="H432" s="113"/>
    </row>
    <row r="433" spans="1:8" s="5" customFormat="1" ht="11.25" customHeight="1" x14ac:dyDescent="0.2">
      <c r="A433" s="5" t="s">
        <v>905</v>
      </c>
      <c r="C433" s="14" t="s">
        <v>906</v>
      </c>
      <c r="D433" s="28" t="s">
        <v>1736</v>
      </c>
      <c r="E433" s="13">
        <v>13243</v>
      </c>
      <c r="F433" s="113">
        <v>64.174258577243648</v>
      </c>
      <c r="G433" s="13"/>
      <c r="H433" s="113"/>
    </row>
    <row r="434" spans="1:8" s="5" customFormat="1" ht="11.25" customHeight="1" x14ac:dyDescent="0.2">
      <c r="C434" s="5" t="s">
        <v>2540</v>
      </c>
      <c r="D434" s="28" t="s">
        <v>655</v>
      </c>
      <c r="E434" s="13">
        <v>1606</v>
      </c>
      <c r="F434" s="113">
        <v>7.7825159914712154</v>
      </c>
      <c r="G434" s="13"/>
      <c r="H434" s="113"/>
    </row>
    <row r="435" spans="1:8" s="5" customFormat="1" ht="11.25" customHeight="1" x14ac:dyDescent="0.2">
      <c r="C435" s="5" t="s">
        <v>2541</v>
      </c>
      <c r="D435" s="28" t="s">
        <v>1072</v>
      </c>
      <c r="E435" s="13">
        <v>5787</v>
      </c>
      <c r="F435" s="113">
        <v>28.043225431285133</v>
      </c>
      <c r="G435" s="13"/>
      <c r="H435" s="113"/>
    </row>
    <row r="436" spans="1:8" s="5" customFormat="1" ht="11.25" customHeight="1" x14ac:dyDescent="0.2">
      <c r="D436" s="28"/>
      <c r="E436" s="162" t="s">
        <v>752</v>
      </c>
      <c r="F436" s="165">
        <v>100</v>
      </c>
      <c r="G436" s="162">
        <f>'[1]74'!C$89</f>
        <v>31837</v>
      </c>
      <c r="H436" s="165">
        <v>64.965291955900369</v>
      </c>
    </row>
    <row r="437" spans="1:8" s="5" customFormat="1" ht="11.25" customHeight="1" x14ac:dyDescent="0.2">
      <c r="D437" s="28"/>
      <c r="E437" s="13"/>
      <c r="F437" s="113"/>
      <c r="G437" s="13"/>
      <c r="H437" s="113"/>
    </row>
    <row r="438" spans="1:8" s="5" customFormat="1" ht="11.25" customHeight="1" x14ac:dyDescent="0.2">
      <c r="A438" s="5" t="s">
        <v>1290</v>
      </c>
      <c r="C438" s="5" t="s">
        <v>2542</v>
      </c>
      <c r="D438" s="28" t="s">
        <v>655</v>
      </c>
      <c r="E438" s="13">
        <v>616</v>
      </c>
      <c r="F438" s="113">
        <v>4.2606169594688064</v>
      </c>
      <c r="G438" s="13"/>
      <c r="H438" s="113"/>
    </row>
    <row r="439" spans="1:8" s="5" customFormat="1" ht="11.25" customHeight="1" x14ac:dyDescent="0.2">
      <c r="A439" s="123" t="s">
        <v>446</v>
      </c>
      <c r="C439" s="14" t="s">
        <v>2543</v>
      </c>
      <c r="D439" s="28" t="s">
        <v>1736</v>
      </c>
      <c r="E439" s="13">
        <v>8010</v>
      </c>
      <c r="F439" s="113">
        <v>55.401853645040809</v>
      </c>
      <c r="G439" s="13"/>
      <c r="H439" s="113"/>
    </row>
    <row r="440" spans="1:8" s="5" customFormat="1" ht="11.25" customHeight="1" x14ac:dyDescent="0.2">
      <c r="C440" s="5" t="s">
        <v>2544</v>
      </c>
      <c r="D440" s="28" t="s">
        <v>1072</v>
      </c>
      <c r="E440" s="13">
        <v>5832</v>
      </c>
      <c r="F440" s="113">
        <v>40.337529395490385</v>
      </c>
      <c r="G440" s="13"/>
      <c r="H440" s="113"/>
    </row>
    <row r="441" spans="1:8" s="5" customFormat="1" ht="11.25" customHeight="1" x14ac:dyDescent="0.2">
      <c r="D441" s="28"/>
      <c r="E441" s="162" t="s">
        <v>753</v>
      </c>
      <c r="F441" s="165">
        <v>100</v>
      </c>
      <c r="G441" s="162">
        <f>'[1]75'!C$69</f>
        <v>23855</v>
      </c>
      <c r="H441" s="165">
        <v>60.792286732341225</v>
      </c>
    </row>
    <row r="442" spans="1:8" s="5" customFormat="1" ht="11.25" customHeight="1" x14ac:dyDescent="0.2">
      <c r="D442" s="28"/>
      <c r="E442" s="13"/>
      <c r="F442" s="113"/>
      <c r="G442" s="13"/>
      <c r="H442" s="113"/>
    </row>
    <row r="443" spans="1:8" s="5" customFormat="1" ht="11.25" customHeight="1" x14ac:dyDescent="0.2">
      <c r="A443" s="5" t="s">
        <v>2545</v>
      </c>
      <c r="C443" s="5" t="s">
        <v>2546</v>
      </c>
      <c r="D443" s="28" t="s">
        <v>1072</v>
      </c>
      <c r="E443" s="13">
        <v>3228</v>
      </c>
      <c r="F443" s="113">
        <v>23.586146427005701</v>
      </c>
      <c r="G443" s="13"/>
      <c r="H443" s="113"/>
    </row>
    <row r="444" spans="1:8" s="5" customFormat="1" ht="11.25" customHeight="1" x14ac:dyDescent="0.2">
      <c r="C444" s="5" t="s">
        <v>2547</v>
      </c>
      <c r="D444" s="28" t="s">
        <v>655</v>
      </c>
      <c r="E444" s="13">
        <v>1261</v>
      </c>
      <c r="F444" s="113">
        <v>9.2137951190998102</v>
      </c>
      <c r="G444" s="13"/>
      <c r="H444" s="113"/>
    </row>
    <row r="445" spans="1:8" s="5" customFormat="1" ht="11.25" customHeight="1" x14ac:dyDescent="0.2">
      <c r="C445" s="14" t="s">
        <v>2548</v>
      </c>
      <c r="D445" s="28" t="s">
        <v>1736</v>
      </c>
      <c r="E445" s="13">
        <v>9197</v>
      </c>
      <c r="F445" s="113">
        <v>67.200058453894499</v>
      </c>
      <c r="G445" s="13"/>
      <c r="H445" s="113"/>
    </row>
    <row r="446" spans="1:8" s="5" customFormat="1" ht="11.25" customHeight="1" x14ac:dyDescent="0.2">
      <c r="D446" s="28"/>
      <c r="E446" s="162" t="s">
        <v>501</v>
      </c>
      <c r="F446" s="165">
        <v>100</v>
      </c>
      <c r="G446" s="162">
        <f>'[1]76'!C$68</f>
        <v>23668</v>
      </c>
      <c r="H446" s="165">
        <v>57.943214466790607</v>
      </c>
    </row>
    <row r="447" spans="1:8" s="5" customFormat="1" ht="11.25" customHeight="1" x14ac:dyDescent="0.2">
      <c r="D447" s="28"/>
      <c r="E447" s="13"/>
      <c r="F447" s="113"/>
      <c r="G447" s="13"/>
      <c r="H447" s="113"/>
    </row>
    <row r="448" spans="1:8" s="29" customFormat="1" ht="11.25" customHeight="1" x14ac:dyDescent="0.2">
      <c r="A448" s="29" t="s">
        <v>2549</v>
      </c>
      <c r="C448" s="29" t="s">
        <v>2550</v>
      </c>
      <c r="D448" s="50" t="s">
        <v>655</v>
      </c>
      <c r="E448" s="56">
        <v>290</v>
      </c>
      <c r="F448" s="114">
        <v>2.5365170996238957</v>
      </c>
      <c r="G448" s="56"/>
      <c r="H448" s="114"/>
    </row>
    <row r="449" spans="1:8" s="5" customFormat="1" ht="11.25" customHeight="1" x14ac:dyDescent="0.2">
      <c r="C449" s="5" t="s">
        <v>2551</v>
      </c>
      <c r="D449" s="28" t="s">
        <v>1071</v>
      </c>
      <c r="E449" s="13">
        <v>273</v>
      </c>
      <c r="F449" s="113">
        <v>2.3878247179218053</v>
      </c>
      <c r="G449" s="13"/>
      <c r="H449" s="113"/>
    </row>
    <row r="450" spans="1:8" s="5" customFormat="1" ht="11.25" customHeight="1" x14ac:dyDescent="0.2">
      <c r="C450" s="5" t="s">
        <v>2552</v>
      </c>
      <c r="D450" s="28" t="s">
        <v>1072</v>
      </c>
      <c r="E450" s="13">
        <v>1774</v>
      </c>
      <c r="F450" s="113">
        <v>15.516487361147554</v>
      </c>
      <c r="G450" s="13"/>
      <c r="H450" s="113"/>
    </row>
    <row r="451" spans="1:8" s="5" customFormat="1" ht="11.25" customHeight="1" x14ac:dyDescent="0.2">
      <c r="C451" s="14" t="s">
        <v>2553</v>
      </c>
      <c r="D451" s="28" t="s">
        <v>1736</v>
      </c>
      <c r="E451" s="13">
        <v>8585</v>
      </c>
      <c r="F451" s="113">
        <v>75.089652759555676</v>
      </c>
      <c r="G451" s="13"/>
      <c r="H451" s="113"/>
    </row>
    <row r="452" spans="1:8" s="5" customFormat="1" ht="11.25" customHeight="1" x14ac:dyDescent="0.2">
      <c r="C452" s="5" t="s">
        <v>2554</v>
      </c>
      <c r="D452" s="28" t="s">
        <v>653</v>
      </c>
      <c r="E452" s="13">
        <v>511</v>
      </c>
      <c r="F452" s="113">
        <v>4.4695180617510717</v>
      </c>
      <c r="G452" s="13"/>
      <c r="H452" s="113"/>
    </row>
    <row r="453" spans="1:8" s="5" customFormat="1" ht="11.25" customHeight="1" x14ac:dyDescent="0.2">
      <c r="D453" s="28"/>
      <c r="E453" s="162" t="s">
        <v>502</v>
      </c>
      <c r="F453" s="165">
        <v>100</v>
      </c>
      <c r="G453" s="162">
        <f>'[1]77'!C$70</f>
        <v>24372</v>
      </c>
      <c r="H453" s="165">
        <v>47.01706876743804</v>
      </c>
    </row>
    <row r="454" spans="1:8" s="5" customFormat="1" ht="11.25" customHeight="1" x14ac:dyDescent="0.2">
      <c r="D454" s="28"/>
      <c r="E454" s="13"/>
      <c r="F454" s="113"/>
      <c r="G454" s="13"/>
      <c r="H454" s="113"/>
    </row>
    <row r="455" spans="1:8" s="5" customFormat="1" ht="11.25" customHeight="1" x14ac:dyDescent="0.2">
      <c r="A455" s="5" t="s">
        <v>2555</v>
      </c>
      <c r="C455" s="5" t="s">
        <v>2556</v>
      </c>
      <c r="D455" s="28" t="s">
        <v>1072</v>
      </c>
      <c r="E455" s="13">
        <v>3391</v>
      </c>
      <c r="F455" s="113">
        <v>28.676532769556022</v>
      </c>
      <c r="G455" s="13"/>
      <c r="H455" s="113"/>
    </row>
    <row r="456" spans="1:8" s="5" customFormat="1" ht="11.25" customHeight="1" x14ac:dyDescent="0.2">
      <c r="C456" s="5" t="s">
        <v>2557</v>
      </c>
      <c r="D456" s="28" t="s">
        <v>655</v>
      </c>
      <c r="E456" s="13">
        <v>1243</v>
      </c>
      <c r="F456" s="113">
        <v>10.511627906976745</v>
      </c>
      <c r="G456" s="13"/>
      <c r="H456" s="113"/>
    </row>
    <row r="457" spans="1:8" s="5" customFormat="1" ht="11.25" customHeight="1" x14ac:dyDescent="0.2">
      <c r="C457" s="14" t="s">
        <v>2558</v>
      </c>
      <c r="D457" s="28" t="s">
        <v>1736</v>
      </c>
      <c r="E457" s="13">
        <v>7191</v>
      </c>
      <c r="F457" s="113">
        <v>60.811839323467233</v>
      </c>
      <c r="G457" s="13"/>
      <c r="H457" s="113"/>
    </row>
    <row r="458" spans="1:8" s="5" customFormat="1" ht="11.25" customHeight="1" x14ac:dyDescent="0.2">
      <c r="D458" s="28"/>
      <c r="E458" s="162" t="s">
        <v>754</v>
      </c>
      <c r="F458" s="165">
        <v>100</v>
      </c>
      <c r="G458" s="162">
        <f>'[1]78'!C$62</f>
        <v>19187</v>
      </c>
      <c r="H458" s="165">
        <v>61.817897534789182</v>
      </c>
    </row>
    <row r="459" spans="1:8" s="5" customFormat="1" ht="11.25" customHeight="1" x14ac:dyDescent="0.2">
      <c r="D459" s="28"/>
      <c r="E459" s="13"/>
      <c r="F459" s="113"/>
      <c r="G459" s="13"/>
      <c r="H459" s="113"/>
    </row>
    <row r="460" spans="1:8" s="5" customFormat="1" ht="11.25" customHeight="1" x14ac:dyDescent="0.2">
      <c r="A460" s="5" t="s">
        <v>2559</v>
      </c>
      <c r="C460" s="14" t="s">
        <v>2560</v>
      </c>
      <c r="D460" s="28" t="s">
        <v>1736</v>
      </c>
      <c r="E460" s="13">
        <v>6978</v>
      </c>
      <c r="F460" s="113">
        <v>73.275228394413531</v>
      </c>
      <c r="G460" s="13"/>
      <c r="H460" s="113"/>
    </row>
    <row r="461" spans="1:8" s="5" customFormat="1" ht="11.25" customHeight="1" x14ac:dyDescent="0.2">
      <c r="C461" s="5" t="s">
        <v>2561</v>
      </c>
      <c r="D461" s="28" t="s">
        <v>655</v>
      </c>
      <c r="E461" s="13">
        <v>976</v>
      </c>
      <c r="F461" s="113">
        <v>10.248871154048093</v>
      </c>
      <c r="G461" s="13"/>
      <c r="H461" s="113"/>
    </row>
    <row r="462" spans="1:8" s="5" customFormat="1" ht="11.25" customHeight="1" x14ac:dyDescent="0.2">
      <c r="C462" s="5" t="s">
        <v>2562</v>
      </c>
      <c r="D462" s="28" t="s">
        <v>1072</v>
      </c>
      <c r="E462" s="13">
        <v>980</v>
      </c>
      <c r="F462" s="113">
        <v>10.290874724351569</v>
      </c>
      <c r="G462" s="13"/>
      <c r="H462" s="113"/>
    </row>
    <row r="463" spans="1:8" s="5" customFormat="1" ht="11.25" customHeight="1" x14ac:dyDescent="0.2">
      <c r="C463" s="5" t="s">
        <v>2563</v>
      </c>
      <c r="D463" s="28" t="s">
        <v>1315</v>
      </c>
      <c r="E463" s="13">
        <v>589</v>
      </c>
      <c r="F463" s="113">
        <v>6.1850257271868108</v>
      </c>
      <c r="G463" s="13"/>
      <c r="H463" s="113"/>
    </row>
    <row r="464" spans="1:8" s="5" customFormat="1" ht="11.25" customHeight="1" x14ac:dyDescent="0.2">
      <c r="D464" s="28"/>
      <c r="E464" s="162" t="s">
        <v>2591</v>
      </c>
      <c r="F464" s="165">
        <v>100</v>
      </c>
      <c r="G464" s="162">
        <f>'[1]79'!C$64</f>
        <v>19847</v>
      </c>
      <c r="H464" s="165">
        <v>48.153373305789287</v>
      </c>
    </row>
    <row r="465" spans="1:8" s="5" customFormat="1" ht="11.25" customHeight="1" x14ac:dyDescent="0.2">
      <c r="D465" s="28"/>
      <c r="E465" s="13"/>
      <c r="F465" s="113"/>
      <c r="G465" s="13"/>
      <c r="H465" s="113"/>
    </row>
    <row r="466" spans="1:8" s="5" customFormat="1" ht="11.25" customHeight="1" x14ac:dyDescent="0.2">
      <c r="A466" s="5" t="s">
        <v>2564</v>
      </c>
      <c r="C466" s="5" t="s">
        <v>2565</v>
      </c>
      <c r="D466" s="28" t="s">
        <v>1315</v>
      </c>
      <c r="E466" s="13">
        <v>1394</v>
      </c>
      <c r="F466" s="113">
        <v>12.834913912162785</v>
      </c>
      <c r="G466" s="13"/>
      <c r="H466" s="113"/>
    </row>
    <row r="467" spans="1:8" s="5" customFormat="1" ht="11.25" customHeight="1" x14ac:dyDescent="0.2">
      <c r="C467" s="14" t="s">
        <v>2566</v>
      </c>
      <c r="D467" s="28" t="s">
        <v>1736</v>
      </c>
      <c r="E467" s="13">
        <v>6910</v>
      </c>
      <c r="F467" s="113">
        <v>63.622134241782526</v>
      </c>
      <c r="G467" s="13"/>
      <c r="H467" s="113"/>
    </row>
    <row r="468" spans="1:8" s="5" customFormat="1" ht="11.25" customHeight="1" x14ac:dyDescent="0.2">
      <c r="C468" s="5" t="s">
        <v>1531</v>
      </c>
      <c r="D468" s="28" t="s">
        <v>655</v>
      </c>
      <c r="E468" s="13">
        <v>420</v>
      </c>
      <c r="F468" s="113">
        <v>3.8670472332197772</v>
      </c>
      <c r="G468" s="13"/>
      <c r="H468" s="113"/>
    </row>
    <row r="469" spans="1:8" s="5" customFormat="1" ht="11.25" customHeight="1" x14ac:dyDescent="0.2">
      <c r="C469" s="5" t="s">
        <v>1532</v>
      </c>
      <c r="D469" s="28" t="s">
        <v>653</v>
      </c>
      <c r="E469" s="13">
        <v>868</v>
      </c>
      <c r="F469" s="113">
        <v>7.9918976153208723</v>
      </c>
      <c r="G469" s="13"/>
      <c r="H469" s="113"/>
    </row>
    <row r="470" spans="1:8" s="5" customFormat="1" ht="11.25" customHeight="1" x14ac:dyDescent="0.2">
      <c r="C470" s="5" t="s">
        <v>1533</v>
      </c>
      <c r="D470" s="28" t="s">
        <v>1072</v>
      </c>
      <c r="E470" s="13">
        <v>1269</v>
      </c>
      <c r="F470" s="113">
        <v>11.684006997514039</v>
      </c>
      <c r="G470" s="13"/>
      <c r="H470" s="113"/>
    </row>
    <row r="471" spans="1:8" s="5" customFormat="1" ht="11.25" customHeight="1" x14ac:dyDescent="0.2">
      <c r="D471" s="28"/>
      <c r="E471" s="162" t="s">
        <v>2592</v>
      </c>
      <c r="F471" s="165">
        <v>100</v>
      </c>
      <c r="G471" s="162">
        <f>'[1]80'!C$70</f>
        <v>19292</v>
      </c>
      <c r="H471" s="165">
        <v>56.380883267675721</v>
      </c>
    </row>
    <row r="472" spans="1:8" s="5" customFormat="1" ht="11.25" customHeight="1" x14ac:dyDescent="0.2">
      <c r="D472" s="28"/>
      <c r="E472" s="13"/>
      <c r="F472" s="113"/>
      <c r="G472" s="13"/>
      <c r="H472" s="113"/>
    </row>
    <row r="473" spans="1:8" s="5" customFormat="1" ht="11.25" customHeight="1" x14ac:dyDescent="0.2">
      <c r="A473" s="5" t="s">
        <v>1534</v>
      </c>
      <c r="C473" s="5" t="s">
        <v>1535</v>
      </c>
      <c r="D473" s="28" t="s">
        <v>1072</v>
      </c>
      <c r="E473" s="13">
        <v>3180</v>
      </c>
      <c r="F473" s="113">
        <v>32.635467980295566</v>
      </c>
      <c r="G473" s="13"/>
      <c r="H473" s="113"/>
    </row>
    <row r="474" spans="1:8" s="5" customFormat="1" ht="11.25" customHeight="1" x14ac:dyDescent="0.2">
      <c r="C474" s="5" t="s">
        <v>1536</v>
      </c>
      <c r="D474" s="28" t="s">
        <v>655</v>
      </c>
      <c r="E474" s="13">
        <v>801</v>
      </c>
      <c r="F474" s="113">
        <v>8.2204433497536957</v>
      </c>
      <c r="G474" s="13"/>
      <c r="H474" s="113"/>
    </row>
    <row r="475" spans="1:8" s="5" customFormat="1" ht="11.25" customHeight="1" x14ac:dyDescent="0.2">
      <c r="C475" s="14" t="s">
        <v>1537</v>
      </c>
      <c r="D475" s="28" t="s">
        <v>1736</v>
      </c>
      <c r="E475" s="13">
        <v>5763</v>
      </c>
      <c r="F475" s="113">
        <v>59.144088669950733</v>
      </c>
      <c r="G475" s="13"/>
      <c r="H475" s="113"/>
    </row>
    <row r="476" spans="1:8" s="5" customFormat="1" ht="11.25" customHeight="1" x14ac:dyDescent="0.2">
      <c r="D476" s="28"/>
      <c r="E476" s="162" t="s">
        <v>2593</v>
      </c>
      <c r="F476" s="165">
        <v>100</v>
      </c>
      <c r="G476" s="162">
        <f>'[1]81'!C$70</f>
        <v>18995</v>
      </c>
      <c r="H476" s="165">
        <v>51.334561726770204</v>
      </c>
    </row>
    <row r="477" spans="1:8" s="5" customFormat="1" ht="11.25" customHeight="1" x14ac:dyDescent="0.2">
      <c r="D477" s="28"/>
      <c r="E477" s="13"/>
      <c r="F477" s="113"/>
      <c r="G477" s="13"/>
      <c r="H477" s="113"/>
    </row>
    <row r="478" spans="1:8" s="5" customFormat="1" ht="11.25" customHeight="1" x14ac:dyDescent="0.2">
      <c r="A478" s="5" t="s">
        <v>1538</v>
      </c>
      <c r="C478" s="14" t="s">
        <v>1539</v>
      </c>
      <c r="D478" s="28" t="s">
        <v>1736</v>
      </c>
      <c r="E478" s="13">
        <v>9090</v>
      </c>
      <c r="F478" s="113">
        <v>72.355329141128706</v>
      </c>
      <c r="G478" s="13"/>
      <c r="H478" s="113"/>
    </row>
    <row r="479" spans="1:8" s="5" customFormat="1" ht="11.25" customHeight="1" x14ac:dyDescent="0.2">
      <c r="C479" s="5" t="s">
        <v>1540</v>
      </c>
      <c r="D479" s="28" t="s">
        <v>1072</v>
      </c>
      <c r="E479" s="13">
        <v>1671</v>
      </c>
      <c r="F479" s="113">
        <v>13.300963145745442</v>
      </c>
      <c r="G479" s="13"/>
      <c r="H479" s="113"/>
    </row>
    <row r="480" spans="1:8" s="5" customFormat="1" ht="11.25" customHeight="1" x14ac:dyDescent="0.2">
      <c r="C480" s="5" t="s">
        <v>1541</v>
      </c>
      <c r="D480" s="28" t="s">
        <v>653</v>
      </c>
      <c r="E480" s="13">
        <v>382</v>
      </c>
      <c r="F480" s="113">
        <v>3.0406749980100294</v>
      </c>
      <c r="G480" s="13"/>
      <c r="H480" s="113"/>
    </row>
    <row r="481" spans="1:8" s="5" customFormat="1" ht="11.25" customHeight="1" x14ac:dyDescent="0.2">
      <c r="C481" s="5" t="s">
        <v>1542</v>
      </c>
      <c r="D481" s="28" t="s">
        <v>655</v>
      </c>
      <c r="E481" s="13">
        <v>1420</v>
      </c>
      <c r="F481" s="113">
        <v>11.303032715115817</v>
      </c>
      <c r="G481" s="13"/>
      <c r="H481" s="113"/>
    </row>
    <row r="482" spans="1:8" s="5" customFormat="1" ht="11.25" customHeight="1" x14ac:dyDescent="0.2">
      <c r="D482" s="28"/>
      <c r="E482" s="162" t="s">
        <v>2594</v>
      </c>
      <c r="F482" s="165">
        <v>100</v>
      </c>
      <c r="G482" s="162">
        <f>'[1]82'!C$65</f>
        <v>22866</v>
      </c>
      <c r="H482" s="165">
        <v>55.024927840461821</v>
      </c>
    </row>
    <row r="483" spans="1:8" s="5" customFormat="1" ht="11.25" customHeight="1" x14ac:dyDescent="0.2">
      <c r="D483" s="28"/>
      <c r="E483" s="13"/>
      <c r="F483" s="113"/>
      <c r="G483" s="13"/>
      <c r="H483" s="113"/>
    </row>
    <row r="484" spans="1:8" s="5" customFormat="1" ht="11.25" customHeight="1" x14ac:dyDescent="0.2">
      <c r="A484" s="5" t="s">
        <v>1543</v>
      </c>
      <c r="C484" s="5" t="s">
        <v>1544</v>
      </c>
      <c r="D484" s="28" t="s">
        <v>1072</v>
      </c>
      <c r="E484" s="13">
        <v>2890</v>
      </c>
      <c r="F484" s="113">
        <v>26.179907600326118</v>
      </c>
      <c r="G484" s="13"/>
      <c r="H484" s="113"/>
    </row>
    <row r="485" spans="1:8" s="5" customFormat="1" ht="11.25" customHeight="1" x14ac:dyDescent="0.2">
      <c r="C485" s="5" t="s">
        <v>1545</v>
      </c>
      <c r="D485" s="28" t="s">
        <v>655</v>
      </c>
      <c r="E485" s="13">
        <v>570</v>
      </c>
      <c r="F485" s="113">
        <v>5.1635111876075728</v>
      </c>
      <c r="G485" s="13"/>
      <c r="H485" s="113"/>
    </row>
    <row r="486" spans="1:8" s="5" customFormat="1" ht="11.25" customHeight="1" x14ac:dyDescent="0.2">
      <c r="C486" s="14" t="s">
        <v>1546</v>
      </c>
      <c r="D486" s="28" t="s">
        <v>1736</v>
      </c>
      <c r="E486" s="13">
        <v>7579</v>
      </c>
      <c r="F486" s="113">
        <v>68.656581212066314</v>
      </c>
      <c r="G486" s="13"/>
      <c r="H486" s="113"/>
    </row>
    <row r="487" spans="1:8" s="5" customFormat="1" ht="11.25" customHeight="1" x14ac:dyDescent="0.2">
      <c r="D487" s="28"/>
      <c r="E487" s="162" t="s">
        <v>2595</v>
      </c>
      <c r="F487" s="165">
        <v>100</v>
      </c>
      <c r="G487" s="162">
        <f>'[1]83'!C$67</f>
        <v>20462</v>
      </c>
      <c r="H487" s="165">
        <v>54.139380314729749</v>
      </c>
    </row>
    <row r="488" spans="1:8" s="5" customFormat="1" ht="11.25" customHeight="1" x14ac:dyDescent="0.2">
      <c r="D488" s="28"/>
      <c r="E488" s="13"/>
      <c r="F488" s="113"/>
      <c r="G488" s="13"/>
      <c r="H488" s="113"/>
    </row>
    <row r="489" spans="1:8" s="5" customFormat="1" ht="11.25" customHeight="1" x14ac:dyDescent="0.2">
      <c r="D489" s="28"/>
      <c r="E489" s="13"/>
      <c r="F489" s="113"/>
      <c r="G489" s="13"/>
      <c r="H489" s="113"/>
    </row>
    <row r="490" spans="1:8" s="26" customFormat="1" ht="11.25" customHeight="1" x14ac:dyDescent="0.2">
      <c r="A490" s="145" t="s">
        <v>1131</v>
      </c>
      <c r="B490" s="145"/>
      <c r="C490" s="145"/>
      <c r="D490" s="146"/>
      <c r="E490" s="147" t="s">
        <v>765</v>
      </c>
      <c r="F490" s="148"/>
      <c r="G490" s="147">
        <f>SUM(G4:G489)</f>
        <v>1922721</v>
      </c>
      <c r="H490" s="148">
        <f>(1013152+2692)/G490*100</f>
        <v>52.833666454987494</v>
      </c>
    </row>
    <row r="491" spans="1:8" s="5" customFormat="1" ht="11.25" customHeight="1" x14ac:dyDescent="0.2">
      <c r="D491" s="28"/>
      <c r="E491" s="13"/>
      <c r="F491" s="113"/>
      <c r="G491" s="13"/>
      <c r="H491" s="113"/>
    </row>
    <row r="492" spans="1:8" s="5" customFormat="1" ht="11.25" customHeight="1" x14ac:dyDescent="0.2">
      <c r="A492" s="6" t="s">
        <v>1289</v>
      </c>
      <c r="B492" s="6"/>
      <c r="C492" s="8"/>
      <c r="D492" s="8"/>
      <c r="E492" s="93"/>
      <c r="F492" s="108"/>
      <c r="G492" s="99"/>
      <c r="H492" s="82"/>
    </row>
    <row r="493" spans="1:8" ht="11.25" customHeight="1" x14ac:dyDescent="0.2">
      <c r="A493" s="273" t="s">
        <v>2934</v>
      </c>
      <c r="B493" s="273"/>
      <c r="C493" s="273"/>
      <c r="D493" s="273"/>
      <c r="E493" s="273"/>
      <c r="F493" s="273"/>
      <c r="G493" s="273"/>
      <c r="H493" s="273"/>
    </row>
    <row r="494" spans="1:8" s="26" customFormat="1" ht="11.25" customHeight="1" x14ac:dyDescent="0.2">
      <c r="A494" s="274" t="s">
        <v>1303</v>
      </c>
      <c r="B494" s="274"/>
      <c r="C494" s="274"/>
      <c r="D494" s="274"/>
      <c r="E494" s="274"/>
      <c r="F494" s="274"/>
      <c r="G494" s="274"/>
      <c r="H494" s="274"/>
    </row>
    <row r="495" spans="1:8" s="26" customFormat="1" ht="11.25" customHeight="1" x14ac:dyDescent="0.2">
      <c r="A495" s="273" t="s">
        <v>2932</v>
      </c>
      <c r="B495" s="273"/>
      <c r="C495" s="273"/>
      <c r="D495" s="273"/>
      <c r="E495" s="273"/>
      <c r="F495" s="273"/>
      <c r="G495" s="273"/>
      <c r="H495" s="273"/>
    </row>
  </sheetData>
  <mergeCells count="5">
    <mergeCell ref="A493:H493"/>
    <mergeCell ref="A494:H494"/>
    <mergeCell ref="A495:H495"/>
    <mergeCell ref="A1:H1"/>
    <mergeCell ref="F2:H2"/>
  </mergeCells>
  <phoneticPr fontId="0" type="noConversion"/>
  <pageMargins left="0.5" right="0.16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7"/>
  <sheetViews>
    <sheetView zoomScale="130" zoomScaleNormal="130" workbookViewId="0">
      <pane ySplit="3" topLeftCell="A4" activePane="bottomLeft" state="frozen"/>
      <selection pane="bottomLeft" activeCell="I623" sqref="I623"/>
    </sheetView>
  </sheetViews>
  <sheetFormatPr defaultRowHeight="11.25" x14ac:dyDescent="0.2"/>
  <cols>
    <col min="1" max="1" width="20.7109375" style="1" customWidth="1"/>
    <col min="2" max="2" width="2.7109375" style="1" customWidth="1"/>
    <col min="3" max="3" width="20.7109375" style="1" customWidth="1"/>
    <col min="4" max="4" width="18.7109375" style="4" customWidth="1"/>
    <col min="5" max="5" width="9.7109375" style="19" customWidth="1"/>
    <col min="6" max="6" width="9.7109375" style="115" customWidth="1"/>
    <col min="7" max="7" width="8.7109375" style="19" customWidth="1"/>
    <col min="8" max="8" width="7.7109375" style="115" customWidth="1"/>
    <col min="9" max="16384" width="9.140625" style="1"/>
  </cols>
  <sheetData>
    <row r="1" spans="1:8" s="71" customFormat="1" ht="24" customHeight="1" x14ac:dyDescent="0.2">
      <c r="A1" s="270" t="s">
        <v>2332</v>
      </c>
      <c r="B1" s="270"/>
      <c r="C1" s="270"/>
      <c r="D1" s="270"/>
      <c r="E1" s="270"/>
      <c r="F1" s="270"/>
      <c r="G1" s="270"/>
      <c r="H1" s="270"/>
    </row>
    <row r="2" spans="1:8" s="54" customFormat="1" ht="42" customHeight="1" thickBot="1" x14ac:dyDescent="0.25">
      <c r="A2" s="36" t="s">
        <v>591</v>
      </c>
      <c r="B2" s="36"/>
      <c r="C2" s="36"/>
      <c r="D2" s="75" t="s">
        <v>3254</v>
      </c>
      <c r="E2" s="89"/>
      <c r="F2" s="271" t="s">
        <v>2933</v>
      </c>
      <c r="G2" s="271"/>
      <c r="H2" s="271"/>
    </row>
    <row r="3" spans="1:8" s="57" customFormat="1" ht="52.5" customHeight="1" thickBot="1" x14ac:dyDescent="0.25">
      <c r="A3" s="58" t="s">
        <v>1284</v>
      </c>
      <c r="B3" s="59"/>
      <c r="C3" s="59" t="s">
        <v>1300</v>
      </c>
      <c r="D3" s="59" t="s">
        <v>2652</v>
      </c>
      <c r="E3" s="73" t="s">
        <v>1301</v>
      </c>
      <c r="F3" s="74" t="s">
        <v>1286</v>
      </c>
      <c r="G3" s="73" t="s">
        <v>1287</v>
      </c>
      <c r="H3" s="74" t="s">
        <v>1302</v>
      </c>
    </row>
    <row r="4" spans="1:8" s="45" customFormat="1" ht="11.25" customHeight="1" x14ac:dyDescent="0.2">
      <c r="A4" s="62"/>
      <c r="B4" s="62"/>
      <c r="C4" s="63"/>
      <c r="D4" s="141"/>
      <c r="E4" s="116"/>
      <c r="F4" s="117"/>
      <c r="G4" s="98"/>
      <c r="H4" s="118"/>
    </row>
    <row r="5" spans="1:8" s="5" customFormat="1" ht="11.25" customHeight="1" x14ac:dyDescent="0.2">
      <c r="A5" s="5" t="s">
        <v>2038</v>
      </c>
      <c r="C5" s="5" t="s">
        <v>2061</v>
      </c>
      <c r="D5" s="28" t="s">
        <v>1072</v>
      </c>
      <c r="E5" s="13">
        <v>1633</v>
      </c>
      <c r="F5" s="113">
        <f>E5/11844*100</f>
        <v>13.787571766295169</v>
      </c>
      <c r="G5" s="13"/>
      <c r="H5" s="113"/>
    </row>
    <row r="6" spans="1:8" s="5" customFormat="1" ht="11.25" customHeight="1" x14ac:dyDescent="0.2">
      <c r="C6" s="5" t="s">
        <v>2062</v>
      </c>
      <c r="D6" s="28" t="s">
        <v>489</v>
      </c>
      <c r="E6" s="13">
        <v>758</v>
      </c>
      <c r="F6" s="113">
        <f t="shared" ref="F6:F12" si="0">E6/11844*100</f>
        <v>6.3998649105032088</v>
      </c>
      <c r="G6" s="13"/>
      <c r="H6" s="113"/>
    </row>
    <row r="7" spans="1:8" s="5" customFormat="1" ht="11.25" customHeight="1" x14ac:dyDescent="0.2">
      <c r="C7" s="5" t="s">
        <v>2063</v>
      </c>
      <c r="D7" s="28" t="s">
        <v>1071</v>
      </c>
      <c r="E7" s="13">
        <v>178</v>
      </c>
      <c r="F7" s="113">
        <f t="shared" si="0"/>
        <v>1.502870651806822</v>
      </c>
      <c r="G7" s="13"/>
      <c r="H7" s="113"/>
    </row>
    <row r="8" spans="1:8" s="5" customFormat="1" ht="11.25" customHeight="1" x14ac:dyDescent="0.2">
      <c r="C8" s="14" t="s">
        <v>1004</v>
      </c>
      <c r="D8" s="28" t="s">
        <v>1736</v>
      </c>
      <c r="E8" s="13">
        <v>6842</v>
      </c>
      <c r="F8" s="113">
        <f t="shared" si="0"/>
        <v>57.767646065518406</v>
      </c>
      <c r="G8" s="13"/>
      <c r="H8" s="113"/>
    </row>
    <row r="9" spans="1:8" s="5" customFormat="1" ht="11.25" customHeight="1" x14ac:dyDescent="0.2">
      <c r="C9" s="5" t="s">
        <v>2064</v>
      </c>
      <c r="D9" s="152" t="s">
        <v>2102</v>
      </c>
      <c r="E9" s="13">
        <v>394</v>
      </c>
      <c r="F9" s="113">
        <f t="shared" si="0"/>
        <v>3.3265788584937521</v>
      </c>
      <c r="G9" s="13"/>
      <c r="H9" s="113"/>
    </row>
    <row r="10" spans="1:8" s="5" customFormat="1" ht="11.25" customHeight="1" x14ac:dyDescent="0.2">
      <c r="C10" s="5" t="s">
        <v>2065</v>
      </c>
      <c r="D10" s="28" t="s">
        <v>655</v>
      </c>
      <c r="E10" s="13">
        <v>569</v>
      </c>
      <c r="F10" s="113">
        <f t="shared" si="0"/>
        <v>4.8041202296521446</v>
      </c>
      <c r="G10" s="13"/>
      <c r="H10" s="113"/>
    </row>
    <row r="11" spans="1:8" s="5" customFormat="1" ht="11.25" customHeight="1" x14ac:dyDescent="0.2">
      <c r="C11" s="5" t="s">
        <v>2066</v>
      </c>
      <c r="D11" s="152" t="s">
        <v>1314</v>
      </c>
      <c r="E11" s="13">
        <v>434</v>
      </c>
      <c r="F11" s="113">
        <f t="shared" si="0"/>
        <v>3.664302600472813</v>
      </c>
      <c r="G11" s="13"/>
      <c r="H11" s="113"/>
    </row>
    <row r="12" spans="1:8" s="5" customFormat="1" ht="11.25" customHeight="1" x14ac:dyDescent="0.2">
      <c r="C12" s="5" t="s">
        <v>1017</v>
      </c>
      <c r="D12" s="152" t="s">
        <v>2103</v>
      </c>
      <c r="E12" s="13">
        <v>1036</v>
      </c>
      <c r="F12" s="113">
        <f t="shared" si="0"/>
        <v>8.7470449172576838</v>
      </c>
      <c r="G12" s="13"/>
      <c r="H12" s="113"/>
    </row>
    <row r="13" spans="1:8" s="5" customFormat="1" ht="11.25" customHeight="1" x14ac:dyDescent="0.2">
      <c r="D13" s="28"/>
      <c r="E13" s="162" t="s">
        <v>2076</v>
      </c>
      <c r="F13" s="165">
        <f>SUM(F5:F12)</f>
        <v>99.999999999999986</v>
      </c>
      <c r="G13" s="162">
        <v>30096</v>
      </c>
      <c r="H13" s="165">
        <v>39.5</v>
      </c>
    </row>
    <row r="14" spans="1:8" s="5" customFormat="1" ht="11.25" customHeight="1" x14ac:dyDescent="0.2">
      <c r="D14" s="28"/>
      <c r="E14" s="13"/>
      <c r="F14" s="113"/>
      <c r="G14" s="13"/>
      <c r="H14" s="113"/>
    </row>
    <row r="15" spans="1:8" s="5" customFormat="1" ht="11.25" customHeight="1" x14ac:dyDescent="0.2">
      <c r="A15" s="53" t="s">
        <v>2039</v>
      </c>
      <c r="B15" s="53"/>
      <c r="C15" s="5" t="s">
        <v>2067</v>
      </c>
      <c r="D15" s="5" t="s">
        <v>1072</v>
      </c>
      <c r="E15" s="13">
        <v>3253</v>
      </c>
      <c r="F15" s="113">
        <f t="shared" ref="F15:F20" si="1">E15/11970*100</f>
        <v>27.176274018379281</v>
      </c>
      <c r="G15" s="13"/>
      <c r="H15" s="113"/>
    </row>
    <row r="16" spans="1:8" s="5" customFormat="1" ht="11.25" customHeight="1" x14ac:dyDescent="0.2">
      <c r="A16" s="53"/>
      <c r="B16" s="53"/>
      <c r="C16" s="55" t="s">
        <v>2243</v>
      </c>
      <c r="D16" s="28" t="s">
        <v>1736</v>
      </c>
      <c r="E16" s="13">
        <v>5707</v>
      </c>
      <c r="F16" s="113">
        <f t="shared" si="1"/>
        <v>47.677527151211365</v>
      </c>
      <c r="G16" s="13"/>
      <c r="H16" s="113"/>
    </row>
    <row r="17" spans="1:8" s="5" customFormat="1" ht="11.25" customHeight="1" x14ac:dyDescent="0.2">
      <c r="A17" s="53"/>
      <c r="B17" s="53"/>
      <c r="C17" s="53" t="s">
        <v>2068</v>
      </c>
      <c r="D17" s="152" t="s">
        <v>1314</v>
      </c>
      <c r="E17" s="13">
        <v>252</v>
      </c>
      <c r="F17" s="113">
        <f t="shared" si="1"/>
        <v>2.1052631578947367</v>
      </c>
      <c r="G17" s="13"/>
      <c r="H17" s="113"/>
    </row>
    <row r="18" spans="1:8" s="53" customFormat="1" ht="11.25" customHeight="1" x14ac:dyDescent="0.2">
      <c r="C18" s="1" t="s">
        <v>2069</v>
      </c>
      <c r="D18" s="28" t="s">
        <v>1071</v>
      </c>
      <c r="E18" s="13">
        <v>177</v>
      </c>
      <c r="F18" s="113">
        <f t="shared" si="1"/>
        <v>1.4786967418546366</v>
      </c>
      <c r="G18" s="13"/>
      <c r="H18" s="113"/>
    </row>
    <row r="19" spans="1:8" s="53" customFormat="1" ht="11.25" customHeight="1" x14ac:dyDescent="0.2">
      <c r="C19" s="1" t="s">
        <v>1757</v>
      </c>
      <c r="D19" s="28" t="s">
        <v>655</v>
      </c>
      <c r="E19" s="13">
        <v>1397</v>
      </c>
      <c r="F19" s="113">
        <f t="shared" si="1"/>
        <v>11.670843776106935</v>
      </c>
      <c r="G19" s="13"/>
      <c r="H19" s="113"/>
    </row>
    <row r="20" spans="1:8" s="53" customFormat="1" ht="11.25" customHeight="1" x14ac:dyDescent="0.2">
      <c r="C20" s="1" t="s">
        <v>2070</v>
      </c>
      <c r="D20" s="28" t="s">
        <v>489</v>
      </c>
      <c r="E20" s="13">
        <v>1184</v>
      </c>
      <c r="F20" s="113">
        <f t="shared" si="1"/>
        <v>9.8913951545530487</v>
      </c>
      <c r="G20" s="13"/>
      <c r="H20" s="113"/>
    </row>
    <row r="21" spans="1:8" s="53" customFormat="1" ht="11.25" customHeight="1" x14ac:dyDescent="0.2">
      <c r="C21" s="1"/>
      <c r="D21" s="28"/>
      <c r="E21" s="162" t="s">
        <v>2075</v>
      </c>
      <c r="F21" s="165">
        <f>SUM(F15:F20)</f>
        <v>100</v>
      </c>
      <c r="G21" s="162">
        <v>24074</v>
      </c>
      <c r="H21" s="165">
        <v>49.9</v>
      </c>
    </row>
    <row r="22" spans="1:8" s="53" customFormat="1" ht="11.25" customHeight="1" x14ac:dyDescent="0.2">
      <c r="C22" s="1"/>
      <c r="D22" s="28"/>
      <c r="E22" s="13"/>
      <c r="F22" s="113"/>
      <c r="G22" s="13"/>
      <c r="H22" s="113"/>
    </row>
    <row r="23" spans="1:8" s="5" customFormat="1" ht="11.25" customHeight="1" x14ac:dyDescent="0.2">
      <c r="A23" s="5" t="s">
        <v>1008</v>
      </c>
      <c r="C23" s="5" t="s">
        <v>431</v>
      </c>
      <c r="D23" s="28" t="s">
        <v>489</v>
      </c>
      <c r="E23" s="13">
        <v>477</v>
      </c>
      <c r="F23" s="113">
        <f>E23/8034*100</f>
        <v>5.9372666168782668</v>
      </c>
      <c r="G23" s="13"/>
      <c r="H23" s="113"/>
    </row>
    <row r="24" spans="1:8" s="5" customFormat="1" ht="11.25" customHeight="1" x14ac:dyDescent="0.2">
      <c r="C24" s="5" t="s">
        <v>2071</v>
      </c>
      <c r="D24" s="28" t="s">
        <v>655</v>
      </c>
      <c r="E24" s="13">
        <v>467</v>
      </c>
      <c r="F24" s="113">
        <f>E24/8034*100</f>
        <v>5.8127956186208616</v>
      </c>
      <c r="G24" s="13"/>
      <c r="H24" s="113"/>
    </row>
    <row r="25" spans="1:8" s="5" customFormat="1" ht="11.25" customHeight="1" x14ac:dyDescent="0.2">
      <c r="C25" s="5" t="s">
        <v>2072</v>
      </c>
      <c r="D25" s="28" t="s">
        <v>1314</v>
      </c>
      <c r="E25" s="13">
        <v>1204</v>
      </c>
      <c r="F25" s="113">
        <f>E25/8034*100</f>
        <v>14.986308190191686</v>
      </c>
      <c r="G25" s="13"/>
      <c r="H25" s="113"/>
    </row>
    <row r="26" spans="1:8" s="5" customFormat="1" ht="11.25" customHeight="1" x14ac:dyDescent="0.2">
      <c r="C26" s="5" t="s">
        <v>2073</v>
      </c>
      <c r="D26" s="28" t="s">
        <v>1072</v>
      </c>
      <c r="E26" s="13">
        <v>1648</v>
      </c>
      <c r="F26" s="113">
        <f>E26/8034*100</f>
        <v>20.512820512820511</v>
      </c>
      <c r="G26" s="13"/>
      <c r="H26" s="113"/>
    </row>
    <row r="27" spans="1:8" s="5" customFormat="1" ht="11.25" customHeight="1" x14ac:dyDescent="0.2">
      <c r="C27" s="14" t="s">
        <v>1012</v>
      </c>
      <c r="D27" s="28" t="s">
        <v>1736</v>
      </c>
      <c r="E27" s="13">
        <v>4238</v>
      </c>
      <c r="F27" s="113">
        <f>E27/8034*100</f>
        <v>52.750809061488667</v>
      </c>
      <c r="G27" s="13"/>
      <c r="H27" s="113"/>
    </row>
    <row r="28" spans="1:8" s="5" customFormat="1" ht="11.25" customHeight="1" x14ac:dyDescent="0.2">
      <c r="D28" s="28"/>
      <c r="E28" s="162" t="s">
        <v>2074</v>
      </c>
      <c r="F28" s="165">
        <f>SUM(F23:F27)</f>
        <v>100</v>
      </c>
      <c r="G28" s="162">
        <v>21330</v>
      </c>
      <c r="H28" s="165">
        <v>38</v>
      </c>
    </row>
    <row r="29" spans="1:8" s="5" customFormat="1" ht="11.25" customHeight="1" x14ac:dyDescent="0.2">
      <c r="D29" s="28"/>
      <c r="E29" s="13"/>
      <c r="F29" s="113"/>
      <c r="G29" s="13"/>
      <c r="H29" s="113"/>
    </row>
    <row r="30" spans="1:8" s="5" customFormat="1" ht="11.25" customHeight="1" x14ac:dyDescent="0.2">
      <c r="A30" s="5" t="s">
        <v>2040</v>
      </c>
      <c r="C30" s="5" t="s">
        <v>2077</v>
      </c>
      <c r="D30" s="28" t="s">
        <v>1072</v>
      </c>
      <c r="E30" s="13">
        <v>2310</v>
      </c>
      <c r="F30" s="113">
        <f>E30/11916*100</f>
        <v>19.385699899295066</v>
      </c>
      <c r="G30" s="13"/>
      <c r="H30" s="113"/>
    </row>
    <row r="31" spans="1:8" s="5" customFormat="1" ht="11.25" customHeight="1" x14ac:dyDescent="0.2">
      <c r="C31" s="5" t="s">
        <v>2078</v>
      </c>
      <c r="D31" s="28" t="s">
        <v>1071</v>
      </c>
      <c r="E31" s="13">
        <v>407</v>
      </c>
      <c r="F31" s="113">
        <f>E31/11916*100</f>
        <v>3.4155756965424637</v>
      </c>
      <c r="G31" s="13"/>
      <c r="H31" s="113"/>
    </row>
    <row r="32" spans="1:8" s="5" customFormat="1" ht="11.25" customHeight="1" x14ac:dyDescent="0.2">
      <c r="C32" s="5" t="s">
        <v>2079</v>
      </c>
      <c r="D32" s="28" t="s">
        <v>655</v>
      </c>
      <c r="E32" s="13">
        <v>1113</v>
      </c>
      <c r="F32" s="113">
        <f>E32/11916*100</f>
        <v>9.3403826787512596</v>
      </c>
      <c r="G32" s="13"/>
      <c r="H32" s="113"/>
    </row>
    <row r="33" spans="1:8" s="5" customFormat="1" ht="11.25" customHeight="1" x14ac:dyDescent="0.2">
      <c r="C33" s="14" t="s">
        <v>1016</v>
      </c>
      <c r="D33" s="28" t="s">
        <v>1736</v>
      </c>
      <c r="E33" s="13">
        <v>7066</v>
      </c>
      <c r="F33" s="113">
        <f>E33/11916*100</f>
        <v>59.29842228935884</v>
      </c>
      <c r="G33" s="13"/>
      <c r="H33" s="113"/>
    </row>
    <row r="34" spans="1:8" s="5" customFormat="1" ht="11.25" customHeight="1" x14ac:dyDescent="0.2">
      <c r="C34" s="5" t="s">
        <v>440</v>
      </c>
      <c r="D34" s="28" t="s">
        <v>489</v>
      </c>
      <c r="E34" s="13">
        <v>1020</v>
      </c>
      <c r="F34" s="113">
        <f>E34/11916*100</f>
        <v>8.5599194360523665</v>
      </c>
      <c r="G34" s="13"/>
      <c r="H34" s="113"/>
    </row>
    <row r="35" spans="1:8" s="5" customFormat="1" ht="11.25" customHeight="1" x14ac:dyDescent="0.2">
      <c r="D35" s="28"/>
      <c r="E35" s="162" t="s">
        <v>2080</v>
      </c>
      <c r="F35" s="165">
        <f>SUM(F30:F34)</f>
        <v>100</v>
      </c>
      <c r="G35" s="162">
        <v>22732</v>
      </c>
      <c r="H35" s="165">
        <v>52.6</v>
      </c>
    </row>
    <row r="36" spans="1:8" s="5" customFormat="1" ht="11.25" customHeight="1" x14ac:dyDescent="0.2">
      <c r="D36" s="28"/>
      <c r="E36" s="13"/>
      <c r="F36" s="113"/>
      <c r="G36" s="13"/>
      <c r="H36" s="113"/>
    </row>
    <row r="37" spans="1:8" s="5" customFormat="1" ht="11.25" customHeight="1" x14ac:dyDescent="0.2">
      <c r="A37" s="5" t="s">
        <v>2041</v>
      </c>
      <c r="C37" s="14" t="s">
        <v>2081</v>
      </c>
      <c r="D37" s="28" t="s">
        <v>1736</v>
      </c>
      <c r="E37" s="13">
        <v>6406</v>
      </c>
      <c r="F37" s="113">
        <f>E37/9853*100</f>
        <v>65.015731249365672</v>
      </c>
      <c r="G37" s="13"/>
      <c r="H37" s="113"/>
    </row>
    <row r="38" spans="1:8" s="5" customFormat="1" ht="11.25" customHeight="1" x14ac:dyDescent="0.2">
      <c r="C38" s="5" t="s">
        <v>2082</v>
      </c>
      <c r="D38" s="28" t="s">
        <v>655</v>
      </c>
      <c r="E38" s="13">
        <v>616</v>
      </c>
      <c r="F38" s="113">
        <f>E38/9853*100</f>
        <v>6.2519029737135901</v>
      </c>
      <c r="G38" s="13"/>
      <c r="H38" s="113"/>
    </row>
    <row r="39" spans="1:8" s="5" customFormat="1" ht="11.25" customHeight="1" x14ac:dyDescent="0.2">
      <c r="C39" s="5" t="s">
        <v>2083</v>
      </c>
      <c r="D39" s="28" t="s">
        <v>1072</v>
      </c>
      <c r="E39" s="13">
        <v>1069</v>
      </c>
      <c r="F39" s="113">
        <f>E39/9853*100</f>
        <v>10.849487465746472</v>
      </c>
      <c r="G39" s="13"/>
      <c r="H39" s="113"/>
    </row>
    <row r="40" spans="1:8" s="5" customFormat="1" ht="11.25" customHeight="1" x14ac:dyDescent="0.2">
      <c r="C40" s="5" t="s">
        <v>2084</v>
      </c>
      <c r="D40" s="28" t="s">
        <v>1071</v>
      </c>
      <c r="E40" s="13">
        <v>320</v>
      </c>
      <c r="F40" s="113">
        <f>E40/9853*100</f>
        <v>3.2477418045265405</v>
      </c>
      <c r="G40" s="13"/>
      <c r="H40" s="113"/>
    </row>
    <row r="41" spans="1:8" s="5" customFormat="1" ht="11.25" customHeight="1" x14ac:dyDescent="0.2">
      <c r="C41" s="5" t="s">
        <v>2085</v>
      </c>
      <c r="D41" s="28" t="s">
        <v>489</v>
      </c>
      <c r="E41" s="13">
        <v>1442</v>
      </c>
      <c r="F41" s="113">
        <f>E41/9853*100</f>
        <v>14.635136506647722</v>
      </c>
      <c r="G41" s="13"/>
      <c r="H41" s="113"/>
    </row>
    <row r="42" spans="1:8" s="5" customFormat="1" ht="11.25" customHeight="1" x14ac:dyDescent="0.2">
      <c r="D42" s="28"/>
      <c r="E42" s="162" t="s">
        <v>2086</v>
      </c>
      <c r="F42" s="165">
        <f>SUM(F37:F41)</f>
        <v>100</v>
      </c>
      <c r="G42" s="162">
        <v>20368</v>
      </c>
      <c r="H42" s="165">
        <v>48.5</v>
      </c>
    </row>
    <row r="43" spans="1:8" s="5" customFormat="1" ht="11.25" customHeight="1" x14ac:dyDescent="0.2">
      <c r="D43" s="28"/>
      <c r="E43" s="13"/>
      <c r="F43" s="113"/>
      <c r="G43" s="13"/>
      <c r="H43" s="113"/>
    </row>
    <row r="44" spans="1:8" s="5" customFormat="1" ht="11.25" customHeight="1" x14ac:dyDescent="0.2">
      <c r="A44" s="5" t="s">
        <v>1018</v>
      </c>
      <c r="C44" s="14" t="s">
        <v>1019</v>
      </c>
      <c r="D44" s="28" t="s">
        <v>1736</v>
      </c>
      <c r="E44" s="13">
        <v>3621</v>
      </c>
      <c r="F44" s="113">
        <f>E44/5686*100</f>
        <v>63.682729511079849</v>
      </c>
      <c r="G44" s="13"/>
      <c r="H44" s="113"/>
    </row>
    <row r="45" spans="1:8" s="5" customFormat="1" ht="11.25" customHeight="1" x14ac:dyDescent="0.2">
      <c r="C45" s="5" t="s">
        <v>2087</v>
      </c>
      <c r="D45" s="28" t="s">
        <v>489</v>
      </c>
      <c r="E45" s="13">
        <v>973</v>
      </c>
      <c r="F45" s="113">
        <f>E45/5686*100</f>
        <v>17.112205416813225</v>
      </c>
      <c r="G45" s="13"/>
      <c r="H45" s="113"/>
    </row>
    <row r="46" spans="1:8" s="5" customFormat="1" ht="11.25" customHeight="1" x14ac:dyDescent="0.2">
      <c r="C46" s="5" t="s">
        <v>2088</v>
      </c>
      <c r="D46" s="28" t="s">
        <v>1072</v>
      </c>
      <c r="E46" s="13">
        <v>781</v>
      </c>
      <c r="F46" s="113">
        <f>E46/5686*100</f>
        <v>13.73549067886036</v>
      </c>
      <c r="G46" s="13"/>
      <c r="H46" s="113"/>
    </row>
    <row r="47" spans="1:8" s="5" customFormat="1" ht="11.25" customHeight="1" x14ac:dyDescent="0.2">
      <c r="C47" s="5" t="s">
        <v>2089</v>
      </c>
      <c r="D47" s="28" t="s">
        <v>655</v>
      </c>
      <c r="E47" s="13">
        <v>311</v>
      </c>
      <c r="F47" s="113">
        <f>E47/5686*100</f>
        <v>5.469574393246571</v>
      </c>
      <c r="G47" s="13"/>
      <c r="H47" s="113"/>
    </row>
    <row r="48" spans="1:8" s="5" customFormat="1" ht="11.25" customHeight="1" x14ac:dyDescent="0.2">
      <c r="D48" s="28"/>
      <c r="E48" s="162" t="s">
        <v>2090</v>
      </c>
      <c r="F48" s="165">
        <f>SUM(F44:F47)</f>
        <v>100.00000000000001</v>
      </c>
      <c r="G48" s="162">
        <v>17704</v>
      </c>
      <c r="H48" s="165">
        <v>32.299999999999997</v>
      </c>
    </row>
    <row r="49" spans="1:8" s="5" customFormat="1" ht="11.25" customHeight="1" x14ac:dyDescent="0.2">
      <c r="D49" s="28"/>
      <c r="E49" s="13"/>
      <c r="F49" s="113"/>
      <c r="G49" s="13"/>
      <c r="H49" s="113"/>
    </row>
    <row r="50" spans="1:8" s="53" customFormat="1" ht="11.25" customHeight="1" x14ac:dyDescent="0.2">
      <c r="A50" s="53" t="s">
        <v>2354</v>
      </c>
      <c r="C50" s="53" t="s">
        <v>2355</v>
      </c>
      <c r="D50" s="28" t="s">
        <v>653</v>
      </c>
      <c r="E50" s="13">
        <v>78</v>
      </c>
      <c r="F50" s="113">
        <f>E50/12650*100</f>
        <v>0.61660079051383399</v>
      </c>
      <c r="G50" s="13"/>
      <c r="H50" s="113"/>
    </row>
    <row r="51" spans="1:8" s="53" customFormat="1" ht="11.25" customHeight="1" x14ac:dyDescent="0.2">
      <c r="C51" s="53" t="s">
        <v>2091</v>
      </c>
      <c r="D51" s="28" t="s">
        <v>655</v>
      </c>
      <c r="E51" s="13">
        <v>1135</v>
      </c>
      <c r="F51" s="113">
        <f t="shared" ref="F51:F56" si="2">E51/12650*100</f>
        <v>8.9723320158102755</v>
      </c>
      <c r="G51" s="13"/>
      <c r="H51" s="113"/>
    </row>
    <row r="52" spans="1:8" s="53" customFormat="1" ht="11.25" customHeight="1" x14ac:dyDescent="0.2">
      <c r="C52" s="55" t="s">
        <v>2357</v>
      </c>
      <c r="D52" s="28" t="s">
        <v>1736</v>
      </c>
      <c r="E52" s="13">
        <v>6097</v>
      </c>
      <c r="F52" s="113">
        <f t="shared" si="2"/>
        <v>48.197628458498023</v>
      </c>
      <c r="G52" s="13"/>
      <c r="H52" s="113"/>
    </row>
    <row r="53" spans="1:8" s="53" customFormat="1" ht="11.25" customHeight="1" x14ac:dyDescent="0.2">
      <c r="C53" s="53" t="s">
        <v>2092</v>
      </c>
      <c r="D53" s="28" t="s">
        <v>489</v>
      </c>
      <c r="E53" s="13">
        <v>1017</v>
      </c>
      <c r="F53" s="113">
        <f t="shared" si="2"/>
        <v>8.0395256916996054</v>
      </c>
      <c r="G53" s="13"/>
      <c r="H53" s="113"/>
    </row>
    <row r="54" spans="1:8" s="5" customFormat="1" ht="11.25" customHeight="1" x14ac:dyDescent="0.2">
      <c r="C54" s="5" t="s">
        <v>2358</v>
      </c>
      <c r="D54" s="28" t="s">
        <v>1072</v>
      </c>
      <c r="E54" s="13">
        <v>3512</v>
      </c>
      <c r="F54" s="113">
        <f t="shared" si="2"/>
        <v>27.762845849802371</v>
      </c>
      <c r="G54" s="13"/>
      <c r="H54" s="113"/>
    </row>
    <row r="55" spans="1:8" s="5" customFormat="1" ht="11.25" customHeight="1" x14ac:dyDescent="0.2">
      <c r="C55" s="5" t="s">
        <v>1171</v>
      </c>
      <c r="D55" s="28" t="s">
        <v>1071</v>
      </c>
      <c r="E55" s="13">
        <v>97</v>
      </c>
      <c r="F55" s="113">
        <f t="shared" si="2"/>
        <v>0.76679841897233203</v>
      </c>
      <c r="G55" s="13"/>
      <c r="H55" s="113"/>
    </row>
    <row r="56" spans="1:8" s="5" customFormat="1" ht="11.25" customHeight="1" x14ac:dyDescent="0.2">
      <c r="C56" s="5" t="s">
        <v>2093</v>
      </c>
      <c r="D56" s="28" t="s">
        <v>1314</v>
      </c>
      <c r="E56" s="13">
        <v>714</v>
      </c>
      <c r="F56" s="113">
        <f t="shared" si="2"/>
        <v>5.6442687747035567</v>
      </c>
      <c r="G56" s="13"/>
      <c r="H56" s="113"/>
    </row>
    <row r="57" spans="1:8" s="5" customFormat="1" ht="11.25" customHeight="1" x14ac:dyDescent="0.2">
      <c r="D57" s="28"/>
      <c r="E57" s="162" t="s">
        <v>2094</v>
      </c>
      <c r="F57" s="165">
        <f>SUM(F50:F56)</f>
        <v>100</v>
      </c>
      <c r="G57" s="162">
        <v>27026</v>
      </c>
      <c r="H57" s="165">
        <v>47.1</v>
      </c>
    </row>
    <row r="58" spans="1:8" s="5" customFormat="1" ht="11.25" customHeight="1" x14ac:dyDescent="0.2">
      <c r="D58" s="28"/>
      <c r="E58" s="13"/>
      <c r="F58" s="113"/>
      <c r="G58" s="13"/>
      <c r="H58" s="113"/>
    </row>
    <row r="59" spans="1:8" s="5" customFormat="1" ht="11.25" customHeight="1" x14ac:dyDescent="0.2">
      <c r="A59" s="5" t="s">
        <v>2360</v>
      </c>
      <c r="C59" s="14" t="s">
        <v>2361</v>
      </c>
      <c r="D59" s="28" t="s">
        <v>1736</v>
      </c>
      <c r="E59" s="13">
        <v>3365</v>
      </c>
      <c r="F59" s="113">
        <f>E59/7730*100</f>
        <v>43.531694695989657</v>
      </c>
      <c r="G59" s="13"/>
      <c r="H59" s="113"/>
    </row>
    <row r="60" spans="1:8" s="5" customFormat="1" ht="11.25" customHeight="1" x14ac:dyDescent="0.2">
      <c r="C60" s="5" t="s">
        <v>2095</v>
      </c>
      <c r="D60" s="28" t="s">
        <v>1071</v>
      </c>
      <c r="E60" s="13">
        <v>73</v>
      </c>
      <c r="F60" s="113">
        <f t="shared" ref="F60:F65" si="3">E60/7730*100</f>
        <v>0.94437257438551092</v>
      </c>
      <c r="G60" s="13"/>
      <c r="H60" s="113"/>
    </row>
    <row r="61" spans="1:8" s="5" customFormat="1" ht="11.25" customHeight="1" x14ac:dyDescent="0.2">
      <c r="C61" s="5" t="s">
        <v>2096</v>
      </c>
      <c r="D61" s="28" t="s">
        <v>655</v>
      </c>
      <c r="E61" s="13">
        <v>457</v>
      </c>
      <c r="F61" s="113">
        <f t="shared" si="3"/>
        <v>5.912031047865459</v>
      </c>
      <c r="G61" s="13"/>
      <c r="H61" s="113"/>
    </row>
    <row r="62" spans="1:8" s="5" customFormat="1" ht="11.25" customHeight="1" x14ac:dyDescent="0.2">
      <c r="C62" s="5" t="s">
        <v>2097</v>
      </c>
      <c r="D62" s="28" t="s">
        <v>489</v>
      </c>
      <c r="E62" s="13">
        <v>294</v>
      </c>
      <c r="F62" s="113">
        <f t="shared" si="3"/>
        <v>3.8033635187580859</v>
      </c>
      <c r="G62" s="13"/>
      <c r="H62" s="113"/>
    </row>
    <row r="63" spans="1:8" s="5" customFormat="1" ht="11.25" customHeight="1" x14ac:dyDescent="0.2">
      <c r="C63" s="5" t="s">
        <v>2098</v>
      </c>
      <c r="D63" s="28" t="s">
        <v>1314</v>
      </c>
      <c r="E63" s="13">
        <v>670</v>
      </c>
      <c r="F63" s="113">
        <f t="shared" si="3"/>
        <v>8.6675291073738681</v>
      </c>
      <c r="G63" s="13"/>
      <c r="H63" s="113"/>
    </row>
    <row r="64" spans="1:8" s="5" customFormat="1" ht="11.25" customHeight="1" x14ac:dyDescent="0.2">
      <c r="C64" s="5" t="s">
        <v>2099</v>
      </c>
      <c r="D64" s="152" t="s">
        <v>2103</v>
      </c>
      <c r="E64" s="13">
        <v>56</v>
      </c>
      <c r="F64" s="113">
        <f t="shared" si="3"/>
        <v>0.72445019404915911</v>
      </c>
      <c r="G64" s="13"/>
      <c r="H64" s="113"/>
    </row>
    <row r="65" spans="1:8" s="5" customFormat="1" ht="11.25" customHeight="1" x14ac:dyDescent="0.2">
      <c r="C65" s="5" t="s">
        <v>2100</v>
      </c>
      <c r="D65" s="28" t="s">
        <v>1072</v>
      </c>
      <c r="E65" s="13">
        <v>2815</v>
      </c>
      <c r="F65" s="113">
        <f t="shared" si="3"/>
        <v>36.416558861578267</v>
      </c>
      <c r="G65" s="13"/>
      <c r="H65" s="113"/>
    </row>
    <row r="66" spans="1:8" s="5" customFormat="1" ht="11.25" customHeight="1" x14ac:dyDescent="0.2">
      <c r="D66" s="28"/>
      <c r="E66" s="162" t="s">
        <v>2101</v>
      </c>
      <c r="F66" s="165">
        <f>SUM(F59:F65)</f>
        <v>100</v>
      </c>
      <c r="G66" s="162">
        <v>24689</v>
      </c>
      <c r="H66" s="165">
        <v>31.5</v>
      </c>
    </row>
    <row r="67" spans="1:8" s="5" customFormat="1" ht="11.25" customHeight="1" x14ac:dyDescent="0.2">
      <c r="D67" s="28"/>
      <c r="E67" s="13"/>
      <c r="F67" s="113"/>
      <c r="G67" s="13"/>
      <c r="H67" s="113"/>
    </row>
    <row r="68" spans="1:8" s="5" customFormat="1" ht="11.25" customHeight="1" x14ac:dyDescent="0.2">
      <c r="A68" s="5" t="s">
        <v>1959</v>
      </c>
      <c r="C68" s="5" t="s">
        <v>2104</v>
      </c>
      <c r="D68" s="5" t="s">
        <v>1072</v>
      </c>
      <c r="E68" s="13">
        <v>1453</v>
      </c>
      <c r="F68" s="113">
        <f>E68/6533*100</f>
        <v>22.240930659727535</v>
      </c>
      <c r="G68" s="13"/>
      <c r="H68" s="113"/>
    </row>
    <row r="69" spans="1:8" s="5" customFormat="1" ht="11.25" customHeight="1" x14ac:dyDescent="0.2">
      <c r="C69" s="14" t="s">
        <v>1960</v>
      </c>
      <c r="D69" s="28" t="s">
        <v>1736</v>
      </c>
      <c r="E69" s="13">
        <v>3770</v>
      </c>
      <c r="F69" s="113">
        <f>E69/6533*100</f>
        <v>57.707025868666776</v>
      </c>
      <c r="G69" s="13"/>
      <c r="H69" s="113"/>
    </row>
    <row r="70" spans="1:8" s="5" customFormat="1" ht="11.25" customHeight="1" x14ac:dyDescent="0.2">
      <c r="C70" s="5" t="s">
        <v>2105</v>
      </c>
      <c r="D70" s="28" t="s">
        <v>489</v>
      </c>
      <c r="E70" s="13">
        <v>646</v>
      </c>
      <c r="F70" s="113">
        <f>E70/6533*100</f>
        <v>9.8882596050818918</v>
      </c>
      <c r="G70" s="13"/>
      <c r="H70" s="113"/>
    </row>
    <row r="71" spans="1:8" s="5" customFormat="1" ht="11.25" customHeight="1" x14ac:dyDescent="0.2">
      <c r="C71" s="5" t="s">
        <v>2106</v>
      </c>
      <c r="D71" s="28" t="s">
        <v>655</v>
      </c>
      <c r="E71" s="13">
        <v>393</v>
      </c>
      <c r="F71" s="113">
        <f>E71/6533*100</f>
        <v>6.0156130414817088</v>
      </c>
      <c r="G71" s="13"/>
      <c r="H71" s="113"/>
    </row>
    <row r="72" spans="1:8" s="5" customFormat="1" ht="11.25" customHeight="1" x14ac:dyDescent="0.2">
      <c r="C72" s="5" t="s">
        <v>2107</v>
      </c>
      <c r="D72" s="28" t="s">
        <v>1314</v>
      </c>
      <c r="E72" s="13">
        <v>271</v>
      </c>
      <c r="F72" s="113">
        <f>E72/6533*100</f>
        <v>4.1481708250420937</v>
      </c>
      <c r="G72" s="13"/>
      <c r="H72" s="113"/>
    </row>
    <row r="73" spans="1:8" s="5" customFormat="1" ht="11.25" customHeight="1" x14ac:dyDescent="0.2">
      <c r="D73" s="28"/>
      <c r="E73" s="162" t="s">
        <v>2108</v>
      </c>
      <c r="F73" s="165">
        <f>SUM(F68:F72)</f>
        <v>100</v>
      </c>
      <c r="G73" s="162">
        <v>21993</v>
      </c>
      <c r="H73" s="165">
        <v>29.8</v>
      </c>
    </row>
    <row r="74" spans="1:8" s="5" customFormat="1" ht="11.25" customHeight="1" x14ac:dyDescent="0.2">
      <c r="D74" s="28"/>
      <c r="E74" s="13"/>
      <c r="F74" s="113"/>
      <c r="G74" s="13"/>
      <c r="H74" s="113"/>
    </row>
    <row r="75" spans="1:8" s="5" customFormat="1" ht="11.25" customHeight="1" x14ac:dyDescent="0.2">
      <c r="A75" s="5" t="s">
        <v>1963</v>
      </c>
      <c r="C75" s="5" t="s">
        <v>481</v>
      </c>
      <c r="D75" s="28" t="s">
        <v>1736</v>
      </c>
      <c r="E75" s="13">
        <v>4412</v>
      </c>
      <c r="F75" s="113">
        <f>E75/11087*100</f>
        <v>39.794353747632357</v>
      </c>
      <c r="G75" s="13"/>
      <c r="H75" s="113"/>
    </row>
    <row r="76" spans="1:8" s="5" customFormat="1" ht="11.25" customHeight="1" x14ac:dyDescent="0.2">
      <c r="C76" s="5" t="s">
        <v>2109</v>
      </c>
      <c r="D76" s="28" t="s">
        <v>489</v>
      </c>
      <c r="E76" s="13">
        <v>348</v>
      </c>
      <c r="F76" s="113">
        <f>E76/11087*100</f>
        <v>3.1388112203481553</v>
      </c>
      <c r="G76" s="13"/>
      <c r="H76" s="113"/>
    </row>
    <row r="77" spans="1:8" s="5" customFormat="1" ht="11.25" customHeight="1" x14ac:dyDescent="0.2">
      <c r="C77" s="5" t="s">
        <v>3230</v>
      </c>
      <c r="D77" s="28" t="s">
        <v>655</v>
      </c>
      <c r="E77" s="13">
        <v>468</v>
      </c>
      <c r="F77" s="113">
        <f>E77/11087*100</f>
        <v>4.221159917019933</v>
      </c>
      <c r="G77" s="13"/>
      <c r="H77" s="113"/>
    </row>
    <row r="78" spans="1:8" s="5" customFormat="1" ht="11.25" customHeight="1" x14ac:dyDescent="0.2">
      <c r="C78" s="14" t="s">
        <v>2110</v>
      </c>
      <c r="D78" s="28" t="s">
        <v>1072</v>
      </c>
      <c r="E78" s="13">
        <v>5046</v>
      </c>
      <c r="F78" s="113">
        <f>E78/11087*100</f>
        <v>45.512762695048252</v>
      </c>
      <c r="G78" s="13"/>
      <c r="H78" s="113"/>
    </row>
    <row r="79" spans="1:8" s="5" customFormat="1" ht="11.25" customHeight="1" x14ac:dyDescent="0.2">
      <c r="C79" s="5" t="s">
        <v>2111</v>
      </c>
      <c r="D79" s="28" t="s">
        <v>1314</v>
      </c>
      <c r="E79" s="13">
        <v>813</v>
      </c>
      <c r="F79" s="113">
        <f>E79/11087*100</f>
        <v>7.3329124199512945</v>
      </c>
      <c r="G79" s="13"/>
      <c r="H79" s="113"/>
    </row>
    <row r="80" spans="1:8" s="5" customFormat="1" ht="11.25" customHeight="1" x14ac:dyDescent="0.2">
      <c r="D80" s="28"/>
      <c r="E80" s="162" t="s">
        <v>2112</v>
      </c>
      <c r="F80" s="165">
        <f>SUM(F75:F79)</f>
        <v>100</v>
      </c>
      <c r="G80" s="162">
        <v>24603</v>
      </c>
      <c r="H80" s="165">
        <v>45.3</v>
      </c>
    </row>
    <row r="81" spans="1:8" s="5" customFormat="1" ht="11.25" customHeight="1" x14ac:dyDescent="0.2">
      <c r="D81" s="28"/>
      <c r="E81" s="13"/>
      <c r="F81" s="113"/>
      <c r="G81" s="13"/>
      <c r="H81" s="113"/>
    </row>
    <row r="82" spans="1:8" s="5" customFormat="1" ht="11.25" customHeight="1" x14ac:dyDescent="0.2">
      <c r="A82" s="5" t="s">
        <v>3167</v>
      </c>
      <c r="C82" s="14" t="s">
        <v>3168</v>
      </c>
      <c r="D82" s="28" t="s">
        <v>1736</v>
      </c>
      <c r="E82" s="13">
        <v>4484</v>
      </c>
      <c r="F82" s="113">
        <f t="shared" ref="F82:F87" si="4">E82/8332*100</f>
        <v>53.816610657705233</v>
      </c>
      <c r="G82" s="13"/>
      <c r="H82" s="113"/>
    </row>
    <row r="83" spans="1:8" s="5" customFormat="1" ht="11.25" customHeight="1" x14ac:dyDescent="0.2">
      <c r="C83" s="5" t="s">
        <v>2113</v>
      </c>
      <c r="D83" s="28" t="s">
        <v>489</v>
      </c>
      <c r="E83" s="13">
        <v>606</v>
      </c>
      <c r="F83" s="113">
        <f t="shared" si="4"/>
        <v>7.2731637061929906</v>
      </c>
      <c r="G83" s="13"/>
      <c r="H83" s="113"/>
    </row>
    <row r="84" spans="1:8" s="5" customFormat="1" ht="11.25" customHeight="1" x14ac:dyDescent="0.2">
      <c r="C84" s="5" t="s">
        <v>2114</v>
      </c>
      <c r="D84" s="28" t="s">
        <v>486</v>
      </c>
      <c r="E84" s="13">
        <v>56</v>
      </c>
      <c r="F84" s="113">
        <f t="shared" si="4"/>
        <v>0.67210753720595295</v>
      </c>
      <c r="G84" s="13"/>
      <c r="H84" s="113"/>
    </row>
    <row r="85" spans="1:8" s="5" customFormat="1" ht="11.25" customHeight="1" x14ac:dyDescent="0.2">
      <c r="C85" s="5" t="s">
        <v>2115</v>
      </c>
      <c r="D85" s="28" t="s">
        <v>1072</v>
      </c>
      <c r="E85" s="13">
        <v>2357</v>
      </c>
      <c r="F85" s="113">
        <f t="shared" si="4"/>
        <v>28.288526164186266</v>
      </c>
      <c r="G85" s="13"/>
      <c r="H85" s="113"/>
    </row>
    <row r="86" spans="1:8" s="5" customFormat="1" ht="11.25" customHeight="1" x14ac:dyDescent="0.2">
      <c r="C86" s="5" t="s">
        <v>2116</v>
      </c>
      <c r="D86" s="28" t="s">
        <v>1314</v>
      </c>
      <c r="E86" s="13">
        <v>365</v>
      </c>
      <c r="F86" s="113">
        <f t="shared" si="4"/>
        <v>4.3807009121459437</v>
      </c>
      <c r="G86" s="13"/>
      <c r="H86" s="113"/>
    </row>
    <row r="87" spans="1:8" s="5" customFormat="1" ht="11.25" customHeight="1" x14ac:dyDescent="0.2">
      <c r="C87" s="5" t="s">
        <v>2117</v>
      </c>
      <c r="D87" s="28" t="s">
        <v>655</v>
      </c>
      <c r="E87" s="13">
        <v>464</v>
      </c>
      <c r="F87" s="113">
        <f t="shared" si="4"/>
        <v>5.5688910225636103</v>
      </c>
      <c r="G87" s="13"/>
      <c r="H87" s="113"/>
    </row>
    <row r="88" spans="1:8" s="5" customFormat="1" ht="11.25" customHeight="1" x14ac:dyDescent="0.2">
      <c r="D88" s="28"/>
      <c r="E88" s="162" t="s">
        <v>2118</v>
      </c>
      <c r="F88" s="165">
        <f>SUM(F82:F87)</f>
        <v>99.999999999999986</v>
      </c>
      <c r="G88" s="162">
        <v>22759</v>
      </c>
      <c r="H88" s="165">
        <v>36.9</v>
      </c>
    </row>
    <row r="89" spans="1:8" s="5" customFormat="1" ht="11.25" customHeight="1" x14ac:dyDescent="0.2">
      <c r="D89" s="28"/>
      <c r="E89" s="13"/>
      <c r="F89" s="113"/>
      <c r="G89" s="13"/>
      <c r="H89" s="113"/>
    </row>
    <row r="90" spans="1:8" s="5" customFormat="1" ht="11.25" customHeight="1" x14ac:dyDescent="0.2">
      <c r="A90" s="5" t="s">
        <v>1855</v>
      </c>
      <c r="C90" s="5" t="s">
        <v>2119</v>
      </c>
      <c r="D90" s="5" t="s">
        <v>489</v>
      </c>
      <c r="E90" s="13">
        <v>1658</v>
      </c>
      <c r="F90" s="113">
        <f>E90/11189*100</f>
        <v>14.818124944141568</v>
      </c>
      <c r="G90" s="13"/>
      <c r="H90" s="113"/>
    </row>
    <row r="91" spans="1:8" s="5" customFormat="1" ht="11.25" customHeight="1" x14ac:dyDescent="0.2">
      <c r="C91" s="5" t="s">
        <v>2120</v>
      </c>
      <c r="D91" s="28" t="s">
        <v>655</v>
      </c>
      <c r="E91" s="13">
        <v>599</v>
      </c>
      <c r="F91" s="113">
        <f>E91/11189*100</f>
        <v>5.3534721601572972</v>
      </c>
      <c r="G91" s="13"/>
      <c r="H91" s="113"/>
    </row>
    <row r="92" spans="1:8" s="5" customFormat="1" ht="11.25" customHeight="1" x14ac:dyDescent="0.2">
      <c r="C92" s="14" t="s">
        <v>1857</v>
      </c>
      <c r="D92" s="28" t="s">
        <v>1736</v>
      </c>
      <c r="E92" s="13">
        <v>5686</v>
      </c>
      <c r="F92" s="113">
        <f>E92/11189*100</f>
        <v>50.81776745017428</v>
      </c>
      <c r="G92" s="13"/>
      <c r="H92" s="113"/>
    </row>
    <row r="93" spans="1:8" s="5" customFormat="1" ht="11.25" customHeight="1" x14ac:dyDescent="0.2">
      <c r="C93" s="5" t="s">
        <v>2121</v>
      </c>
      <c r="D93" s="28" t="s">
        <v>1072</v>
      </c>
      <c r="E93" s="13">
        <v>2371</v>
      </c>
      <c r="F93" s="113">
        <f>E93/11189*100</f>
        <v>21.190454911073374</v>
      </c>
      <c r="G93" s="13"/>
      <c r="H93" s="113"/>
    </row>
    <row r="94" spans="1:8" s="5" customFormat="1" ht="11.25" customHeight="1" x14ac:dyDescent="0.2">
      <c r="C94" s="5" t="s">
        <v>2122</v>
      </c>
      <c r="D94" s="28" t="s">
        <v>1314</v>
      </c>
      <c r="E94" s="13">
        <v>875</v>
      </c>
      <c r="F94" s="113">
        <f>E94/11189*100</f>
        <v>7.820180534453482</v>
      </c>
      <c r="G94" s="13"/>
      <c r="H94" s="113"/>
    </row>
    <row r="95" spans="1:8" s="5" customFormat="1" ht="11.25" customHeight="1" x14ac:dyDescent="0.2">
      <c r="D95" s="28"/>
      <c r="E95" s="162" t="s">
        <v>2123</v>
      </c>
      <c r="F95" s="165">
        <f>SUM(F90:F94)</f>
        <v>100</v>
      </c>
      <c r="G95" s="162">
        <v>27265</v>
      </c>
      <c r="H95" s="165">
        <v>41.2</v>
      </c>
    </row>
    <row r="96" spans="1:8" s="5" customFormat="1" ht="11.25" customHeight="1" x14ac:dyDescent="0.2">
      <c r="D96" s="28"/>
      <c r="E96" s="13"/>
      <c r="F96" s="113"/>
      <c r="G96" s="13"/>
      <c r="H96" s="113"/>
    </row>
    <row r="97" spans="1:8" s="5" customFormat="1" ht="11.25" customHeight="1" x14ac:dyDescent="0.2">
      <c r="A97" s="5" t="s">
        <v>1860</v>
      </c>
      <c r="C97" s="5" t="s">
        <v>2124</v>
      </c>
      <c r="D97" s="5" t="s">
        <v>653</v>
      </c>
      <c r="E97" s="13">
        <v>51</v>
      </c>
      <c r="F97" s="113">
        <f>E97/13517*100</f>
        <v>0.37730265591477397</v>
      </c>
      <c r="G97" s="13"/>
      <c r="H97" s="113"/>
    </row>
    <row r="98" spans="1:8" s="5" customFormat="1" ht="11.25" customHeight="1" x14ac:dyDescent="0.2">
      <c r="C98" s="5" t="s">
        <v>2125</v>
      </c>
      <c r="D98" s="28" t="s">
        <v>489</v>
      </c>
      <c r="E98" s="13">
        <v>488</v>
      </c>
      <c r="F98" s="113">
        <f t="shared" ref="F98:F103" si="5">E98/13517*100</f>
        <v>3.6102685507139158</v>
      </c>
      <c r="G98" s="13"/>
      <c r="H98" s="113"/>
    </row>
    <row r="99" spans="1:8" s="5" customFormat="1" ht="11.25" customHeight="1" x14ac:dyDescent="0.2">
      <c r="C99" s="5" t="s">
        <v>2126</v>
      </c>
      <c r="D99" s="28" t="s">
        <v>1072</v>
      </c>
      <c r="E99" s="13">
        <v>4938</v>
      </c>
      <c r="F99" s="113">
        <f t="shared" si="5"/>
        <v>36.531774802101054</v>
      </c>
      <c r="G99" s="13"/>
      <c r="H99" s="113"/>
    </row>
    <row r="100" spans="1:8" s="5" customFormat="1" ht="11.25" customHeight="1" x14ac:dyDescent="0.2">
      <c r="C100" s="5" t="s">
        <v>2127</v>
      </c>
      <c r="D100" s="28" t="s">
        <v>1071</v>
      </c>
      <c r="E100" s="13">
        <v>69</v>
      </c>
      <c r="F100" s="113">
        <f t="shared" si="5"/>
        <v>0.51046829917881187</v>
      </c>
      <c r="G100" s="13"/>
      <c r="H100" s="113"/>
    </row>
    <row r="101" spans="1:8" s="5" customFormat="1" ht="11.25" customHeight="1" x14ac:dyDescent="0.2">
      <c r="C101" s="5" t="s">
        <v>2128</v>
      </c>
      <c r="D101" s="28" t="s">
        <v>655</v>
      </c>
      <c r="E101" s="13">
        <v>345</v>
      </c>
      <c r="F101" s="113">
        <f t="shared" si="5"/>
        <v>2.5523414958940593</v>
      </c>
      <c r="G101" s="13"/>
      <c r="H101" s="113"/>
    </row>
    <row r="102" spans="1:8" s="5" customFormat="1" ht="11.25" customHeight="1" x14ac:dyDescent="0.2">
      <c r="C102" s="14" t="s">
        <v>1861</v>
      </c>
      <c r="D102" s="28" t="s">
        <v>1736</v>
      </c>
      <c r="E102" s="13">
        <v>6958</v>
      </c>
      <c r="F102" s="113">
        <f t="shared" si="5"/>
        <v>51.475919212843088</v>
      </c>
      <c r="G102" s="13"/>
      <c r="H102" s="113"/>
    </row>
    <row r="103" spans="1:8" s="5" customFormat="1" ht="11.25" customHeight="1" x14ac:dyDescent="0.2">
      <c r="C103" s="5" t="s">
        <v>2129</v>
      </c>
      <c r="D103" s="28" t="s">
        <v>1314</v>
      </c>
      <c r="E103" s="13">
        <v>668</v>
      </c>
      <c r="F103" s="113">
        <f t="shared" si="5"/>
        <v>4.9419249833542951</v>
      </c>
      <c r="G103" s="13"/>
      <c r="H103" s="113"/>
    </row>
    <row r="104" spans="1:8" s="5" customFormat="1" ht="11.25" customHeight="1" x14ac:dyDescent="0.2">
      <c r="D104" s="28"/>
      <c r="E104" s="162" t="s">
        <v>2130</v>
      </c>
      <c r="F104" s="165">
        <f>SUM(F97:F103)</f>
        <v>100</v>
      </c>
      <c r="G104" s="162">
        <v>25968</v>
      </c>
      <c r="H104" s="165">
        <v>52.4</v>
      </c>
    </row>
    <row r="105" spans="1:8" s="5" customFormat="1" ht="11.25" customHeight="1" x14ac:dyDescent="0.2">
      <c r="D105" s="28"/>
      <c r="E105" s="13"/>
      <c r="F105" s="113"/>
      <c r="G105" s="13"/>
      <c r="H105" s="113"/>
    </row>
    <row r="106" spans="1:8" s="5" customFormat="1" ht="11.25" customHeight="1" x14ac:dyDescent="0.2">
      <c r="A106" s="5" t="s">
        <v>1865</v>
      </c>
      <c r="C106" s="5" t="s">
        <v>2131</v>
      </c>
      <c r="D106" s="28" t="s">
        <v>1072</v>
      </c>
      <c r="E106" s="13">
        <v>2845</v>
      </c>
      <c r="F106" s="113">
        <f>E106/11809*100</f>
        <v>24.091794394106188</v>
      </c>
      <c r="G106" s="13"/>
      <c r="H106" s="113"/>
    </row>
    <row r="107" spans="1:8" s="5" customFormat="1" ht="11.25" customHeight="1" x14ac:dyDescent="0.2">
      <c r="C107" s="14" t="s">
        <v>1867</v>
      </c>
      <c r="D107" s="28" t="s">
        <v>1736</v>
      </c>
      <c r="E107" s="13">
        <v>6829</v>
      </c>
      <c r="F107" s="113">
        <f>E107/11809*100</f>
        <v>57.828774663392323</v>
      </c>
      <c r="G107" s="13"/>
      <c r="H107" s="113"/>
    </row>
    <row r="108" spans="1:8" s="5" customFormat="1" ht="11.25" customHeight="1" x14ac:dyDescent="0.2">
      <c r="C108" s="5" t="s">
        <v>2132</v>
      </c>
      <c r="D108" s="28" t="s">
        <v>489</v>
      </c>
      <c r="E108" s="13">
        <v>781</v>
      </c>
      <c r="F108" s="113">
        <f>E108/11809*100</f>
        <v>6.613599796765179</v>
      </c>
      <c r="G108" s="13"/>
      <c r="H108" s="113"/>
    </row>
    <row r="109" spans="1:8" s="5" customFormat="1" ht="11.25" customHeight="1" x14ac:dyDescent="0.2">
      <c r="C109" s="5" t="s">
        <v>2133</v>
      </c>
      <c r="D109" s="28" t="s">
        <v>655</v>
      </c>
      <c r="E109" s="13">
        <v>793</v>
      </c>
      <c r="F109" s="113">
        <f>E109/11809*100</f>
        <v>6.7152172072148364</v>
      </c>
      <c r="G109" s="13"/>
      <c r="H109" s="113"/>
    </row>
    <row r="110" spans="1:8" s="5" customFormat="1" ht="11.25" customHeight="1" x14ac:dyDescent="0.2">
      <c r="C110" s="5" t="s">
        <v>2134</v>
      </c>
      <c r="D110" s="28" t="s">
        <v>1314</v>
      </c>
      <c r="E110" s="13">
        <v>561</v>
      </c>
      <c r="F110" s="113">
        <f>E110/11809*100</f>
        <v>4.7506139385214672</v>
      </c>
      <c r="G110" s="13"/>
      <c r="H110" s="113"/>
    </row>
    <row r="111" spans="1:8" s="5" customFormat="1" ht="11.25" customHeight="1" x14ac:dyDescent="0.2">
      <c r="D111" s="28"/>
      <c r="E111" s="162" t="s">
        <v>2135</v>
      </c>
      <c r="F111" s="165">
        <f>SUM(F106:F110)</f>
        <v>100</v>
      </c>
      <c r="G111" s="162">
        <v>26174</v>
      </c>
      <c r="H111" s="165">
        <v>45.3</v>
      </c>
    </row>
    <row r="112" spans="1:8" s="5" customFormat="1" ht="11.25" customHeight="1" x14ac:dyDescent="0.2">
      <c r="D112" s="28"/>
      <c r="E112" s="13"/>
      <c r="F112" s="113"/>
      <c r="G112" s="13"/>
      <c r="H112" s="113"/>
    </row>
    <row r="113" spans="1:8" s="5" customFormat="1" ht="11.25" customHeight="1" x14ac:dyDescent="0.2">
      <c r="A113" s="5" t="s">
        <v>1869</v>
      </c>
      <c r="C113" s="5" t="s">
        <v>2136</v>
      </c>
      <c r="D113" s="28" t="s">
        <v>655</v>
      </c>
      <c r="E113" s="13">
        <v>398</v>
      </c>
      <c r="F113" s="113">
        <f>E113/10250*100</f>
        <v>3.8829268292682926</v>
      </c>
      <c r="G113" s="13"/>
      <c r="H113" s="113"/>
    </row>
    <row r="114" spans="1:8" s="5" customFormat="1" ht="11.25" customHeight="1" x14ac:dyDescent="0.2">
      <c r="C114" s="5" t="s">
        <v>2139</v>
      </c>
      <c r="D114" s="28" t="s">
        <v>489</v>
      </c>
      <c r="E114" s="13">
        <v>472</v>
      </c>
      <c r="F114" s="113">
        <f>E114/10250*100</f>
        <v>4.6048780487804875</v>
      </c>
      <c r="G114" s="13"/>
      <c r="H114" s="113"/>
    </row>
    <row r="115" spans="1:8" s="5" customFormat="1" ht="11.25" customHeight="1" x14ac:dyDescent="0.2">
      <c r="C115" s="5" t="s">
        <v>2137</v>
      </c>
      <c r="D115" s="28" t="s">
        <v>1072</v>
      </c>
      <c r="E115" s="13">
        <v>3561</v>
      </c>
      <c r="F115" s="113">
        <f>E115/10250*100</f>
        <v>34.741463414634147</v>
      </c>
      <c r="G115" s="13"/>
      <c r="H115" s="113"/>
    </row>
    <row r="116" spans="1:8" s="5" customFormat="1" ht="11.25" customHeight="1" x14ac:dyDescent="0.2">
      <c r="C116" s="14" t="s">
        <v>2138</v>
      </c>
      <c r="D116" s="28" t="s">
        <v>1736</v>
      </c>
      <c r="E116" s="13">
        <v>5819</v>
      </c>
      <c r="F116" s="113">
        <f>E116/10250*100</f>
        <v>56.770731707317069</v>
      </c>
      <c r="G116" s="13"/>
      <c r="H116" s="113"/>
    </row>
    <row r="117" spans="1:8" s="5" customFormat="1" ht="11.25" customHeight="1" x14ac:dyDescent="0.2">
      <c r="D117" s="28"/>
      <c r="E117" s="162" t="s">
        <v>2140</v>
      </c>
      <c r="F117" s="165">
        <f>SUM(F113:F116)</f>
        <v>100</v>
      </c>
      <c r="G117" s="162">
        <v>27739</v>
      </c>
      <c r="H117" s="165">
        <v>37</v>
      </c>
    </row>
    <row r="118" spans="1:8" s="5" customFormat="1" ht="11.25" customHeight="1" x14ac:dyDescent="0.2">
      <c r="E118" s="13"/>
      <c r="F118" s="113"/>
      <c r="G118" s="13"/>
      <c r="H118" s="113"/>
    </row>
    <row r="119" spans="1:8" s="5" customFormat="1" ht="11.25" customHeight="1" x14ac:dyDescent="0.2">
      <c r="A119" s="5" t="s">
        <v>1873</v>
      </c>
      <c r="C119" s="14" t="s">
        <v>1875</v>
      </c>
      <c r="D119" s="28" t="s">
        <v>1736</v>
      </c>
      <c r="E119" s="13">
        <v>4137</v>
      </c>
      <c r="F119" s="113">
        <f t="shared" ref="F119:F124" si="6">E119/7681*100</f>
        <v>53.860174456450984</v>
      </c>
      <c r="G119" s="13"/>
      <c r="H119" s="113"/>
    </row>
    <row r="120" spans="1:8" s="5" customFormat="1" ht="11.25" customHeight="1" x14ac:dyDescent="0.2">
      <c r="C120" s="5" t="s">
        <v>2141</v>
      </c>
      <c r="D120" s="28" t="s">
        <v>1314</v>
      </c>
      <c r="E120" s="13">
        <v>439</v>
      </c>
      <c r="F120" s="113">
        <f t="shared" si="6"/>
        <v>5.7154016404114047</v>
      </c>
      <c r="G120" s="13"/>
      <c r="H120" s="113"/>
    </row>
    <row r="121" spans="1:8" s="5" customFormat="1" ht="11.25" customHeight="1" x14ac:dyDescent="0.2">
      <c r="C121" s="5" t="s">
        <v>2145</v>
      </c>
      <c r="D121" s="28" t="s">
        <v>489</v>
      </c>
      <c r="E121" s="13">
        <v>524</v>
      </c>
      <c r="F121" s="113">
        <f t="shared" si="6"/>
        <v>6.8220283817211307</v>
      </c>
      <c r="G121" s="13"/>
      <c r="H121" s="113"/>
    </row>
    <row r="122" spans="1:8" s="5" customFormat="1" ht="11.25" customHeight="1" x14ac:dyDescent="0.2">
      <c r="C122" s="5" t="s">
        <v>2142</v>
      </c>
      <c r="D122" s="28" t="s">
        <v>1072</v>
      </c>
      <c r="E122" s="13">
        <v>1786</v>
      </c>
      <c r="F122" s="113">
        <f t="shared" si="6"/>
        <v>23.252180705637286</v>
      </c>
      <c r="G122" s="13"/>
      <c r="H122" s="113"/>
    </row>
    <row r="123" spans="1:8" s="5" customFormat="1" ht="11.25" customHeight="1" x14ac:dyDescent="0.2">
      <c r="C123" s="5" t="s">
        <v>2143</v>
      </c>
      <c r="D123" s="28" t="s">
        <v>2102</v>
      </c>
      <c r="E123" s="13">
        <v>211</v>
      </c>
      <c r="F123" s="113">
        <f t="shared" si="6"/>
        <v>2.74703814607473</v>
      </c>
      <c r="G123" s="13"/>
      <c r="H123" s="113"/>
    </row>
    <row r="124" spans="1:8" s="5" customFormat="1" ht="11.25" customHeight="1" x14ac:dyDescent="0.2">
      <c r="C124" s="5" t="s">
        <v>2144</v>
      </c>
      <c r="D124" s="28" t="s">
        <v>655</v>
      </c>
      <c r="E124" s="13">
        <v>584</v>
      </c>
      <c r="F124" s="113">
        <f t="shared" si="6"/>
        <v>7.6031766697044656</v>
      </c>
      <c r="G124" s="13"/>
      <c r="H124" s="113"/>
    </row>
    <row r="125" spans="1:8" s="5" customFormat="1" ht="11.25" customHeight="1" x14ac:dyDescent="0.2">
      <c r="D125" s="28"/>
      <c r="E125" s="162" t="s">
        <v>2146</v>
      </c>
      <c r="F125" s="165">
        <f>SUM(F119:F124)</f>
        <v>100</v>
      </c>
      <c r="G125" s="162">
        <v>23271</v>
      </c>
      <c r="H125" s="165">
        <v>33.4</v>
      </c>
    </row>
    <row r="126" spans="1:8" s="5" customFormat="1" ht="11.25" customHeight="1" x14ac:dyDescent="0.2">
      <c r="D126" s="28"/>
      <c r="E126" s="13"/>
      <c r="F126" s="113"/>
      <c r="G126" s="13"/>
      <c r="H126" s="113"/>
    </row>
    <row r="127" spans="1:8" s="5" customFormat="1" ht="11.25" customHeight="1" x14ac:dyDescent="0.2">
      <c r="A127" s="5" t="s">
        <v>3211</v>
      </c>
      <c r="C127" s="5" t="s">
        <v>2147</v>
      </c>
      <c r="D127" s="28" t="s">
        <v>1071</v>
      </c>
      <c r="E127" s="13">
        <v>127</v>
      </c>
      <c r="F127" s="113">
        <f t="shared" ref="F127:F132" si="7">E127/12410*100</f>
        <v>1.0233682514101532</v>
      </c>
      <c r="G127" s="13"/>
      <c r="H127" s="113"/>
    </row>
    <row r="128" spans="1:8" s="5" customFormat="1" ht="11.25" customHeight="1" x14ac:dyDescent="0.2">
      <c r="C128" s="5" t="s">
        <v>2148</v>
      </c>
      <c r="D128" s="28" t="s">
        <v>655</v>
      </c>
      <c r="E128" s="13">
        <v>553</v>
      </c>
      <c r="F128" s="113">
        <f t="shared" si="7"/>
        <v>4.4560838033843675</v>
      </c>
      <c r="G128" s="13"/>
      <c r="H128" s="113"/>
    </row>
    <row r="129" spans="1:8" s="5" customFormat="1" ht="11.25" customHeight="1" x14ac:dyDescent="0.2">
      <c r="C129" s="5" t="s">
        <v>2149</v>
      </c>
      <c r="D129" s="28" t="s">
        <v>489</v>
      </c>
      <c r="E129" s="13">
        <v>571</v>
      </c>
      <c r="F129" s="113">
        <f t="shared" si="7"/>
        <v>4.6011281224818692</v>
      </c>
      <c r="G129" s="13"/>
      <c r="H129" s="113"/>
    </row>
    <row r="130" spans="1:8" s="5" customFormat="1" ht="11.25" customHeight="1" x14ac:dyDescent="0.2">
      <c r="C130" s="5" t="s">
        <v>2150</v>
      </c>
      <c r="D130" s="28" t="s">
        <v>1072</v>
      </c>
      <c r="E130" s="13">
        <v>4364</v>
      </c>
      <c r="F130" s="113">
        <f t="shared" si="7"/>
        <v>35.165189363416602</v>
      </c>
      <c r="G130" s="13"/>
      <c r="H130" s="113"/>
    </row>
    <row r="131" spans="1:8" s="5" customFormat="1" ht="11.25" customHeight="1" x14ac:dyDescent="0.2">
      <c r="C131" s="5" t="s">
        <v>2151</v>
      </c>
      <c r="D131" s="5" t="s">
        <v>1314</v>
      </c>
      <c r="E131" s="13">
        <v>532</v>
      </c>
      <c r="F131" s="113">
        <f t="shared" si="7"/>
        <v>4.2868654311039487</v>
      </c>
      <c r="G131" s="13"/>
      <c r="H131" s="113"/>
    </row>
    <row r="132" spans="1:8" s="5" customFormat="1" ht="11.25" customHeight="1" x14ac:dyDescent="0.2">
      <c r="C132" s="14" t="s">
        <v>3214</v>
      </c>
      <c r="D132" s="28" t="s">
        <v>1736</v>
      </c>
      <c r="E132" s="13">
        <v>6263</v>
      </c>
      <c r="F132" s="113">
        <f t="shared" si="7"/>
        <v>50.467365028203062</v>
      </c>
      <c r="G132" s="13"/>
      <c r="H132" s="113"/>
    </row>
    <row r="133" spans="1:8" s="5" customFormat="1" ht="11.25" customHeight="1" x14ac:dyDescent="0.2">
      <c r="D133" s="28"/>
      <c r="E133" s="162" t="s">
        <v>2152</v>
      </c>
      <c r="F133" s="165">
        <f>SUM(F127:F132)</f>
        <v>100</v>
      </c>
      <c r="G133" s="162">
        <v>25788</v>
      </c>
      <c r="H133" s="165">
        <v>48.4</v>
      </c>
    </row>
    <row r="134" spans="1:8" s="5" customFormat="1" ht="11.25" customHeight="1" x14ac:dyDescent="0.2">
      <c r="D134" s="28"/>
      <c r="E134" s="13"/>
      <c r="F134" s="113"/>
      <c r="G134" s="13"/>
      <c r="H134" s="113"/>
    </row>
    <row r="135" spans="1:8" s="5" customFormat="1" ht="11.25" customHeight="1" x14ac:dyDescent="0.2">
      <c r="A135" s="5" t="s">
        <v>2042</v>
      </c>
      <c r="C135" s="5" t="s">
        <v>2153</v>
      </c>
      <c r="D135" s="28" t="s">
        <v>1314</v>
      </c>
      <c r="E135" s="13">
        <v>378</v>
      </c>
      <c r="F135" s="113">
        <f>E135/8659*100</f>
        <v>4.365400161681487</v>
      </c>
      <c r="G135" s="13"/>
      <c r="H135" s="113"/>
    </row>
    <row r="136" spans="1:8" s="5" customFormat="1" ht="11.25" customHeight="1" x14ac:dyDescent="0.2">
      <c r="C136" s="5" t="s">
        <v>2154</v>
      </c>
      <c r="D136" s="28" t="s">
        <v>1072</v>
      </c>
      <c r="E136" s="13">
        <v>1926</v>
      </c>
      <c r="F136" s="113">
        <f>E136/8659*100</f>
        <v>22.242753204758056</v>
      </c>
      <c r="G136" s="13"/>
      <c r="H136" s="113"/>
    </row>
    <row r="137" spans="1:8" s="5" customFormat="1" ht="11.25" customHeight="1" x14ac:dyDescent="0.2">
      <c r="C137" s="14" t="s">
        <v>2155</v>
      </c>
      <c r="D137" s="28" t="s">
        <v>1736</v>
      </c>
      <c r="E137" s="13">
        <v>5523</v>
      </c>
      <c r="F137" s="113">
        <f>E137/8659*100</f>
        <v>63.783346806790618</v>
      </c>
      <c r="G137" s="13"/>
      <c r="H137" s="113"/>
    </row>
    <row r="138" spans="1:8" s="5" customFormat="1" ht="11.25" customHeight="1" x14ac:dyDescent="0.2">
      <c r="C138" s="5" t="s">
        <v>2657</v>
      </c>
      <c r="D138" s="28" t="s">
        <v>489</v>
      </c>
      <c r="E138" s="13">
        <v>534</v>
      </c>
      <c r="F138" s="113">
        <f>E138/8659*100</f>
        <v>6.166993879200831</v>
      </c>
      <c r="G138" s="13"/>
      <c r="H138" s="113"/>
    </row>
    <row r="139" spans="1:8" s="5" customFormat="1" ht="11.25" customHeight="1" x14ac:dyDescent="0.2">
      <c r="C139" s="5" t="s">
        <v>2156</v>
      </c>
      <c r="D139" s="28" t="s">
        <v>655</v>
      </c>
      <c r="E139" s="13">
        <v>298</v>
      </c>
      <c r="F139" s="113">
        <f>E139/8659*100</f>
        <v>3.4415059475690035</v>
      </c>
      <c r="G139" s="13"/>
      <c r="H139" s="113"/>
    </row>
    <row r="140" spans="1:8" s="5" customFormat="1" ht="11.25" customHeight="1" x14ac:dyDescent="0.2">
      <c r="D140" s="28"/>
      <c r="E140" s="162" t="s">
        <v>2157</v>
      </c>
      <c r="F140" s="165">
        <f>SUM(F135:F139)</f>
        <v>99.999999999999986</v>
      </c>
      <c r="G140" s="162">
        <v>24936</v>
      </c>
      <c r="H140" s="165">
        <v>34.799999999999997</v>
      </c>
    </row>
    <row r="141" spans="1:8" s="5" customFormat="1" ht="11.25" customHeight="1" x14ac:dyDescent="0.2">
      <c r="D141" s="28"/>
      <c r="E141" s="13"/>
      <c r="F141" s="113"/>
      <c r="G141" s="13"/>
      <c r="H141" s="113"/>
    </row>
    <row r="142" spans="1:8" s="5" customFormat="1" ht="11.25" customHeight="1" x14ac:dyDescent="0.2">
      <c r="A142" s="5" t="s">
        <v>3216</v>
      </c>
      <c r="C142" s="5" t="s">
        <v>2158</v>
      </c>
      <c r="D142" s="28" t="s">
        <v>1314</v>
      </c>
      <c r="E142" s="13">
        <v>471</v>
      </c>
      <c r="F142" s="113">
        <f>E142/10589*100</f>
        <v>4.4480120880158651</v>
      </c>
      <c r="G142" s="13"/>
      <c r="H142" s="113"/>
    </row>
    <row r="143" spans="1:8" s="5" customFormat="1" ht="11.25" customHeight="1" x14ac:dyDescent="0.2">
      <c r="C143" s="5" t="s">
        <v>2159</v>
      </c>
      <c r="D143" s="28" t="s">
        <v>489</v>
      </c>
      <c r="E143" s="13">
        <v>445</v>
      </c>
      <c r="F143" s="113">
        <f>E143/10589*100</f>
        <v>4.2024742657474734</v>
      </c>
      <c r="G143" s="13"/>
      <c r="H143" s="113"/>
    </row>
    <row r="144" spans="1:8" s="5" customFormat="1" ht="11.25" customHeight="1" x14ac:dyDescent="0.2">
      <c r="C144" s="5" t="s">
        <v>2160</v>
      </c>
      <c r="D144" s="28" t="s">
        <v>655</v>
      </c>
      <c r="E144" s="13">
        <v>365</v>
      </c>
      <c r="F144" s="113">
        <f>E144/10589*100</f>
        <v>3.4469732741524219</v>
      </c>
      <c r="G144" s="13"/>
      <c r="H144" s="113"/>
    </row>
    <row r="145" spans="1:8" s="5" customFormat="1" ht="11.25" customHeight="1" x14ac:dyDescent="0.2">
      <c r="C145" s="5" t="s">
        <v>2161</v>
      </c>
      <c r="D145" s="28" t="s">
        <v>1072</v>
      </c>
      <c r="E145" s="13">
        <v>2972</v>
      </c>
      <c r="F145" s="113">
        <f>E145/10589*100</f>
        <v>28.066861837756164</v>
      </c>
      <c r="G145" s="13"/>
      <c r="H145" s="113"/>
    </row>
    <row r="146" spans="1:8" s="5" customFormat="1" ht="11.25" customHeight="1" x14ac:dyDescent="0.2">
      <c r="C146" s="14" t="s">
        <v>2162</v>
      </c>
      <c r="D146" s="28" t="s">
        <v>1736</v>
      </c>
      <c r="E146" s="13">
        <v>6336</v>
      </c>
      <c r="F146" s="113">
        <f>E146/10589*100</f>
        <v>59.835678534328075</v>
      </c>
      <c r="G146" s="13"/>
      <c r="H146" s="113"/>
    </row>
    <row r="147" spans="1:8" s="5" customFormat="1" ht="11.25" customHeight="1" x14ac:dyDescent="0.2">
      <c r="D147" s="28"/>
      <c r="E147" s="162" t="s">
        <v>2163</v>
      </c>
      <c r="F147" s="165">
        <f>SUM(F142:F146)</f>
        <v>100</v>
      </c>
      <c r="G147" s="162">
        <v>26209</v>
      </c>
      <c r="H147" s="165">
        <v>40.6</v>
      </c>
    </row>
    <row r="148" spans="1:8" s="5" customFormat="1" ht="11.25" customHeight="1" x14ac:dyDescent="0.2">
      <c r="D148" s="28"/>
      <c r="E148" s="13"/>
      <c r="F148" s="113"/>
      <c r="G148" s="13"/>
      <c r="H148" s="113"/>
    </row>
    <row r="149" spans="1:8" s="5" customFormat="1" ht="11.25" customHeight="1" x14ac:dyDescent="0.2">
      <c r="A149" s="5" t="s">
        <v>2043</v>
      </c>
      <c r="C149" s="5" t="s">
        <v>3169</v>
      </c>
      <c r="D149" s="28" t="s">
        <v>655</v>
      </c>
      <c r="E149" s="13">
        <v>462</v>
      </c>
      <c r="F149" s="113">
        <f t="shared" ref="F149:F154" si="8">E149/9925*100</f>
        <v>4.6549118387909321</v>
      </c>
      <c r="G149" s="13"/>
      <c r="H149" s="113"/>
    </row>
    <row r="150" spans="1:8" s="5" customFormat="1" ht="11.25" customHeight="1" x14ac:dyDescent="0.2">
      <c r="C150" s="5" t="s">
        <v>3236</v>
      </c>
      <c r="D150" s="28" t="s">
        <v>1072</v>
      </c>
      <c r="E150" s="13">
        <v>2617</v>
      </c>
      <c r="F150" s="113">
        <f t="shared" si="8"/>
        <v>26.367758186397982</v>
      </c>
      <c r="G150" s="13"/>
      <c r="H150" s="113"/>
    </row>
    <row r="151" spans="1:8" s="5" customFormat="1" ht="11.25" customHeight="1" x14ac:dyDescent="0.2">
      <c r="C151" s="5" t="s">
        <v>2164</v>
      </c>
      <c r="D151" s="28" t="s">
        <v>489</v>
      </c>
      <c r="E151" s="13">
        <v>626</v>
      </c>
      <c r="F151" s="113">
        <f t="shared" si="8"/>
        <v>6.307304785894206</v>
      </c>
      <c r="G151" s="13"/>
      <c r="H151" s="113"/>
    </row>
    <row r="152" spans="1:8" s="5" customFormat="1" ht="11.25" customHeight="1" x14ac:dyDescent="0.2">
      <c r="C152" s="14" t="s">
        <v>1173</v>
      </c>
      <c r="D152" s="28" t="s">
        <v>1736</v>
      </c>
      <c r="E152" s="13">
        <v>5575</v>
      </c>
      <c r="F152" s="113">
        <f t="shared" si="8"/>
        <v>56.17128463476071</v>
      </c>
      <c r="G152" s="13"/>
      <c r="H152" s="113"/>
    </row>
    <row r="153" spans="1:8" s="5" customFormat="1" ht="11.25" customHeight="1" x14ac:dyDescent="0.2">
      <c r="C153" s="5" t="s">
        <v>2165</v>
      </c>
      <c r="D153" s="28" t="s">
        <v>653</v>
      </c>
      <c r="E153" s="13">
        <v>200</v>
      </c>
      <c r="F153" s="113">
        <f t="shared" si="8"/>
        <v>2.0151133501259446</v>
      </c>
      <c r="G153" s="13"/>
      <c r="H153" s="113"/>
    </row>
    <row r="154" spans="1:8" s="5" customFormat="1" ht="11.25" customHeight="1" x14ac:dyDescent="0.2">
      <c r="C154" s="5" t="s">
        <v>2166</v>
      </c>
      <c r="D154" s="28" t="s">
        <v>1314</v>
      </c>
      <c r="E154" s="13">
        <v>445</v>
      </c>
      <c r="F154" s="113">
        <f t="shared" si="8"/>
        <v>4.4836272040302267</v>
      </c>
      <c r="G154" s="13"/>
      <c r="H154" s="113"/>
    </row>
    <row r="155" spans="1:8" s="5" customFormat="1" ht="11.25" customHeight="1" x14ac:dyDescent="0.2">
      <c r="D155" s="28"/>
      <c r="E155" s="162" t="s">
        <v>2167</v>
      </c>
      <c r="F155" s="165">
        <f>SUM(F149:F154)</f>
        <v>100</v>
      </c>
      <c r="G155" s="162">
        <v>27866</v>
      </c>
      <c r="H155" s="165">
        <v>35.799999999999997</v>
      </c>
    </row>
    <row r="156" spans="1:8" s="5" customFormat="1" ht="11.25" customHeight="1" x14ac:dyDescent="0.2">
      <c r="D156" s="28"/>
      <c r="E156" s="13"/>
      <c r="F156" s="113"/>
      <c r="G156" s="13"/>
      <c r="H156" s="113"/>
    </row>
    <row r="157" spans="1:8" s="5" customFormat="1" ht="11.25" customHeight="1" x14ac:dyDescent="0.2">
      <c r="A157" s="5" t="s">
        <v>3220</v>
      </c>
      <c r="C157" s="5" t="s">
        <v>2168</v>
      </c>
      <c r="D157" s="28" t="s">
        <v>1314</v>
      </c>
      <c r="E157" s="13">
        <v>338</v>
      </c>
      <c r="F157" s="113">
        <f>E157/7328*100</f>
        <v>4.6124454148471621</v>
      </c>
      <c r="G157" s="13"/>
      <c r="H157" s="113"/>
    </row>
    <row r="158" spans="1:8" s="5" customFormat="1" ht="11.25" customHeight="1" x14ac:dyDescent="0.2">
      <c r="C158" s="5" t="s">
        <v>2169</v>
      </c>
      <c r="D158" s="28" t="s">
        <v>489</v>
      </c>
      <c r="E158" s="13">
        <v>576</v>
      </c>
      <c r="F158" s="113">
        <f>E158/7328*100</f>
        <v>7.860262008733625</v>
      </c>
      <c r="G158" s="13"/>
      <c r="H158" s="113"/>
    </row>
    <row r="159" spans="1:8" s="5" customFormat="1" ht="11.25" customHeight="1" x14ac:dyDescent="0.2">
      <c r="C159" s="5" t="s">
        <v>2170</v>
      </c>
      <c r="D159" s="28" t="s">
        <v>1072</v>
      </c>
      <c r="E159" s="13">
        <v>2891</v>
      </c>
      <c r="F159" s="113">
        <f>E159/7328*100</f>
        <v>39.4514192139738</v>
      </c>
      <c r="G159" s="13"/>
      <c r="H159" s="113"/>
    </row>
    <row r="160" spans="1:8" s="5" customFormat="1" ht="11.25" customHeight="1" x14ac:dyDescent="0.2">
      <c r="C160" s="14" t="s">
        <v>3225</v>
      </c>
      <c r="D160" s="28" t="s">
        <v>1736</v>
      </c>
      <c r="E160" s="13">
        <v>3195</v>
      </c>
      <c r="F160" s="113">
        <f>E160/7328*100</f>
        <v>43.599890829694324</v>
      </c>
      <c r="G160" s="13"/>
      <c r="H160" s="113"/>
    </row>
    <row r="161" spans="1:8" s="5" customFormat="1" ht="11.25" customHeight="1" x14ac:dyDescent="0.2">
      <c r="C161" s="5" t="s">
        <v>3226</v>
      </c>
      <c r="D161" s="28" t="s">
        <v>655</v>
      </c>
      <c r="E161" s="13">
        <v>328</v>
      </c>
      <c r="F161" s="113">
        <f>E161/7328*100</f>
        <v>4.4759825327510914</v>
      </c>
      <c r="G161" s="13"/>
      <c r="H161" s="113"/>
    </row>
    <row r="162" spans="1:8" s="5" customFormat="1" ht="11.25" customHeight="1" x14ac:dyDescent="0.2">
      <c r="D162" s="28"/>
      <c r="E162" s="162" t="s">
        <v>2171</v>
      </c>
      <c r="F162" s="165">
        <f>SUM(F157:F161)</f>
        <v>100</v>
      </c>
      <c r="G162" s="162">
        <v>21831</v>
      </c>
      <c r="H162" s="165">
        <v>33.9</v>
      </c>
    </row>
    <row r="163" spans="1:8" s="5" customFormat="1" ht="11.25" customHeight="1" x14ac:dyDescent="0.2">
      <c r="D163" s="28"/>
      <c r="E163" s="13"/>
      <c r="F163" s="113"/>
      <c r="G163" s="13"/>
      <c r="H163" s="113"/>
    </row>
    <row r="164" spans="1:8" s="5" customFormat="1" ht="11.25" customHeight="1" x14ac:dyDescent="0.2">
      <c r="A164" s="5" t="s">
        <v>3227</v>
      </c>
      <c r="C164" s="5" t="s">
        <v>2172</v>
      </c>
      <c r="D164" s="28" t="s">
        <v>489</v>
      </c>
      <c r="E164" s="13">
        <v>689</v>
      </c>
      <c r="F164" s="113">
        <f>E164/6478*100</f>
        <v>10.635998765050941</v>
      </c>
      <c r="G164" s="13"/>
      <c r="H164" s="113"/>
    </row>
    <row r="165" spans="1:8" s="5" customFormat="1" ht="11.25" customHeight="1" x14ac:dyDescent="0.2">
      <c r="C165" s="5" t="s">
        <v>2173</v>
      </c>
      <c r="D165" s="28" t="s">
        <v>1314</v>
      </c>
      <c r="E165" s="13">
        <v>355</v>
      </c>
      <c r="F165" s="113">
        <f>E165/6478*100</f>
        <v>5.4800864464340844</v>
      </c>
      <c r="G165" s="13"/>
      <c r="H165" s="113"/>
    </row>
    <row r="166" spans="1:8" s="5" customFormat="1" ht="11.25" customHeight="1" x14ac:dyDescent="0.2">
      <c r="C166" s="5" t="s">
        <v>2174</v>
      </c>
      <c r="D166" s="28" t="s">
        <v>1072</v>
      </c>
      <c r="E166" s="13">
        <v>1691</v>
      </c>
      <c r="F166" s="113">
        <f>E166/6478*100</f>
        <v>26.103735720901511</v>
      </c>
      <c r="G166" s="13"/>
      <c r="H166" s="113"/>
    </row>
    <row r="167" spans="1:8" s="5" customFormat="1" ht="11.25" customHeight="1" x14ac:dyDescent="0.2">
      <c r="C167" s="5" t="s">
        <v>2175</v>
      </c>
      <c r="D167" s="5" t="s">
        <v>655</v>
      </c>
      <c r="E167" s="13">
        <v>420</v>
      </c>
      <c r="F167" s="113">
        <f>E167/6478*100</f>
        <v>6.4834825563445513</v>
      </c>
      <c r="G167" s="13"/>
      <c r="H167" s="113"/>
    </row>
    <row r="168" spans="1:8" s="5" customFormat="1" ht="11.25" customHeight="1" x14ac:dyDescent="0.2">
      <c r="C168" s="14" t="s">
        <v>3229</v>
      </c>
      <c r="D168" s="28" t="s">
        <v>1736</v>
      </c>
      <c r="E168" s="13">
        <v>3323</v>
      </c>
      <c r="F168" s="113">
        <f>E168/6478*100</f>
        <v>51.296696511268912</v>
      </c>
      <c r="G168" s="13"/>
      <c r="H168" s="113"/>
    </row>
    <row r="169" spans="1:8" s="5" customFormat="1" ht="11.25" customHeight="1" x14ac:dyDescent="0.2">
      <c r="D169" s="28"/>
      <c r="E169" s="162" t="s">
        <v>2176</v>
      </c>
      <c r="F169" s="165">
        <f>SUM(F164:F168)</f>
        <v>100</v>
      </c>
      <c r="G169" s="162">
        <v>22001</v>
      </c>
      <c r="H169" s="165">
        <v>29.6</v>
      </c>
    </row>
    <row r="170" spans="1:8" s="5" customFormat="1" ht="11.25" customHeight="1" x14ac:dyDescent="0.2">
      <c r="D170" s="28"/>
      <c r="E170" s="13"/>
      <c r="F170" s="113"/>
      <c r="G170" s="13"/>
      <c r="H170" s="113"/>
    </row>
    <row r="171" spans="1:8" s="5" customFormat="1" ht="11.25" customHeight="1" x14ac:dyDescent="0.2">
      <c r="A171" s="5" t="s">
        <v>3231</v>
      </c>
      <c r="C171" s="5" t="s">
        <v>2177</v>
      </c>
      <c r="D171" s="5" t="s">
        <v>489</v>
      </c>
      <c r="E171" s="13">
        <v>589</v>
      </c>
      <c r="F171" s="113">
        <f>E171/13435*100</f>
        <v>4.3840714551544471</v>
      </c>
      <c r="G171" s="13"/>
      <c r="H171" s="113"/>
    </row>
    <row r="172" spans="1:8" s="5" customFormat="1" ht="11.25" customHeight="1" x14ac:dyDescent="0.2">
      <c r="C172" s="5" t="s">
        <v>2178</v>
      </c>
      <c r="D172" s="28" t="s">
        <v>655</v>
      </c>
      <c r="E172" s="13">
        <v>712</v>
      </c>
      <c r="F172" s="113">
        <f>E172/13435*100</f>
        <v>5.2995906215109789</v>
      </c>
      <c r="G172" s="13"/>
      <c r="H172" s="113"/>
    </row>
    <row r="173" spans="1:8" s="5" customFormat="1" ht="11.25" customHeight="1" x14ac:dyDescent="0.2">
      <c r="C173" s="5" t="s">
        <v>3232</v>
      </c>
      <c r="D173" s="28" t="s">
        <v>1736</v>
      </c>
      <c r="E173" s="13">
        <v>4088</v>
      </c>
      <c r="F173" s="113">
        <f>E173/13435*100</f>
        <v>30.427986602158541</v>
      </c>
      <c r="G173" s="13"/>
      <c r="H173" s="113"/>
    </row>
    <row r="174" spans="1:8" s="5" customFormat="1" ht="11.25" customHeight="1" x14ac:dyDescent="0.2">
      <c r="C174" s="5" t="s">
        <v>2658</v>
      </c>
      <c r="D174" s="28" t="s">
        <v>1314</v>
      </c>
      <c r="E174" s="13">
        <v>884</v>
      </c>
      <c r="F174" s="113">
        <f>E174/13435*100</f>
        <v>6.5798288053591367</v>
      </c>
      <c r="G174" s="13"/>
      <c r="H174" s="113"/>
    </row>
    <row r="175" spans="1:8" s="5" customFormat="1" ht="11.25" customHeight="1" x14ac:dyDescent="0.2">
      <c r="C175" s="14" t="s">
        <v>2179</v>
      </c>
      <c r="D175" s="28" t="s">
        <v>1072</v>
      </c>
      <c r="E175" s="13">
        <v>7162</v>
      </c>
      <c r="F175" s="113">
        <f>E175/13435*100</f>
        <v>53.30852251581689</v>
      </c>
      <c r="G175" s="13"/>
      <c r="H175" s="113"/>
    </row>
    <row r="176" spans="1:8" s="5" customFormat="1" ht="11.25" customHeight="1" x14ac:dyDescent="0.2">
      <c r="D176" s="28"/>
      <c r="E176" s="162" t="s">
        <v>2180</v>
      </c>
      <c r="F176" s="165">
        <f>SUM(F171:F175)</f>
        <v>100</v>
      </c>
      <c r="G176" s="162">
        <v>27299</v>
      </c>
      <c r="H176" s="165">
        <v>49.5</v>
      </c>
    </row>
    <row r="177" spans="1:8" s="5" customFormat="1" ht="11.25" customHeight="1" x14ac:dyDescent="0.2">
      <c r="D177" s="28"/>
      <c r="E177" s="13"/>
      <c r="F177" s="113"/>
      <c r="G177" s="13"/>
      <c r="H177" s="113"/>
    </row>
    <row r="178" spans="1:8" s="5" customFormat="1" ht="11.25" customHeight="1" x14ac:dyDescent="0.2">
      <c r="A178" s="5" t="s">
        <v>3235</v>
      </c>
      <c r="C178" s="5" t="s">
        <v>2181</v>
      </c>
      <c r="D178" s="28" t="s">
        <v>489</v>
      </c>
      <c r="E178" s="13">
        <v>627</v>
      </c>
      <c r="F178" s="113">
        <f>E178/10112*100</f>
        <v>6.2005537974683538</v>
      </c>
      <c r="G178" s="13"/>
      <c r="H178" s="113"/>
    </row>
    <row r="179" spans="1:8" s="5" customFormat="1" ht="11.25" customHeight="1" x14ac:dyDescent="0.2">
      <c r="C179" s="5" t="s">
        <v>2182</v>
      </c>
      <c r="D179" s="28" t="s">
        <v>655</v>
      </c>
      <c r="E179" s="13">
        <v>643</v>
      </c>
      <c r="F179" s="113">
        <f>E179/10112*100</f>
        <v>6.3587816455696204</v>
      </c>
      <c r="G179" s="13"/>
      <c r="H179" s="113"/>
    </row>
    <row r="180" spans="1:8" s="5" customFormat="1" ht="11.25" customHeight="1" x14ac:dyDescent="0.2">
      <c r="C180" s="14" t="s">
        <v>3238</v>
      </c>
      <c r="D180" s="28" t="s">
        <v>1736</v>
      </c>
      <c r="E180" s="13">
        <v>4369</v>
      </c>
      <c r="F180" s="113">
        <f>E180/10112*100</f>
        <v>43.2060917721519</v>
      </c>
      <c r="G180" s="13"/>
      <c r="H180" s="113"/>
    </row>
    <row r="181" spans="1:8" s="5" customFormat="1" ht="11.25" customHeight="1" x14ac:dyDescent="0.2">
      <c r="C181" s="5" t="s">
        <v>1966</v>
      </c>
      <c r="D181" s="28" t="s">
        <v>1072</v>
      </c>
      <c r="E181" s="13">
        <v>3212</v>
      </c>
      <c r="F181" s="113">
        <f>E181/10112*100</f>
        <v>31.764240506329116</v>
      </c>
      <c r="G181" s="13"/>
      <c r="H181" s="113"/>
    </row>
    <row r="182" spans="1:8" s="5" customFormat="1" ht="11.25" customHeight="1" x14ac:dyDescent="0.2">
      <c r="C182" s="5" t="s">
        <v>2183</v>
      </c>
      <c r="D182" s="28" t="s">
        <v>1314</v>
      </c>
      <c r="E182" s="13">
        <v>1261</v>
      </c>
      <c r="F182" s="113">
        <f>E182/10112*100</f>
        <v>12.470332278481013</v>
      </c>
      <c r="G182" s="13"/>
      <c r="H182" s="113"/>
    </row>
    <row r="183" spans="1:8" s="5" customFormat="1" ht="11.25" customHeight="1" x14ac:dyDescent="0.2">
      <c r="D183" s="28"/>
      <c r="E183" s="162" t="s">
        <v>2184</v>
      </c>
      <c r="F183" s="165">
        <f>SUM(F178:F182)</f>
        <v>100</v>
      </c>
      <c r="G183" s="162">
        <v>22987</v>
      </c>
      <c r="H183" s="165">
        <v>44.2</v>
      </c>
    </row>
    <row r="184" spans="1:8" s="5" customFormat="1" ht="11.25" customHeight="1" x14ac:dyDescent="0.2">
      <c r="D184" s="28"/>
      <c r="E184" s="13"/>
      <c r="F184" s="113"/>
      <c r="G184" s="13"/>
      <c r="H184" s="113"/>
    </row>
    <row r="185" spans="1:8" s="5" customFormat="1" ht="11.25" customHeight="1" x14ac:dyDescent="0.2">
      <c r="A185" s="5" t="s">
        <v>3240</v>
      </c>
      <c r="C185" s="5" t="s">
        <v>2185</v>
      </c>
      <c r="D185" s="28" t="s">
        <v>655</v>
      </c>
      <c r="E185" s="13">
        <v>520</v>
      </c>
      <c r="F185" s="113">
        <f>E185/14023*100</f>
        <v>3.7081936818084573</v>
      </c>
      <c r="G185" s="13"/>
      <c r="H185" s="113"/>
    </row>
    <row r="186" spans="1:8" s="5" customFormat="1" ht="11.25" customHeight="1" x14ac:dyDescent="0.2">
      <c r="C186" s="5" t="s">
        <v>2186</v>
      </c>
      <c r="D186" s="28" t="s">
        <v>489</v>
      </c>
      <c r="E186" s="13">
        <v>620</v>
      </c>
      <c r="F186" s="113">
        <f>E186/14023*100</f>
        <v>4.4213078513870068</v>
      </c>
      <c r="G186" s="13"/>
      <c r="H186" s="113"/>
    </row>
    <row r="187" spans="1:8" s="5" customFormat="1" ht="11.25" customHeight="1" x14ac:dyDescent="0.2">
      <c r="C187" s="5" t="s">
        <v>503</v>
      </c>
      <c r="D187" s="28" t="s">
        <v>1314</v>
      </c>
      <c r="E187" s="13">
        <v>637</v>
      </c>
      <c r="F187" s="113">
        <f>E187/14023*100</f>
        <v>4.5425372602153606</v>
      </c>
      <c r="G187" s="13"/>
      <c r="H187" s="113"/>
    </row>
    <row r="188" spans="1:8" s="5" customFormat="1" ht="11.25" customHeight="1" x14ac:dyDescent="0.2">
      <c r="C188" s="14" t="s">
        <v>1170</v>
      </c>
      <c r="D188" s="28" t="s">
        <v>1736</v>
      </c>
      <c r="E188" s="13">
        <v>7757</v>
      </c>
      <c r="F188" s="113">
        <f>E188/14023*100</f>
        <v>55.316266134208092</v>
      </c>
      <c r="G188" s="13"/>
      <c r="H188" s="113"/>
    </row>
    <row r="189" spans="1:8" s="5" customFormat="1" ht="11.25" customHeight="1" x14ac:dyDescent="0.2">
      <c r="C189" s="5" t="s">
        <v>835</v>
      </c>
      <c r="D189" s="28" t="s">
        <v>1072</v>
      </c>
      <c r="E189" s="13">
        <v>4489</v>
      </c>
      <c r="F189" s="113">
        <f>E189/14023*100</f>
        <v>32.011695072381087</v>
      </c>
      <c r="G189" s="13"/>
      <c r="H189" s="113"/>
    </row>
    <row r="190" spans="1:8" s="5" customFormat="1" ht="11.25" customHeight="1" x14ac:dyDescent="0.2">
      <c r="D190" s="28"/>
      <c r="E190" s="162" t="s">
        <v>504</v>
      </c>
      <c r="F190" s="165">
        <f>SUM(F185:F189)</f>
        <v>100</v>
      </c>
      <c r="G190" s="169">
        <v>32501</v>
      </c>
      <c r="H190" s="165">
        <v>43.3</v>
      </c>
    </row>
    <row r="191" spans="1:8" s="5" customFormat="1" ht="11.25" customHeight="1" x14ac:dyDescent="0.2">
      <c r="D191" s="28"/>
      <c r="E191" s="13"/>
      <c r="F191" s="113"/>
      <c r="G191" s="13"/>
      <c r="H191" s="113"/>
    </row>
    <row r="192" spans="1:8" s="5" customFormat="1" ht="11.25" customHeight="1" x14ac:dyDescent="0.2">
      <c r="A192" s="5" t="s">
        <v>2044</v>
      </c>
      <c r="C192" s="5" t="s">
        <v>505</v>
      </c>
      <c r="D192" s="28" t="s">
        <v>1072</v>
      </c>
      <c r="E192" s="13">
        <v>2607</v>
      </c>
      <c r="F192" s="113">
        <f t="shared" ref="F192:F197" si="9">E192/9300*100</f>
        <v>28.032258064516132</v>
      </c>
      <c r="G192" s="13"/>
      <c r="H192" s="113"/>
    </row>
    <row r="193" spans="1:8" s="5" customFormat="1" ht="11.25" customHeight="1" x14ac:dyDescent="0.2">
      <c r="C193" s="14" t="s">
        <v>506</v>
      </c>
      <c r="D193" s="28" t="s">
        <v>1736</v>
      </c>
      <c r="E193" s="13">
        <v>4372</v>
      </c>
      <c r="F193" s="113">
        <f t="shared" si="9"/>
        <v>47.01075268817204</v>
      </c>
      <c r="G193" s="13"/>
      <c r="H193" s="113"/>
    </row>
    <row r="194" spans="1:8" s="5" customFormat="1" ht="11.25" customHeight="1" x14ac:dyDescent="0.2">
      <c r="C194" s="5" t="s">
        <v>507</v>
      </c>
      <c r="D194" s="28" t="s">
        <v>1071</v>
      </c>
      <c r="E194" s="13">
        <v>180</v>
      </c>
      <c r="F194" s="113">
        <f t="shared" si="9"/>
        <v>1.935483870967742</v>
      </c>
      <c r="G194" s="13"/>
      <c r="H194" s="113"/>
    </row>
    <row r="195" spans="1:8" s="5" customFormat="1" ht="11.25" customHeight="1" x14ac:dyDescent="0.2">
      <c r="C195" s="5" t="s">
        <v>3151</v>
      </c>
      <c r="D195" s="28" t="s">
        <v>655</v>
      </c>
      <c r="E195" s="13">
        <v>549</v>
      </c>
      <c r="F195" s="113">
        <f t="shared" si="9"/>
        <v>5.903225806451613</v>
      </c>
      <c r="G195" s="13"/>
      <c r="H195" s="113"/>
    </row>
    <row r="196" spans="1:8" s="5" customFormat="1" ht="11.25" customHeight="1" x14ac:dyDescent="0.2">
      <c r="C196" s="5" t="s">
        <v>508</v>
      </c>
      <c r="D196" s="28" t="s">
        <v>1314</v>
      </c>
      <c r="E196" s="13">
        <v>583</v>
      </c>
      <c r="F196" s="113">
        <f t="shared" si="9"/>
        <v>6.268817204301075</v>
      </c>
      <c r="G196" s="13"/>
      <c r="H196" s="113"/>
    </row>
    <row r="197" spans="1:8" s="5" customFormat="1" ht="11.25" customHeight="1" x14ac:dyDescent="0.2">
      <c r="C197" s="5" t="s">
        <v>509</v>
      </c>
      <c r="D197" s="28" t="s">
        <v>489</v>
      </c>
      <c r="E197" s="13">
        <v>1009</v>
      </c>
      <c r="F197" s="113">
        <f t="shared" si="9"/>
        <v>10.849462365591398</v>
      </c>
      <c r="G197" s="13"/>
      <c r="H197" s="113"/>
    </row>
    <row r="198" spans="1:8" s="5" customFormat="1" ht="11.25" customHeight="1" x14ac:dyDescent="0.2">
      <c r="D198" s="28"/>
      <c r="E198" s="162" t="s">
        <v>510</v>
      </c>
      <c r="F198" s="165">
        <f>SUM(F192:F197)</f>
        <v>100</v>
      </c>
      <c r="G198" s="162">
        <v>23572</v>
      </c>
      <c r="H198" s="165">
        <v>39.6</v>
      </c>
    </row>
    <row r="199" spans="1:8" s="5" customFormat="1" ht="11.25" customHeight="1" x14ac:dyDescent="0.2">
      <c r="D199" s="28"/>
      <c r="E199" s="13"/>
      <c r="F199" s="113"/>
      <c r="G199" s="13"/>
      <c r="H199" s="113"/>
    </row>
    <row r="200" spans="1:8" s="5" customFormat="1" ht="11.25" customHeight="1" x14ac:dyDescent="0.2">
      <c r="A200" s="5" t="s">
        <v>1176</v>
      </c>
      <c r="C200" s="14" t="s">
        <v>1177</v>
      </c>
      <c r="D200" s="28" t="s">
        <v>1736</v>
      </c>
      <c r="E200" s="13">
        <v>6735</v>
      </c>
      <c r="F200" s="113">
        <f t="shared" ref="F200:F205" si="10">E200/10616*100</f>
        <v>63.441974378296905</v>
      </c>
      <c r="G200" s="13"/>
      <c r="H200" s="113"/>
    </row>
    <row r="201" spans="1:8" s="5" customFormat="1" ht="11.25" customHeight="1" x14ac:dyDescent="0.2">
      <c r="C201" s="5" t="s">
        <v>511</v>
      </c>
      <c r="D201" s="28" t="s">
        <v>489</v>
      </c>
      <c r="E201" s="13">
        <v>620</v>
      </c>
      <c r="F201" s="113">
        <f t="shared" si="10"/>
        <v>5.8402411454408441</v>
      </c>
      <c r="G201" s="13"/>
      <c r="H201" s="113"/>
    </row>
    <row r="202" spans="1:8" s="5" customFormat="1" ht="11.25" customHeight="1" x14ac:dyDescent="0.2">
      <c r="C202" s="5" t="s">
        <v>512</v>
      </c>
      <c r="D202" s="28" t="s">
        <v>2102</v>
      </c>
      <c r="E202" s="13">
        <v>170</v>
      </c>
      <c r="F202" s="113">
        <f t="shared" si="10"/>
        <v>1.6013564431047476</v>
      </c>
      <c r="G202" s="13"/>
      <c r="H202" s="113"/>
    </row>
    <row r="203" spans="1:8" s="5" customFormat="1" ht="11.25" customHeight="1" x14ac:dyDescent="0.2">
      <c r="C203" s="5" t="s">
        <v>513</v>
      </c>
      <c r="D203" s="28" t="s">
        <v>1314</v>
      </c>
      <c r="E203" s="13">
        <v>381</v>
      </c>
      <c r="F203" s="113">
        <f t="shared" si="10"/>
        <v>3.5889223813112285</v>
      </c>
      <c r="G203" s="13"/>
      <c r="H203" s="113"/>
    </row>
    <row r="204" spans="1:8" s="5" customFormat="1" ht="11.25" customHeight="1" x14ac:dyDescent="0.2">
      <c r="C204" s="5" t="s">
        <v>514</v>
      </c>
      <c r="D204" s="28" t="s">
        <v>1072</v>
      </c>
      <c r="E204" s="13">
        <v>2410</v>
      </c>
      <c r="F204" s="113">
        <f t="shared" si="10"/>
        <v>22.70158251695554</v>
      </c>
      <c r="G204" s="13"/>
      <c r="H204" s="113"/>
    </row>
    <row r="205" spans="1:8" s="5" customFormat="1" ht="11.25" customHeight="1" x14ac:dyDescent="0.2">
      <c r="C205" s="5" t="s">
        <v>515</v>
      </c>
      <c r="D205" s="28" t="s">
        <v>655</v>
      </c>
      <c r="E205" s="13">
        <v>300</v>
      </c>
      <c r="F205" s="113">
        <f t="shared" si="10"/>
        <v>2.825923134890731</v>
      </c>
      <c r="G205" s="13"/>
      <c r="H205" s="113"/>
    </row>
    <row r="206" spans="1:8" s="5" customFormat="1" ht="11.25" customHeight="1" x14ac:dyDescent="0.2">
      <c r="D206" s="28"/>
      <c r="E206" s="162" t="s">
        <v>516</v>
      </c>
      <c r="F206" s="165">
        <f>SUM(F200:F205)</f>
        <v>100</v>
      </c>
      <c r="G206" s="162">
        <v>26408</v>
      </c>
      <c r="H206" s="165">
        <v>40.299999999999997</v>
      </c>
    </row>
    <row r="207" spans="1:8" s="5" customFormat="1" ht="11.25" customHeight="1" x14ac:dyDescent="0.2">
      <c r="D207" s="28"/>
      <c r="E207" s="13"/>
      <c r="F207" s="113"/>
      <c r="G207" s="13"/>
      <c r="H207" s="113"/>
    </row>
    <row r="208" spans="1:8" s="5" customFormat="1" ht="11.25" customHeight="1" x14ac:dyDescent="0.2">
      <c r="A208" s="5" t="s">
        <v>1183</v>
      </c>
      <c r="C208" s="5" t="s">
        <v>517</v>
      </c>
      <c r="D208" s="28" t="s">
        <v>489</v>
      </c>
      <c r="E208" s="13">
        <v>765</v>
      </c>
      <c r="F208" s="113">
        <f t="shared" ref="F208:F213" si="11">E208/14219*100</f>
        <v>5.3801251846121385</v>
      </c>
      <c r="G208" s="13"/>
      <c r="H208" s="113"/>
    </row>
    <row r="209" spans="1:8" s="5" customFormat="1" ht="11.25" customHeight="1" x14ac:dyDescent="0.2">
      <c r="C209" s="14" t="s">
        <v>1871</v>
      </c>
      <c r="D209" s="28" t="s">
        <v>1072</v>
      </c>
      <c r="E209" s="13">
        <v>6347</v>
      </c>
      <c r="F209" s="113">
        <f t="shared" si="11"/>
        <v>44.637456923834307</v>
      </c>
      <c r="G209" s="13"/>
      <c r="H209" s="113"/>
    </row>
    <row r="210" spans="1:8" s="5" customFormat="1" ht="11.25" customHeight="1" x14ac:dyDescent="0.2">
      <c r="C210" s="5" t="s">
        <v>518</v>
      </c>
      <c r="D210" s="28" t="s">
        <v>655</v>
      </c>
      <c r="E210" s="13">
        <v>637</v>
      </c>
      <c r="F210" s="113">
        <f t="shared" si="11"/>
        <v>4.4799212321541599</v>
      </c>
      <c r="G210" s="13"/>
      <c r="H210" s="113"/>
    </row>
    <row r="211" spans="1:8" s="5" customFormat="1" ht="11.25" customHeight="1" x14ac:dyDescent="0.2">
      <c r="C211" s="5" t="s">
        <v>519</v>
      </c>
      <c r="D211" s="28" t="s">
        <v>1314</v>
      </c>
      <c r="E211" s="13">
        <v>761</v>
      </c>
      <c r="F211" s="113">
        <f t="shared" si="11"/>
        <v>5.3519938110978273</v>
      </c>
      <c r="G211" s="13"/>
      <c r="H211" s="113"/>
    </row>
    <row r="212" spans="1:8" s="5" customFormat="1" ht="11.25" customHeight="1" x14ac:dyDescent="0.2">
      <c r="C212" s="5" t="s">
        <v>520</v>
      </c>
      <c r="D212" s="28" t="s">
        <v>1071</v>
      </c>
      <c r="E212" s="13">
        <v>118</v>
      </c>
      <c r="F212" s="113">
        <f t="shared" si="11"/>
        <v>0.82987551867219922</v>
      </c>
      <c r="G212" s="13"/>
      <c r="H212" s="113"/>
    </row>
    <row r="213" spans="1:8" s="5" customFormat="1" ht="11.25" customHeight="1" x14ac:dyDescent="0.2">
      <c r="C213" s="5" t="s">
        <v>521</v>
      </c>
      <c r="D213" s="28" t="s">
        <v>1736</v>
      </c>
      <c r="E213" s="13">
        <v>5591</v>
      </c>
      <c r="F213" s="113">
        <f t="shared" si="11"/>
        <v>39.320627329629367</v>
      </c>
      <c r="G213" s="13"/>
      <c r="H213" s="113"/>
    </row>
    <row r="214" spans="1:8" s="5" customFormat="1" ht="11.25" customHeight="1" x14ac:dyDescent="0.2">
      <c r="D214" s="28"/>
      <c r="E214" s="162" t="s">
        <v>522</v>
      </c>
      <c r="F214" s="165">
        <f>SUM(F208:F213)</f>
        <v>100</v>
      </c>
      <c r="G214" s="162">
        <v>26318</v>
      </c>
      <c r="H214" s="165">
        <v>54.2</v>
      </c>
    </row>
    <row r="215" spans="1:8" s="5" customFormat="1" ht="11.25" customHeight="1" x14ac:dyDescent="0.2">
      <c r="D215" s="28"/>
      <c r="E215" s="13"/>
      <c r="F215" s="113"/>
      <c r="G215" s="13"/>
      <c r="H215" s="113"/>
    </row>
    <row r="216" spans="1:8" s="5" customFormat="1" ht="11.25" customHeight="1" x14ac:dyDescent="0.2">
      <c r="A216" s="5" t="s">
        <v>1188</v>
      </c>
      <c r="C216" s="5" t="s">
        <v>523</v>
      </c>
      <c r="D216" s="28" t="s">
        <v>655</v>
      </c>
      <c r="E216" s="13">
        <v>408</v>
      </c>
      <c r="F216" s="113">
        <f>E216/13381*100</f>
        <v>3.0490994693969058</v>
      </c>
      <c r="G216" s="13"/>
      <c r="H216" s="113"/>
    </row>
    <row r="217" spans="1:8" s="5" customFormat="1" ht="11.25" customHeight="1" x14ac:dyDescent="0.2">
      <c r="C217" s="5" t="s">
        <v>524</v>
      </c>
      <c r="D217" s="28" t="s">
        <v>489</v>
      </c>
      <c r="E217" s="13">
        <v>989</v>
      </c>
      <c r="F217" s="113">
        <f>E217/13381*100</f>
        <v>7.391076900082207</v>
      </c>
      <c r="G217" s="13"/>
      <c r="H217" s="113"/>
    </row>
    <row r="218" spans="1:8" s="5" customFormat="1" ht="11.25" customHeight="1" x14ac:dyDescent="0.2">
      <c r="C218" s="5" t="s">
        <v>525</v>
      </c>
      <c r="D218" s="28" t="s">
        <v>1314</v>
      </c>
      <c r="E218" s="13">
        <v>731</v>
      </c>
      <c r="F218" s="113">
        <f>E218/13381*100</f>
        <v>5.4629698826694568</v>
      </c>
      <c r="G218" s="13"/>
      <c r="H218" s="113"/>
    </row>
    <row r="219" spans="1:8" s="5" customFormat="1" ht="11.25" customHeight="1" x14ac:dyDescent="0.2">
      <c r="C219" s="14" t="s">
        <v>526</v>
      </c>
      <c r="D219" s="28" t="s">
        <v>1736</v>
      </c>
      <c r="E219" s="13">
        <v>6969</v>
      </c>
      <c r="F219" s="113">
        <f>E219/13381*100</f>
        <v>52.081309319183923</v>
      </c>
      <c r="G219" s="13"/>
      <c r="H219" s="113"/>
    </row>
    <row r="220" spans="1:8" s="5" customFormat="1" ht="11.25" customHeight="1" x14ac:dyDescent="0.2">
      <c r="C220" s="5" t="s">
        <v>527</v>
      </c>
      <c r="D220" s="28" t="s">
        <v>1072</v>
      </c>
      <c r="E220" s="13">
        <v>4284</v>
      </c>
      <c r="F220" s="113">
        <f>E220/13381*100</f>
        <v>32.015544428667511</v>
      </c>
      <c r="G220" s="13"/>
      <c r="H220" s="113"/>
    </row>
    <row r="221" spans="1:8" s="5" customFormat="1" ht="11.25" customHeight="1" x14ac:dyDescent="0.2">
      <c r="D221" s="28"/>
      <c r="E221" s="162" t="s">
        <v>528</v>
      </c>
      <c r="F221" s="165">
        <f>SUM(F216:F220)</f>
        <v>100</v>
      </c>
      <c r="G221" s="162">
        <v>31736</v>
      </c>
      <c r="H221" s="165">
        <v>42.3</v>
      </c>
    </row>
    <row r="222" spans="1:8" s="5" customFormat="1" ht="11.25" customHeight="1" x14ac:dyDescent="0.2">
      <c r="D222" s="28"/>
      <c r="E222" s="13"/>
      <c r="F222" s="113"/>
      <c r="G222" s="13"/>
      <c r="H222" s="113"/>
    </row>
    <row r="223" spans="1:8" s="5" customFormat="1" ht="11.25" customHeight="1" x14ac:dyDescent="0.2">
      <c r="A223" s="5" t="s">
        <v>1023</v>
      </c>
      <c r="C223" s="5" t="s">
        <v>529</v>
      </c>
      <c r="D223" s="28" t="s">
        <v>655</v>
      </c>
      <c r="E223" s="13">
        <v>185</v>
      </c>
      <c r="F223" s="113">
        <f>E223/8834*100</f>
        <v>2.0941815712021734</v>
      </c>
      <c r="G223" s="13"/>
      <c r="H223" s="113"/>
    </row>
    <row r="224" spans="1:8" s="5" customFormat="1" ht="11.25" customHeight="1" x14ac:dyDescent="0.2">
      <c r="C224" s="5" t="s">
        <v>530</v>
      </c>
      <c r="D224" s="5" t="s">
        <v>1314</v>
      </c>
      <c r="E224" s="13">
        <v>225</v>
      </c>
      <c r="F224" s="113">
        <f>E224/8834*100</f>
        <v>2.5469775865972379</v>
      </c>
      <c r="G224" s="13"/>
      <c r="H224" s="113"/>
    </row>
    <row r="225" spans="1:8" s="5" customFormat="1" ht="11.25" customHeight="1" x14ac:dyDescent="0.2">
      <c r="C225" s="14" t="s">
        <v>531</v>
      </c>
      <c r="D225" s="28" t="s">
        <v>489</v>
      </c>
      <c r="E225" s="13">
        <v>3885</v>
      </c>
      <c r="F225" s="113">
        <f>E225/8834*100</f>
        <v>43.977812995245642</v>
      </c>
      <c r="G225" s="13"/>
      <c r="H225" s="113"/>
    </row>
    <row r="226" spans="1:8" s="5" customFormat="1" ht="11.25" customHeight="1" x14ac:dyDescent="0.2">
      <c r="C226" s="5" t="s">
        <v>1025</v>
      </c>
      <c r="D226" s="28" t="s">
        <v>1736</v>
      </c>
      <c r="E226" s="13">
        <v>3756</v>
      </c>
      <c r="F226" s="113">
        <f>E226/8834*100</f>
        <v>42.517545845596558</v>
      </c>
      <c r="G226" s="13"/>
      <c r="H226" s="113"/>
    </row>
    <row r="227" spans="1:8" s="5" customFormat="1" ht="11.25" customHeight="1" x14ac:dyDescent="0.2">
      <c r="C227" s="5" t="s">
        <v>532</v>
      </c>
      <c r="D227" s="28" t="s">
        <v>1072</v>
      </c>
      <c r="E227" s="13">
        <v>783</v>
      </c>
      <c r="F227" s="113">
        <f>E227/8834*100</f>
        <v>8.8634820013583884</v>
      </c>
      <c r="G227" s="13"/>
      <c r="H227" s="113"/>
    </row>
    <row r="228" spans="1:8" s="5" customFormat="1" ht="11.25" customHeight="1" x14ac:dyDescent="0.2">
      <c r="D228" s="28"/>
      <c r="E228" s="162" t="s">
        <v>533</v>
      </c>
      <c r="F228" s="165">
        <f>SUM(F223:F227)</f>
        <v>100</v>
      </c>
      <c r="G228" s="162">
        <v>19030</v>
      </c>
      <c r="H228" s="165">
        <v>46.7</v>
      </c>
    </row>
    <row r="229" spans="1:8" s="5" customFormat="1" ht="11.25" customHeight="1" x14ac:dyDescent="0.2">
      <c r="E229" s="13"/>
      <c r="F229" s="113"/>
      <c r="G229" s="13"/>
      <c r="H229" s="113"/>
    </row>
    <row r="230" spans="1:8" s="5" customFormat="1" ht="11.25" customHeight="1" x14ac:dyDescent="0.2">
      <c r="A230" s="5" t="s">
        <v>1335</v>
      </c>
      <c r="C230" s="5" t="s">
        <v>534</v>
      </c>
      <c r="D230" s="28" t="s">
        <v>1072</v>
      </c>
      <c r="E230" s="13">
        <v>2222</v>
      </c>
      <c r="F230" s="113">
        <f>E230/8422*100</f>
        <v>26.383281880788413</v>
      </c>
      <c r="G230" s="13"/>
      <c r="H230" s="113"/>
    </row>
    <row r="231" spans="1:8" s="5" customFormat="1" ht="11.25" customHeight="1" x14ac:dyDescent="0.2">
      <c r="C231" s="5" t="s">
        <v>1336</v>
      </c>
      <c r="D231" s="28" t="s">
        <v>655</v>
      </c>
      <c r="E231" s="13">
        <v>358</v>
      </c>
      <c r="F231" s="113">
        <f>E231/8422*100</f>
        <v>4.2507717881738305</v>
      </c>
      <c r="G231" s="13"/>
      <c r="H231" s="113"/>
    </row>
    <row r="232" spans="1:8" s="5" customFormat="1" ht="11.25" customHeight="1" x14ac:dyDescent="0.2">
      <c r="C232" s="14" t="s">
        <v>535</v>
      </c>
      <c r="D232" s="28" t="s">
        <v>1736</v>
      </c>
      <c r="E232" s="13">
        <v>4628</v>
      </c>
      <c r="F232" s="113">
        <f>E232/8422*100</f>
        <v>54.951317976727623</v>
      </c>
      <c r="G232" s="13"/>
      <c r="H232" s="113"/>
    </row>
    <row r="233" spans="1:8" s="5" customFormat="1" ht="11.25" customHeight="1" x14ac:dyDescent="0.2">
      <c r="C233" s="5" t="s">
        <v>536</v>
      </c>
      <c r="D233" s="28" t="s">
        <v>489</v>
      </c>
      <c r="E233" s="13">
        <v>652</v>
      </c>
      <c r="F233" s="113">
        <f>E233/8422*100</f>
        <v>7.7416290667299918</v>
      </c>
      <c r="G233" s="13"/>
      <c r="H233" s="113"/>
    </row>
    <row r="234" spans="1:8" s="5" customFormat="1" ht="11.25" customHeight="1" x14ac:dyDescent="0.2">
      <c r="C234" s="5" t="s">
        <v>537</v>
      </c>
      <c r="D234" s="28" t="s">
        <v>1071</v>
      </c>
      <c r="E234" s="13">
        <v>562</v>
      </c>
      <c r="F234" s="113">
        <f>E234/8422*100</f>
        <v>6.6729992875801472</v>
      </c>
      <c r="G234" s="13"/>
      <c r="H234" s="113"/>
    </row>
    <row r="235" spans="1:8" s="5" customFormat="1" ht="11.25" customHeight="1" x14ac:dyDescent="0.2">
      <c r="D235" s="28"/>
      <c r="E235" s="162" t="s">
        <v>538</v>
      </c>
      <c r="F235" s="165">
        <f>SUM(F230:F234)</f>
        <v>100</v>
      </c>
      <c r="G235" s="162">
        <v>22181</v>
      </c>
      <c r="H235" s="165">
        <v>38.200000000000003</v>
      </c>
    </row>
    <row r="236" spans="1:8" s="5" customFormat="1" ht="11.25" customHeight="1" x14ac:dyDescent="0.2">
      <c r="D236" s="28"/>
      <c r="E236" s="13"/>
      <c r="F236" s="113"/>
      <c r="G236" s="13"/>
      <c r="H236" s="113"/>
    </row>
    <row r="237" spans="1:8" s="5" customFormat="1" ht="11.25" customHeight="1" x14ac:dyDescent="0.2">
      <c r="A237" s="5" t="s">
        <v>1339</v>
      </c>
      <c r="C237" s="14" t="s">
        <v>1340</v>
      </c>
      <c r="D237" s="28" t="s">
        <v>1736</v>
      </c>
      <c r="E237" s="13">
        <v>5225</v>
      </c>
      <c r="F237" s="113">
        <f>E237/8811*100</f>
        <v>59.300873907615482</v>
      </c>
      <c r="G237" s="13"/>
      <c r="H237" s="113"/>
    </row>
    <row r="238" spans="1:8" s="5" customFormat="1" ht="11.25" customHeight="1" x14ac:dyDescent="0.2">
      <c r="C238" s="5" t="s">
        <v>539</v>
      </c>
      <c r="D238" s="28" t="s">
        <v>1071</v>
      </c>
      <c r="E238" s="13">
        <v>243</v>
      </c>
      <c r="F238" s="113">
        <f t="shared" ref="F238:F243" si="12">E238/8811*100</f>
        <v>2.7579162410623086</v>
      </c>
      <c r="G238" s="13"/>
      <c r="H238" s="113"/>
    </row>
    <row r="239" spans="1:8" s="5" customFormat="1" ht="11.25" customHeight="1" x14ac:dyDescent="0.2">
      <c r="C239" s="5" t="s">
        <v>540</v>
      </c>
      <c r="D239" s="28" t="s">
        <v>489</v>
      </c>
      <c r="E239" s="13">
        <v>766</v>
      </c>
      <c r="F239" s="113">
        <f t="shared" si="12"/>
        <v>8.6936783565997047</v>
      </c>
      <c r="G239" s="13"/>
      <c r="H239" s="113"/>
    </row>
    <row r="240" spans="1:8" s="5" customFormat="1" ht="11.25" customHeight="1" x14ac:dyDescent="0.2">
      <c r="C240" s="5" t="s">
        <v>541</v>
      </c>
      <c r="D240" s="28" t="s">
        <v>1314</v>
      </c>
      <c r="E240" s="13">
        <v>929</v>
      </c>
      <c r="F240" s="113">
        <f t="shared" si="12"/>
        <v>10.543638633526275</v>
      </c>
      <c r="G240" s="13"/>
      <c r="H240" s="113"/>
    </row>
    <row r="241" spans="1:8" s="5" customFormat="1" ht="11.25" customHeight="1" x14ac:dyDescent="0.2">
      <c r="C241" s="5" t="s">
        <v>542</v>
      </c>
      <c r="D241" s="28" t="s">
        <v>1072</v>
      </c>
      <c r="E241" s="13">
        <v>890</v>
      </c>
      <c r="F241" s="113">
        <f t="shared" si="12"/>
        <v>10.1010101010101</v>
      </c>
      <c r="G241" s="13"/>
      <c r="H241" s="113"/>
    </row>
    <row r="242" spans="1:8" s="5" customFormat="1" ht="11.25" customHeight="1" x14ac:dyDescent="0.2">
      <c r="C242" s="5" t="s">
        <v>543</v>
      </c>
      <c r="D242" s="28" t="s">
        <v>653</v>
      </c>
      <c r="E242" s="13">
        <v>116</v>
      </c>
      <c r="F242" s="113">
        <f t="shared" si="12"/>
        <v>1.3165361479968223</v>
      </c>
      <c r="G242" s="13"/>
      <c r="H242" s="113"/>
    </row>
    <row r="243" spans="1:8" s="5" customFormat="1" ht="11.25" customHeight="1" x14ac:dyDescent="0.2">
      <c r="C243" s="5" t="s">
        <v>544</v>
      </c>
      <c r="D243" s="28" t="s">
        <v>655</v>
      </c>
      <c r="E243" s="13">
        <v>642</v>
      </c>
      <c r="F243" s="113">
        <f t="shared" si="12"/>
        <v>7.286346612189309</v>
      </c>
      <c r="G243" s="13"/>
      <c r="H243" s="113"/>
    </row>
    <row r="244" spans="1:8" s="5" customFormat="1" ht="11.25" customHeight="1" x14ac:dyDescent="0.2">
      <c r="D244" s="28"/>
      <c r="E244" s="162" t="s">
        <v>545</v>
      </c>
      <c r="F244" s="165">
        <f>SUM(F237:F243)</f>
        <v>100.00000000000001</v>
      </c>
      <c r="G244" s="162">
        <v>19214</v>
      </c>
      <c r="H244" s="165">
        <v>46.1</v>
      </c>
    </row>
    <row r="245" spans="1:8" s="5" customFormat="1" ht="11.25" customHeight="1" x14ac:dyDescent="0.2">
      <c r="D245" s="28"/>
      <c r="E245" s="13"/>
      <c r="F245" s="113"/>
      <c r="G245" s="13"/>
      <c r="H245" s="113"/>
    </row>
    <row r="246" spans="1:8" s="5" customFormat="1" ht="11.25" customHeight="1" x14ac:dyDescent="0.2">
      <c r="A246" s="5" t="s">
        <v>2045</v>
      </c>
      <c r="C246" s="5" t="s">
        <v>546</v>
      </c>
      <c r="D246" s="5" t="s">
        <v>655</v>
      </c>
      <c r="E246" s="13">
        <v>869</v>
      </c>
      <c r="F246" s="113">
        <f t="shared" ref="F246:F251" si="13">E246/10415*100</f>
        <v>8.3437349975996149</v>
      </c>
      <c r="G246" s="13"/>
      <c r="H246" s="113"/>
    </row>
    <row r="247" spans="1:8" s="5" customFormat="1" ht="11.25" customHeight="1" x14ac:dyDescent="0.2">
      <c r="C247" s="5" t="s">
        <v>547</v>
      </c>
      <c r="D247" s="5" t="s">
        <v>2102</v>
      </c>
      <c r="E247" s="13">
        <v>465</v>
      </c>
      <c r="F247" s="113">
        <f t="shared" si="13"/>
        <v>4.4647143542966869</v>
      </c>
      <c r="G247" s="13"/>
      <c r="H247" s="113"/>
    </row>
    <row r="248" spans="1:8" s="5" customFormat="1" ht="11.25" customHeight="1" x14ac:dyDescent="0.2">
      <c r="C248" s="5" t="s">
        <v>548</v>
      </c>
      <c r="D248" s="28" t="s">
        <v>489</v>
      </c>
      <c r="E248" s="13">
        <v>1414</v>
      </c>
      <c r="F248" s="113">
        <f t="shared" si="13"/>
        <v>13.576572251560249</v>
      </c>
      <c r="G248" s="13"/>
      <c r="H248" s="113"/>
    </row>
    <row r="249" spans="1:8" s="5" customFormat="1" ht="11.25" customHeight="1" x14ac:dyDescent="0.2">
      <c r="C249" s="5" t="s">
        <v>549</v>
      </c>
      <c r="D249" s="28" t="s">
        <v>1071</v>
      </c>
      <c r="E249" s="13">
        <v>279</v>
      </c>
      <c r="F249" s="113">
        <f t="shared" si="13"/>
        <v>2.6788286125780125</v>
      </c>
      <c r="G249" s="13"/>
      <c r="H249" s="113"/>
    </row>
    <row r="250" spans="1:8" s="5" customFormat="1" ht="11.25" customHeight="1" x14ac:dyDescent="0.2">
      <c r="C250" s="14" t="s">
        <v>1346</v>
      </c>
      <c r="D250" s="28" t="s">
        <v>1736</v>
      </c>
      <c r="E250" s="13">
        <v>6772</v>
      </c>
      <c r="F250" s="113">
        <f t="shared" si="13"/>
        <v>65.021603456553052</v>
      </c>
      <c r="G250" s="13"/>
      <c r="H250" s="113"/>
    </row>
    <row r="251" spans="1:8" s="5" customFormat="1" ht="11.25" customHeight="1" x14ac:dyDescent="0.2">
      <c r="C251" s="5" t="s">
        <v>1349</v>
      </c>
      <c r="D251" s="28" t="s">
        <v>2103</v>
      </c>
      <c r="E251" s="13">
        <v>616</v>
      </c>
      <c r="F251" s="113">
        <f t="shared" si="13"/>
        <v>5.9145463274123857</v>
      </c>
      <c r="G251" s="13"/>
      <c r="H251" s="113"/>
    </row>
    <row r="252" spans="1:8" s="5" customFormat="1" ht="11.25" customHeight="1" x14ac:dyDescent="0.2">
      <c r="D252" s="28"/>
      <c r="E252" s="162" t="s">
        <v>550</v>
      </c>
      <c r="F252" s="165">
        <f>SUM(F246:F251)</f>
        <v>100</v>
      </c>
      <c r="G252" s="162">
        <v>20653</v>
      </c>
      <c r="H252" s="165">
        <v>50.7</v>
      </c>
    </row>
    <row r="253" spans="1:8" s="5" customFormat="1" ht="11.25" customHeight="1" x14ac:dyDescent="0.2">
      <c r="D253" s="28"/>
      <c r="E253" s="13"/>
      <c r="F253" s="113"/>
      <c r="G253" s="13"/>
      <c r="H253" s="113"/>
    </row>
    <row r="254" spans="1:8" s="5" customFormat="1" ht="11.25" customHeight="1" x14ac:dyDescent="0.2">
      <c r="A254" s="5" t="s">
        <v>2046</v>
      </c>
      <c r="C254" s="14" t="s">
        <v>2055</v>
      </c>
      <c r="D254" s="28" t="s">
        <v>1736</v>
      </c>
      <c r="E254" s="13">
        <v>3673</v>
      </c>
      <c r="F254" s="113">
        <f>E254/8261*100</f>
        <v>44.461929548480811</v>
      </c>
      <c r="G254" s="13"/>
      <c r="H254" s="113"/>
    </row>
    <row r="255" spans="1:8" s="5" customFormat="1" ht="11.25" customHeight="1" x14ac:dyDescent="0.2">
      <c r="C255" s="5" t="s">
        <v>2056</v>
      </c>
      <c r="D255" s="5" t="s">
        <v>489</v>
      </c>
      <c r="E255" s="13">
        <v>3332</v>
      </c>
      <c r="F255" s="113">
        <f>E255/8261*100</f>
        <v>40.33409998789493</v>
      </c>
      <c r="G255" s="13"/>
      <c r="H255" s="113"/>
    </row>
    <row r="256" spans="1:8" s="5" customFormat="1" ht="11.25" customHeight="1" x14ac:dyDescent="0.2">
      <c r="C256" s="5" t="s">
        <v>2057</v>
      </c>
      <c r="D256" s="28" t="s">
        <v>655</v>
      </c>
      <c r="E256" s="13">
        <v>446</v>
      </c>
      <c r="F256" s="113">
        <f>E256/8261*100</f>
        <v>5.3988621232296339</v>
      </c>
      <c r="G256" s="13"/>
      <c r="H256" s="113"/>
    </row>
    <row r="257" spans="1:10" s="5" customFormat="1" ht="11.25" customHeight="1" x14ac:dyDescent="0.2">
      <c r="C257" s="5" t="s">
        <v>2058</v>
      </c>
      <c r="D257" s="28" t="s">
        <v>1071</v>
      </c>
      <c r="E257" s="13">
        <v>119</v>
      </c>
      <c r="F257" s="113">
        <f>E257/8261*100</f>
        <v>1.4405035709962475</v>
      </c>
      <c r="G257" s="13"/>
      <c r="H257" s="113"/>
    </row>
    <row r="258" spans="1:10" s="5" customFormat="1" ht="11.25" customHeight="1" x14ac:dyDescent="0.2">
      <c r="C258" s="5" t="s">
        <v>2059</v>
      </c>
      <c r="D258" s="28" t="s">
        <v>1072</v>
      </c>
      <c r="E258" s="13">
        <v>691</v>
      </c>
      <c r="F258" s="113">
        <f>E258/8261*100</f>
        <v>8.3646047693983778</v>
      </c>
      <c r="G258" s="13"/>
      <c r="H258" s="113"/>
    </row>
    <row r="259" spans="1:10" s="5" customFormat="1" ht="11.25" customHeight="1" x14ac:dyDescent="0.2">
      <c r="D259" s="28"/>
      <c r="E259" s="162" t="s">
        <v>2060</v>
      </c>
      <c r="F259" s="165">
        <f>SUM(F254:F258)</f>
        <v>100</v>
      </c>
      <c r="G259" s="162">
        <v>15168</v>
      </c>
      <c r="H259" s="165">
        <v>54.8</v>
      </c>
      <c r="J259" s="151"/>
    </row>
    <row r="260" spans="1:10" s="5" customFormat="1" ht="11.25" customHeight="1" x14ac:dyDescent="0.2">
      <c r="D260" s="28"/>
      <c r="E260" s="13"/>
      <c r="F260" s="113"/>
      <c r="G260" s="13"/>
      <c r="H260" s="113"/>
    </row>
    <row r="261" spans="1:10" s="5" customFormat="1" ht="11.25" customHeight="1" x14ac:dyDescent="0.2">
      <c r="A261" s="5" t="s">
        <v>1192</v>
      </c>
      <c r="C261" s="5" t="s">
        <v>551</v>
      </c>
      <c r="D261" s="28" t="s">
        <v>1314</v>
      </c>
      <c r="E261" s="13">
        <v>141</v>
      </c>
      <c r="F261" s="113">
        <f t="shared" ref="F261:F266" si="14">E261/10346*100</f>
        <v>1.3628455441716605</v>
      </c>
      <c r="G261" s="13"/>
      <c r="H261" s="113"/>
    </row>
    <row r="262" spans="1:10" s="5" customFormat="1" ht="11.25" customHeight="1" x14ac:dyDescent="0.2">
      <c r="C262" s="5" t="s">
        <v>552</v>
      </c>
      <c r="D262" s="28" t="s">
        <v>489</v>
      </c>
      <c r="E262" s="13">
        <v>458</v>
      </c>
      <c r="F262" s="113">
        <f t="shared" si="14"/>
        <v>4.4268316257490818</v>
      </c>
      <c r="G262" s="13"/>
      <c r="H262" s="113"/>
    </row>
    <row r="263" spans="1:10" s="5" customFormat="1" ht="11.25" customHeight="1" x14ac:dyDescent="0.2">
      <c r="C263" s="14" t="s">
        <v>1196</v>
      </c>
      <c r="D263" s="28" t="s">
        <v>655</v>
      </c>
      <c r="E263" s="13">
        <v>5259</v>
      </c>
      <c r="F263" s="113">
        <f t="shared" si="14"/>
        <v>50.831239126232362</v>
      </c>
      <c r="G263" s="13"/>
      <c r="H263" s="113"/>
    </row>
    <row r="264" spans="1:10" s="5" customFormat="1" ht="11.25" customHeight="1" x14ac:dyDescent="0.2">
      <c r="C264" s="5" t="s">
        <v>553</v>
      </c>
      <c r="D264" s="28" t="s">
        <v>1072</v>
      </c>
      <c r="E264" s="13">
        <v>1164</v>
      </c>
      <c r="F264" s="113">
        <f t="shared" si="14"/>
        <v>11.250724917842645</v>
      </c>
      <c r="G264" s="13"/>
      <c r="H264" s="113"/>
    </row>
    <row r="265" spans="1:10" s="5" customFormat="1" ht="11.25" customHeight="1" x14ac:dyDescent="0.2">
      <c r="C265" s="5" t="s">
        <v>466</v>
      </c>
      <c r="D265" s="5" t="s">
        <v>1071</v>
      </c>
      <c r="E265" s="13">
        <v>283</v>
      </c>
      <c r="F265" s="113">
        <f t="shared" si="14"/>
        <v>2.7353566595785814</v>
      </c>
      <c r="G265" s="13"/>
      <c r="H265" s="113"/>
    </row>
    <row r="266" spans="1:10" s="5" customFormat="1" ht="11.25" customHeight="1" x14ac:dyDescent="0.2">
      <c r="C266" s="5" t="s">
        <v>467</v>
      </c>
      <c r="D266" s="28" t="s">
        <v>1736</v>
      </c>
      <c r="E266" s="13">
        <v>3041</v>
      </c>
      <c r="F266" s="113">
        <f t="shared" si="14"/>
        <v>29.393002126425671</v>
      </c>
      <c r="G266" s="13"/>
      <c r="H266" s="113"/>
    </row>
    <row r="267" spans="1:10" s="5" customFormat="1" ht="11.25" customHeight="1" x14ac:dyDescent="0.2">
      <c r="D267" s="28"/>
      <c r="E267" s="162" t="s">
        <v>554</v>
      </c>
      <c r="F267" s="165">
        <f>SUM(F261:F266)</f>
        <v>100</v>
      </c>
      <c r="G267" s="162">
        <v>23569</v>
      </c>
      <c r="H267" s="165">
        <v>44</v>
      </c>
      <c r="J267" s="151"/>
    </row>
    <row r="268" spans="1:10" s="5" customFormat="1" ht="11.25" customHeight="1" x14ac:dyDescent="0.2">
      <c r="D268" s="28"/>
      <c r="E268" s="13"/>
      <c r="F268" s="113"/>
      <c r="G268" s="13"/>
      <c r="H268" s="113"/>
    </row>
    <row r="269" spans="1:10" s="5" customFormat="1" ht="11.25" customHeight="1" x14ac:dyDescent="0.2">
      <c r="A269" s="5" t="s">
        <v>469</v>
      </c>
      <c r="C269" s="14" t="s">
        <v>479</v>
      </c>
      <c r="D269" s="28" t="s">
        <v>655</v>
      </c>
      <c r="E269" s="13">
        <v>4067</v>
      </c>
      <c r="F269" s="113">
        <f>E269/11295*100</f>
        <v>36.007082779991144</v>
      </c>
      <c r="G269" s="13"/>
      <c r="H269" s="113"/>
    </row>
    <row r="270" spans="1:10" s="5" customFormat="1" ht="11.25" customHeight="1" x14ac:dyDescent="0.2">
      <c r="C270" s="5" t="s">
        <v>555</v>
      </c>
      <c r="D270" s="28" t="s">
        <v>489</v>
      </c>
      <c r="E270" s="13">
        <v>513</v>
      </c>
      <c r="F270" s="113">
        <f>E270/11295*100</f>
        <v>4.5418326693227087</v>
      </c>
      <c r="G270" s="13"/>
      <c r="H270" s="113"/>
    </row>
    <row r="271" spans="1:10" s="5" customFormat="1" ht="11.25" customHeight="1" x14ac:dyDescent="0.2">
      <c r="C271" s="5" t="s">
        <v>471</v>
      </c>
      <c r="D271" s="28" t="s">
        <v>1736</v>
      </c>
      <c r="E271" s="13">
        <v>3730</v>
      </c>
      <c r="F271" s="113">
        <f>E271/11295*100</f>
        <v>33.023461708720674</v>
      </c>
      <c r="G271" s="13"/>
      <c r="H271" s="113"/>
    </row>
    <row r="272" spans="1:10" s="5" customFormat="1" ht="11.25" customHeight="1" x14ac:dyDescent="0.2">
      <c r="C272" s="5" t="s">
        <v>556</v>
      </c>
      <c r="D272" s="28" t="s">
        <v>1072</v>
      </c>
      <c r="E272" s="13">
        <v>2985</v>
      </c>
      <c r="F272" s="113">
        <f>E272/11295*100</f>
        <v>26.427622841965469</v>
      </c>
      <c r="G272" s="13"/>
      <c r="H272" s="113"/>
    </row>
    <row r="273" spans="1:8" s="5" customFormat="1" ht="11.25" customHeight="1" x14ac:dyDescent="0.2">
      <c r="D273" s="28"/>
      <c r="E273" s="162" t="s">
        <v>557</v>
      </c>
      <c r="F273" s="165">
        <f>SUM(F269:F272)</f>
        <v>100</v>
      </c>
      <c r="G273" s="162">
        <v>23153</v>
      </c>
      <c r="H273" s="165">
        <v>49</v>
      </c>
    </row>
    <row r="274" spans="1:8" s="5" customFormat="1" ht="11.25" customHeight="1" x14ac:dyDescent="0.2">
      <c r="D274" s="28"/>
      <c r="E274" s="13"/>
      <c r="F274" s="113"/>
      <c r="G274" s="13"/>
      <c r="H274" s="113"/>
    </row>
    <row r="275" spans="1:8" s="77" customFormat="1" ht="11.25" customHeight="1" x14ac:dyDescent="0.2">
      <c r="A275" s="77" t="s">
        <v>473</v>
      </c>
      <c r="C275" s="77" t="s">
        <v>1101</v>
      </c>
      <c r="D275" s="152" t="s">
        <v>655</v>
      </c>
      <c r="E275" s="153">
        <v>1314</v>
      </c>
      <c r="F275" s="154">
        <f>E275/12019*100</f>
        <v>10.932689907646227</v>
      </c>
      <c r="G275" s="153"/>
      <c r="H275" s="154"/>
    </row>
    <row r="276" spans="1:8" s="77" customFormat="1" ht="11.25" customHeight="1" x14ac:dyDescent="0.2">
      <c r="C276" s="77" t="s">
        <v>1153</v>
      </c>
      <c r="D276" s="152" t="s">
        <v>1072</v>
      </c>
      <c r="E276" s="153">
        <v>5019</v>
      </c>
      <c r="F276" s="154">
        <f>E276/12019*100</f>
        <v>41.758881770529996</v>
      </c>
      <c r="G276" s="153"/>
      <c r="H276" s="154"/>
    </row>
    <row r="277" spans="1:8" s="77" customFormat="1" ht="11.25" customHeight="1" x14ac:dyDescent="0.2">
      <c r="C277" s="77" t="s">
        <v>1154</v>
      </c>
      <c r="D277" s="152" t="s">
        <v>1071</v>
      </c>
      <c r="E277" s="153">
        <v>78</v>
      </c>
      <c r="F277" s="154">
        <f>E277/12019*100</f>
        <v>0.64897246027123723</v>
      </c>
      <c r="G277" s="153"/>
      <c r="H277" s="154"/>
    </row>
    <row r="278" spans="1:8" s="77" customFormat="1" ht="11.25" customHeight="1" x14ac:dyDescent="0.2">
      <c r="C278" s="127" t="s">
        <v>1155</v>
      </c>
      <c r="D278" s="152" t="s">
        <v>1736</v>
      </c>
      <c r="E278" s="153">
        <v>5022</v>
      </c>
      <c r="F278" s="154">
        <f>E278/12019*100</f>
        <v>41.783842249771197</v>
      </c>
      <c r="G278" s="153"/>
      <c r="H278" s="154"/>
    </row>
    <row r="279" spans="1:8" s="77" customFormat="1" ht="11.25" customHeight="1" x14ac:dyDescent="0.2">
      <c r="C279" s="77" t="s">
        <v>1156</v>
      </c>
      <c r="D279" s="152" t="s">
        <v>489</v>
      </c>
      <c r="E279" s="153">
        <v>586</v>
      </c>
      <c r="F279" s="154">
        <f>E279/12019*100</f>
        <v>4.875613611781346</v>
      </c>
      <c r="G279" s="153"/>
      <c r="H279" s="154"/>
    </row>
    <row r="280" spans="1:8" s="77" customFormat="1" ht="11.25" customHeight="1" x14ac:dyDescent="0.2">
      <c r="D280" s="152"/>
      <c r="E280" s="169" t="s">
        <v>1157</v>
      </c>
      <c r="F280" s="171">
        <f>SUM(F275:F279)</f>
        <v>100</v>
      </c>
      <c r="G280" s="169">
        <v>29226</v>
      </c>
      <c r="H280" s="171">
        <v>41.3</v>
      </c>
    </row>
    <row r="281" spans="1:8" s="5" customFormat="1" ht="11.25" customHeight="1" x14ac:dyDescent="0.2">
      <c r="D281" s="28"/>
      <c r="E281" s="13"/>
      <c r="F281" s="113"/>
      <c r="G281" s="13"/>
      <c r="H281" s="113"/>
    </row>
    <row r="282" spans="1:8" s="5" customFormat="1" ht="11.25" customHeight="1" x14ac:dyDescent="0.2">
      <c r="A282" s="5" t="s">
        <v>477</v>
      </c>
      <c r="C282" s="5" t="s">
        <v>558</v>
      </c>
      <c r="D282" s="28" t="s">
        <v>655</v>
      </c>
      <c r="E282" s="13">
        <v>1319</v>
      </c>
      <c r="F282" s="113">
        <f t="shared" ref="F282:F287" si="15">E282/10869*100</f>
        <v>12.135431042414206</v>
      </c>
      <c r="G282" s="13"/>
      <c r="H282" s="113"/>
    </row>
    <row r="283" spans="1:8" s="5" customFormat="1" ht="11.25" customHeight="1" x14ac:dyDescent="0.2">
      <c r="C283" s="14" t="s">
        <v>478</v>
      </c>
      <c r="D283" s="28" t="s">
        <v>1072</v>
      </c>
      <c r="E283" s="13">
        <v>6203</v>
      </c>
      <c r="F283" s="113">
        <f t="shared" si="15"/>
        <v>57.070567669518809</v>
      </c>
      <c r="G283" s="13"/>
      <c r="H283" s="113"/>
    </row>
    <row r="284" spans="1:8" s="5" customFormat="1" ht="11.25" customHeight="1" x14ac:dyDescent="0.2">
      <c r="C284" s="5" t="s">
        <v>559</v>
      </c>
      <c r="D284" s="28" t="s">
        <v>489</v>
      </c>
      <c r="E284" s="13">
        <v>280</v>
      </c>
      <c r="F284" s="113">
        <f t="shared" si="15"/>
        <v>2.5761339589658663</v>
      </c>
      <c r="G284" s="13"/>
      <c r="H284" s="113"/>
    </row>
    <row r="285" spans="1:8" s="5" customFormat="1" ht="11.25" customHeight="1" x14ac:dyDescent="0.2">
      <c r="C285" s="5" t="s">
        <v>560</v>
      </c>
      <c r="D285" s="28" t="s">
        <v>1071</v>
      </c>
      <c r="E285" s="13">
        <v>112</v>
      </c>
      <c r="F285" s="113">
        <f t="shared" si="15"/>
        <v>1.0304535835863464</v>
      </c>
      <c r="G285" s="13"/>
      <c r="H285" s="113"/>
    </row>
    <row r="286" spans="1:8" s="5" customFormat="1" ht="11.25" customHeight="1" x14ac:dyDescent="0.2">
      <c r="C286" s="5" t="s">
        <v>561</v>
      </c>
      <c r="D286" s="28" t="s">
        <v>1314</v>
      </c>
      <c r="E286" s="13">
        <v>333</v>
      </c>
      <c r="F286" s="113">
        <f t="shared" si="15"/>
        <v>3.0637593154844054</v>
      </c>
      <c r="G286" s="13"/>
      <c r="H286" s="113"/>
    </row>
    <row r="287" spans="1:8" s="5" customFormat="1" ht="11.25" customHeight="1" x14ac:dyDescent="0.2">
      <c r="C287" s="5" t="s">
        <v>661</v>
      </c>
      <c r="D287" s="28" t="s">
        <v>1736</v>
      </c>
      <c r="E287" s="13">
        <v>2622</v>
      </c>
      <c r="F287" s="113">
        <f t="shared" si="15"/>
        <v>24.12365443003036</v>
      </c>
      <c r="G287" s="13"/>
      <c r="H287" s="113"/>
    </row>
    <row r="288" spans="1:8" s="5" customFormat="1" ht="11.25" customHeight="1" x14ac:dyDescent="0.2">
      <c r="D288" s="28"/>
      <c r="E288" s="162" t="s">
        <v>562</v>
      </c>
      <c r="F288" s="165">
        <f>SUM(F282:F287)</f>
        <v>100</v>
      </c>
      <c r="G288" s="162">
        <v>22362</v>
      </c>
      <c r="H288" s="165">
        <v>49</v>
      </c>
    </row>
    <row r="289" spans="1:8" s="5" customFormat="1" ht="11.25" customHeight="1" x14ac:dyDescent="0.2">
      <c r="D289" s="28"/>
      <c r="E289" s="13"/>
      <c r="F289" s="113"/>
      <c r="G289" s="13"/>
      <c r="H289" s="113"/>
    </row>
    <row r="290" spans="1:8" s="5" customFormat="1" ht="11.25" customHeight="1" x14ac:dyDescent="0.2">
      <c r="A290" s="5" t="s">
        <v>2047</v>
      </c>
      <c r="C290" s="5" t="s">
        <v>563</v>
      </c>
      <c r="D290" s="28" t="s">
        <v>655</v>
      </c>
      <c r="E290" s="13">
        <v>1525</v>
      </c>
      <c r="F290" s="113">
        <f>E290/9888*100</f>
        <v>15.422734627831716</v>
      </c>
      <c r="G290" s="13"/>
      <c r="H290" s="113"/>
    </row>
    <row r="291" spans="1:8" s="5" customFormat="1" ht="11.25" customHeight="1" x14ac:dyDescent="0.2">
      <c r="C291" s="14" t="s">
        <v>564</v>
      </c>
      <c r="D291" s="28" t="s">
        <v>1072</v>
      </c>
      <c r="E291" s="13">
        <v>4434</v>
      </c>
      <c r="F291" s="113">
        <f>E291/9888*100</f>
        <v>44.842233009708735</v>
      </c>
      <c r="G291" s="13"/>
      <c r="H291" s="113"/>
    </row>
    <row r="292" spans="1:8" s="5" customFormat="1" ht="11.25" customHeight="1" x14ac:dyDescent="0.2">
      <c r="C292" s="5" t="s">
        <v>565</v>
      </c>
      <c r="D292" s="28" t="s">
        <v>1071</v>
      </c>
      <c r="E292" s="13">
        <v>91</v>
      </c>
      <c r="F292" s="113">
        <f>E292/9888*100</f>
        <v>0.92030744336569581</v>
      </c>
      <c r="G292" s="13"/>
      <c r="H292" s="113"/>
    </row>
    <row r="293" spans="1:8" s="5" customFormat="1" ht="11.25" customHeight="1" x14ac:dyDescent="0.2">
      <c r="C293" s="5" t="s">
        <v>983</v>
      </c>
      <c r="D293" s="28" t="s">
        <v>489</v>
      </c>
      <c r="E293" s="13">
        <v>831</v>
      </c>
      <c r="F293" s="113">
        <f>E293/9888*100</f>
        <v>8.4041262135922334</v>
      </c>
      <c r="G293" s="13"/>
      <c r="H293" s="113"/>
    </row>
    <row r="294" spans="1:8" s="5" customFormat="1" ht="11.25" customHeight="1" x14ac:dyDescent="0.2">
      <c r="C294" s="5" t="s">
        <v>566</v>
      </c>
      <c r="D294" s="28" t="s">
        <v>1736</v>
      </c>
      <c r="E294" s="13">
        <v>3007</v>
      </c>
      <c r="F294" s="113">
        <f>E294/9888*100</f>
        <v>30.410598705501616</v>
      </c>
      <c r="G294" s="13"/>
      <c r="H294" s="113"/>
    </row>
    <row r="295" spans="1:8" s="5" customFormat="1" ht="11.25" customHeight="1" x14ac:dyDescent="0.2">
      <c r="D295" s="28"/>
      <c r="E295" s="162" t="s">
        <v>567</v>
      </c>
      <c r="F295" s="165">
        <f>SUM(F290:F294)</f>
        <v>99.999999999999986</v>
      </c>
      <c r="G295" s="162">
        <v>24735</v>
      </c>
      <c r="H295" s="165">
        <v>40.200000000000003</v>
      </c>
    </row>
    <row r="296" spans="1:8" s="5" customFormat="1" ht="11.25" customHeight="1" x14ac:dyDescent="0.2">
      <c r="D296" s="28"/>
      <c r="E296" s="13"/>
      <c r="F296" s="113"/>
      <c r="G296" s="13"/>
      <c r="H296" s="113"/>
    </row>
    <row r="297" spans="1:8" s="5" customFormat="1" ht="11.25" customHeight="1" x14ac:dyDescent="0.2">
      <c r="A297" s="5" t="s">
        <v>1088</v>
      </c>
      <c r="C297" s="14" t="s">
        <v>1124</v>
      </c>
      <c r="D297" s="28" t="s">
        <v>1072</v>
      </c>
      <c r="E297" s="13">
        <v>3446</v>
      </c>
      <c r="F297" s="113">
        <f>E297/10196*100</f>
        <v>33.797567673597491</v>
      </c>
      <c r="G297" s="13"/>
      <c r="H297" s="113"/>
    </row>
    <row r="298" spans="1:8" s="5" customFormat="1" ht="11.25" customHeight="1" x14ac:dyDescent="0.2">
      <c r="C298" s="5" t="s">
        <v>568</v>
      </c>
      <c r="D298" s="28" t="s">
        <v>655</v>
      </c>
      <c r="E298" s="13">
        <v>2258</v>
      </c>
      <c r="F298" s="113">
        <f>E298/10196*100</f>
        <v>22.145939584150646</v>
      </c>
      <c r="G298" s="13"/>
      <c r="H298" s="113"/>
    </row>
    <row r="299" spans="1:8" s="5" customFormat="1" ht="11.25" customHeight="1" x14ac:dyDescent="0.2">
      <c r="C299" s="5" t="s">
        <v>569</v>
      </c>
      <c r="D299" s="28" t="s">
        <v>1736</v>
      </c>
      <c r="E299" s="13">
        <v>3245</v>
      </c>
      <c r="F299" s="113">
        <f>E299/10196*100</f>
        <v>31.826206355433502</v>
      </c>
      <c r="G299" s="13"/>
      <c r="H299" s="113"/>
    </row>
    <row r="300" spans="1:8" s="5" customFormat="1" ht="11.25" customHeight="1" x14ac:dyDescent="0.2">
      <c r="C300" s="5" t="s">
        <v>570</v>
      </c>
      <c r="D300" s="28" t="s">
        <v>1071</v>
      </c>
      <c r="E300" s="13">
        <v>238</v>
      </c>
      <c r="F300" s="113">
        <f>E300/10196*100</f>
        <v>2.334248724990192</v>
      </c>
      <c r="G300" s="13"/>
      <c r="H300" s="113"/>
    </row>
    <row r="301" spans="1:8" s="5" customFormat="1" ht="11.25" customHeight="1" x14ac:dyDescent="0.2">
      <c r="C301" s="5" t="s">
        <v>571</v>
      </c>
      <c r="D301" s="28" t="s">
        <v>489</v>
      </c>
      <c r="E301" s="13">
        <v>1009</v>
      </c>
      <c r="F301" s="113">
        <f>E301/10196*100</f>
        <v>9.8960376618281671</v>
      </c>
      <c r="G301" s="13"/>
      <c r="H301" s="113"/>
    </row>
    <row r="302" spans="1:8" s="5" customFormat="1" ht="11.25" customHeight="1" x14ac:dyDescent="0.2">
      <c r="D302" s="28"/>
      <c r="E302" s="162" t="s">
        <v>572</v>
      </c>
      <c r="F302" s="165">
        <f>SUM(F297:F301)</f>
        <v>100</v>
      </c>
      <c r="G302" s="162">
        <v>23563</v>
      </c>
      <c r="H302" s="165">
        <v>43.4</v>
      </c>
    </row>
    <row r="303" spans="1:8" s="5" customFormat="1" ht="11.25" customHeight="1" x14ac:dyDescent="0.2">
      <c r="D303" s="28"/>
      <c r="E303" s="13"/>
      <c r="F303" s="113"/>
      <c r="G303" s="13"/>
      <c r="H303" s="113"/>
    </row>
    <row r="304" spans="1:8" s="5" customFormat="1" ht="11.25" customHeight="1" x14ac:dyDescent="0.2">
      <c r="A304" s="5" t="s">
        <v>1096</v>
      </c>
      <c r="C304" s="5" t="s">
        <v>573</v>
      </c>
      <c r="D304" s="28" t="s">
        <v>655</v>
      </c>
      <c r="E304" s="13">
        <v>4052</v>
      </c>
      <c r="F304" s="113">
        <f t="shared" ref="F304:F309" si="16">E304/13106*100</f>
        <v>30.917137189073706</v>
      </c>
      <c r="G304" s="13"/>
      <c r="H304" s="113"/>
    </row>
    <row r="305" spans="1:8" s="5" customFormat="1" ht="11.25" customHeight="1" x14ac:dyDescent="0.2">
      <c r="C305" s="5" t="s">
        <v>574</v>
      </c>
      <c r="D305" s="5" t="s">
        <v>489</v>
      </c>
      <c r="E305" s="13">
        <v>307</v>
      </c>
      <c r="F305" s="113">
        <f t="shared" si="16"/>
        <v>2.3424385777506487</v>
      </c>
      <c r="G305" s="13"/>
      <c r="H305" s="113"/>
    </row>
    <row r="306" spans="1:8" s="5" customFormat="1" ht="11.25" customHeight="1" x14ac:dyDescent="0.2">
      <c r="C306" s="5" t="s">
        <v>1098</v>
      </c>
      <c r="D306" s="28" t="s">
        <v>1736</v>
      </c>
      <c r="E306" s="13">
        <v>3759</v>
      </c>
      <c r="F306" s="113">
        <f t="shared" si="16"/>
        <v>28.681519914542957</v>
      </c>
      <c r="G306" s="13"/>
      <c r="H306" s="113"/>
    </row>
    <row r="307" spans="1:8" s="5" customFormat="1" ht="11.25" customHeight="1" x14ac:dyDescent="0.2">
      <c r="C307" s="5" t="s">
        <v>575</v>
      </c>
      <c r="D307" s="28" t="s">
        <v>1314</v>
      </c>
      <c r="E307" s="13">
        <v>271</v>
      </c>
      <c r="F307" s="113">
        <f t="shared" si="16"/>
        <v>2.0677552266137647</v>
      </c>
      <c r="G307" s="13"/>
      <c r="H307" s="113"/>
    </row>
    <row r="308" spans="1:8" s="5" customFormat="1" ht="11.25" customHeight="1" x14ac:dyDescent="0.2">
      <c r="C308" s="14" t="s">
        <v>2213</v>
      </c>
      <c r="D308" s="28" t="s">
        <v>1072</v>
      </c>
      <c r="E308" s="13">
        <v>4604</v>
      </c>
      <c r="F308" s="113">
        <f t="shared" si="16"/>
        <v>35.128948573172593</v>
      </c>
      <c r="G308" s="13"/>
      <c r="H308" s="113"/>
    </row>
    <row r="309" spans="1:8" s="5" customFormat="1" ht="11.25" customHeight="1" x14ac:dyDescent="0.2">
      <c r="C309" s="5" t="s">
        <v>2214</v>
      </c>
      <c r="D309" s="28" t="s">
        <v>1071</v>
      </c>
      <c r="E309" s="13">
        <v>113</v>
      </c>
      <c r="F309" s="113">
        <f t="shared" si="16"/>
        <v>0.86220051884632987</v>
      </c>
      <c r="G309" s="13"/>
      <c r="H309" s="113"/>
    </row>
    <row r="310" spans="1:8" s="5" customFormat="1" ht="11.25" customHeight="1" x14ac:dyDescent="0.2">
      <c r="D310" s="28"/>
      <c r="E310" s="162" t="s">
        <v>2215</v>
      </c>
      <c r="F310" s="165">
        <f>SUM(F304:F309)</f>
        <v>100.00000000000001</v>
      </c>
      <c r="G310" s="162">
        <v>23320</v>
      </c>
      <c r="H310" s="165">
        <v>56.6</v>
      </c>
    </row>
    <row r="311" spans="1:8" s="5" customFormat="1" ht="11.25" customHeight="1" x14ac:dyDescent="0.2">
      <c r="D311" s="28"/>
      <c r="E311" s="13"/>
      <c r="F311" s="113"/>
      <c r="G311" s="13"/>
      <c r="H311" s="113"/>
    </row>
    <row r="312" spans="1:8" s="5" customFormat="1" ht="11.25" customHeight="1" x14ac:dyDescent="0.2">
      <c r="A312" s="5" t="s">
        <v>1100</v>
      </c>
      <c r="C312" s="5" t="s">
        <v>2216</v>
      </c>
      <c r="D312" s="28" t="s">
        <v>1736</v>
      </c>
      <c r="E312" s="13">
        <v>2572</v>
      </c>
      <c r="F312" s="113">
        <f>E312/14042*100</f>
        <v>18.316479134026491</v>
      </c>
      <c r="G312" s="13"/>
      <c r="H312" s="113"/>
    </row>
    <row r="313" spans="1:8" s="5" customFormat="1" ht="11.25" customHeight="1" x14ac:dyDescent="0.2">
      <c r="C313" s="5" t="s">
        <v>2217</v>
      </c>
      <c r="D313" s="28" t="s">
        <v>653</v>
      </c>
      <c r="E313" s="13">
        <v>167</v>
      </c>
      <c r="F313" s="113">
        <f>E313/14042*100</f>
        <v>1.1892892750320467</v>
      </c>
      <c r="G313" s="13"/>
      <c r="H313" s="113"/>
    </row>
    <row r="314" spans="1:8" s="5" customFormat="1" ht="11.25" customHeight="1" x14ac:dyDescent="0.2">
      <c r="C314" s="5" t="s">
        <v>2218</v>
      </c>
      <c r="D314" s="28" t="s">
        <v>489</v>
      </c>
      <c r="E314" s="13">
        <v>538</v>
      </c>
      <c r="F314" s="113">
        <f>E314/14042*100</f>
        <v>3.8313630536960548</v>
      </c>
      <c r="G314" s="13"/>
      <c r="H314" s="113"/>
    </row>
    <row r="315" spans="1:8" s="5" customFormat="1" ht="11.25" customHeight="1" x14ac:dyDescent="0.2">
      <c r="C315" s="14" t="s">
        <v>1103</v>
      </c>
      <c r="D315" s="28" t="s">
        <v>1072</v>
      </c>
      <c r="E315" s="13">
        <v>8798</v>
      </c>
      <c r="F315" s="113">
        <f>E315/14042*100</f>
        <v>62.654892465460762</v>
      </c>
      <c r="G315" s="13"/>
      <c r="H315" s="113"/>
    </row>
    <row r="316" spans="1:8" s="5" customFormat="1" ht="11.25" customHeight="1" x14ac:dyDescent="0.2">
      <c r="C316" s="5" t="s">
        <v>2219</v>
      </c>
      <c r="D316" s="28" t="s">
        <v>655</v>
      </c>
      <c r="E316" s="13">
        <v>1967</v>
      </c>
      <c r="F316" s="113">
        <f>E316/14042*100</f>
        <v>14.007976071784647</v>
      </c>
      <c r="G316" s="13"/>
      <c r="H316" s="113"/>
    </row>
    <row r="317" spans="1:8" s="5" customFormat="1" ht="11.25" customHeight="1" x14ac:dyDescent="0.2">
      <c r="D317" s="28"/>
      <c r="E317" s="162" t="s">
        <v>2220</v>
      </c>
      <c r="F317" s="165">
        <f>SUM(F312:F316)</f>
        <v>100</v>
      </c>
      <c r="G317" s="162">
        <v>25326</v>
      </c>
      <c r="H317" s="165">
        <v>55.8</v>
      </c>
    </row>
    <row r="318" spans="1:8" s="5" customFormat="1" ht="11.25" customHeight="1" x14ac:dyDescent="0.2">
      <c r="D318" s="28"/>
      <c r="E318" s="13"/>
      <c r="F318" s="113"/>
      <c r="G318" s="13"/>
      <c r="H318" s="113"/>
    </row>
    <row r="319" spans="1:8" s="5" customFormat="1" ht="11.25" customHeight="1" x14ac:dyDescent="0.2">
      <c r="A319" s="5" t="s">
        <v>2048</v>
      </c>
      <c r="C319" s="5" t="s">
        <v>2221</v>
      </c>
      <c r="D319" s="28" t="s">
        <v>653</v>
      </c>
      <c r="E319" s="13">
        <v>66</v>
      </c>
      <c r="F319" s="113">
        <f>E319/9668*100</f>
        <v>0.68266446007447246</v>
      </c>
      <c r="G319" s="13"/>
      <c r="H319" s="113"/>
    </row>
    <row r="320" spans="1:8" s="5" customFormat="1" ht="11.25" customHeight="1" x14ac:dyDescent="0.2">
      <c r="C320" s="5" t="s">
        <v>1081</v>
      </c>
      <c r="D320" s="28" t="s">
        <v>489</v>
      </c>
      <c r="E320" s="13">
        <v>305</v>
      </c>
      <c r="F320" s="113">
        <f>E320/9668*100</f>
        <v>3.1547372776168805</v>
      </c>
      <c r="G320" s="13"/>
      <c r="H320" s="113"/>
    </row>
    <row r="321" spans="1:8" s="5" customFormat="1" ht="11.25" customHeight="1" x14ac:dyDescent="0.2">
      <c r="C321" s="5" t="s">
        <v>2222</v>
      </c>
      <c r="D321" s="28" t="s">
        <v>1072</v>
      </c>
      <c r="E321" s="13">
        <v>1035</v>
      </c>
      <c r="F321" s="113">
        <f>E321/9668*100</f>
        <v>10.705419942076954</v>
      </c>
      <c r="G321" s="13"/>
      <c r="H321" s="113"/>
    </row>
    <row r="322" spans="1:8" s="5" customFormat="1" ht="11.25" customHeight="1" x14ac:dyDescent="0.2">
      <c r="C322" s="5" t="s">
        <v>2223</v>
      </c>
      <c r="D322" s="28" t="s">
        <v>1736</v>
      </c>
      <c r="E322" s="13">
        <v>2208</v>
      </c>
      <c r="F322" s="113">
        <f>E322/9668*100</f>
        <v>22.838229209764172</v>
      </c>
      <c r="G322" s="13"/>
      <c r="H322" s="113"/>
    </row>
    <row r="323" spans="1:8" s="5" customFormat="1" ht="11.25" customHeight="1" x14ac:dyDescent="0.2">
      <c r="C323" s="14" t="s">
        <v>1108</v>
      </c>
      <c r="D323" s="28" t="s">
        <v>655</v>
      </c>
      <c r="E323" s="13">
        <v>6054</v>
      </c>
      <c r="F323" s="113">
        <f>E323/9668*100</f>
        <v>62.618949110467526</v>
      </c>
      <c r="G323" s="13"/>
      <c r="H323" s="113"/>
    </row>
    <row r="324" spans="1:8" s="5" customFormat="1" ht="11.25" customHeight="1" x14ac:dyDescent="0.2">
      <c r="D324" s="28"/>
      <c r="E324" s="162" t="s">
        <v>2224</v>
      </c>
      <c r="F324" s="165">
        <f>SUM(F319:F323)</f>
        <v>100</v>
      </c>
      <c r="G324" s="162">
        <v>22832</v>
      </c>
      <c r="H324" s="165">
        <v>42.6</v>
      </c>
    </row>
    <row r="325" spans="1:8" s="77" customFormat="1" ht="11.25" customHeight="1" x14ac:dyDescent="0.2">
      <c r="D325" s="152"/>
      <c r="E325" s="153"/>
      <c r="F325" s="154"/>
      <c r="G325" s="153"/>
      <c r="H325" s="154"/>
    </row>
    <row r="326" spans="1:8" s="5" customFormat="1" ht="11.25" customHeight="1" x14ac:dyDescent="0.2">
      <c r="A326" s="5" t="s">
        <v>1109</v>
      </c>
      <c r="C326" s="5" t="s">
        <v>1820</v>
      </c>
      <c r="D326" s="28" t="s">
        <v>1314</v>
      </c>
      <c r="E326" s="13">
        <v>240</v>
      </c>
      <c r="F326" s="113">
        <f t="shared" ref="F326:F331" si="17">E326/10889*100</f>
        <v>2.2040591422536506</v>
      </c>
      <c r="G326" s="13"/>
      <c r="H326" s="113"/>
    </row>
    <row r="327" spans="1:8" s="5" customFormat="1" ht="11.25" customHeight="1" x14ac:dyDescent="0.2">
      <c r="C327" s="14" t="s">
        <v>2938</v>
      </c>
      <c r="D327" s="28" t="s">
        <v>1072</v>
      </c>
      <c r="E327" s="13">
        <v>3929</v>
      </c>
      <c r="F327" s="113">
        <f t="shared" si="17"/>
        <v>36.082284874644138</v>
      </c>
      <c r="G327" s="13"/>
      <c r="H327" s="113"/>
    </row>
    <row r="328" spans="1:8" s="5" customFormat="1" ht="11.25" customHeight="1" x14ac:dyDescent="0.2">
      <c r="C328" s="5" t="s">
        <v>1821</v>
      </c>
      <c r="D328" s="28" t="s">
        <v>655</v>
      </c>
      <c r="E328" s="13">
        <v>2383</v>
      </c>
      <c r="F328" s="113">
        <f t="shared" si="17"/>
        <v>21.88447056662687</v>
      </c>
      <c r="G328" s="13"/>
      <c r="H328" s="113"/>
    </row>
    <row r="329" spans="1:8" s="5" customFormat="1" ht="11.25" customHeight="1" x14ac:dyDescent="0.2">
      <c r="C329" s="5" t="s">
        <v>1822</v>
      </c>
      <c r="D329" s="28" t="s">
        <v>489</v>
      </c>
      <c r="E329" s="13">
        <v>532</v>
      </c>
      <c r="F329" s="113">
        <f t="shared" si="17"/>
        <v>4.8856644319955924</v>
      </c>
      <c r="G329" s="13"/>
      <c r="H329" s="113"/>
    </row>
    <row r="330" spans="1:8" s="5" customFormat="1" ht="11.25" customHeight="1" x14ac:dyDescent="0.2">
      <c r="C330" s="5" t="s">
        <v>1823</v>
      </c>
      <c r="D330" s="28" t="s">
        <v>1071</v>
      </c>
      <c r="E330" s="13">
        <v>158</v>
      </c>
      <c r="F330" s="113">
        <f t="shared" si="17"/>
        <v>1.4510056019836532</v>
      </c>
      <c r="G330" s="13"/>
      <c r="H330" s="113"/>
    </row>
    <row r="331" spans="1:8" s="5" customFormat="1" ht="11.25" customHeight="1" x14ac:dyDescent="0.2">
      <c r="C331" s="5" t="s">
        <v>1112</v>
      </c>
      <c r="D331" s="28" t="s">
        <v>1736</v>
      </c>
      <c r="E331" s="13">
        <v>3647</v>
      </c>
      <c r="F331" s="113">
        <f t="shared" si="17"/>
        <v>33.492515382496094</v>
      </c>
      <c r="G331" s="13"/>
      <c r="H331" s="113"/>
    </row>
    <row r="332" spans="1:8" s="5" customFormat="1" ht="11.25" customHeight="1" x14ac:dyDescent="0.2">
      <c r="D332" s="28"/>
      <c r="E332" s="162" t="s">
        <v>2659</v>
      </c>
      <c r="F332" s="165">
        <f>SUM(F326:F331)</f>
        <v>100</v>
      </c>
      <c r="G332" s="162">
        <v>25163</v>
      </c>
      <c r="H332" s="165">
        <v>43.4</v>
      </c>
    </row>
    <row r="333" spans="1:8" s="5" customFormat="1" ht="11.25" customHeight="1" x14ac:dyDescent="0.2">
      <c r="D333" s="28"/>
      <c r="E333" s="13"/>
      <c r="F333" s="113"/>
      <c r="G333" s="13"/>
      <c r="H333" s="113"/>
    </row>
    <row r="334" spans="1:8" s="5" customFormat="1" ht="11.25" customHeight="1" x14ac:dyDescent="0.2">
      <c r="A334" s="5" t="s">
        <v>1113</v>
      </c>
      <c r="C334" s="5" t="s">
        <v>1824</v>
      </c>
      <c r="D334" s="5" t="s">
        <v>489</v>
      </c>
      <c r="E334" s="13">
        <v>401</v>
      </c>
      <c r="F334" s="113">
        <f>E334/13056*100</f>
        <v>3.0713848039215685</v>
      </c>
      <c r="G334" s="13"/>
      <c r="H334" s="113"/>
    </row>
    <row r="335" spans="1:8" s="5" customFormat="1" ht="11.25" customHeight="1" x14ac:dyDescent="0.2">
      <c r="C335" s="5" t="s">
        <v>1825</v>
      </c>
      <c r="D335" s="28" t="s">
        <v>1071</v>
      </c>
      <c r="E335" s="13">
        <v>105</v>
      </c>
      <c r="F335" s="113">
        <f>E335/13056*100</f>
        <v>0.80422794117647056</v>
      </c>
      <c r="G335" s="13"/>
      <c r="H335" s="113"/>
    </row>
    <row r="336" spans="1:8" s="5" customFormat="1" ht="11.25" customHeight="1" x14ac:dyDescent="0.2">
      <c r="C336" s="5" t="s">
        <v>1114</v>
      </c>
      <c r="D336" s="28" t="s">
        <v>655</v>
      </c>
      <c r="E336" s="13">
        <v>1358</v>
      </c>
      <c r="F336" s="113">
        <f>E336/13056*100</f>
        <v>10.401348039215687</v>
      </c>
      <c r="G336" s="13"/>
      <c r="H336" s="113"/>
    </row>
    <row r="337" spans="1:8" s="5" customFormat="1" ht="11.25" customHeight="1" x14ac:dyDescent="0.2">
      <c r="C337" s="14" t="s">
        <v>1826</v>
      </c>
      <c r="D337" s="28" t="s">
        <v>1072</v>
      </c>
      <c r="E337" s="13">
        <v>5859</v>
      </c>
      <c r="F337" s="113">
        <f>E337/13056*100</f>
        <v>44.875919117647058</v>
      </c>
      <c r="G337" s="13"/>
      <c r="H337" s="113"/>
    </row>
    <row r="338" spans="1:8" s="5" customFormat="1" ht="11.25" customHeight="1" x14ac:dyDescent="0.2">
      <c r="C338" s="5" t="s">
        <v>1827</v>
      </c>
      <c r="D338" s="28" t="s">
        <v>1736</v>
      </c>
      <c r="E338" s="13">
        <v>5333</v>
      </c>
      <c r="F338" s="113">
        <f>E338/13056*100</f>
        <v>40.847120098039213</v>
      </c>
      <c r="G338" s="13"/>
      <c r="H338" s="113"/>
    </row>
    <row r="339" spans="1:8" s="5" customFormat="1" ht="11.25" customHeight="1" x14ac:dyDescent="0.2">
      <c r="D339" s="28"/>
      <c r="E339" s="162" t="s">
        <v>1828</v>
      </c>
      <c r="F339" s="165">
        <f>SUM(F334:F338)</f>
        <v>100</v>
      </c>
      <c r="G339" s="162">
        <v>25269</v>
      </c>
      <c r="H339" s="165">
        <v>51.8</v>
      </c>
    </row>
    <row r="340" spans="1:8" s="5" customFormat="1" ht="11.25" customHeight="1" x14ac:dyDescent="0.2">
      <c r="D340" s="28"/>
      <c r="E340" s="13"/>
      <c r="F340" s="113"/>
      <c r="G340" s="13"/>
      <c r="H340" s="113"/>
    </row>
    <row r="341" spans="1:8" s="5" customFormat="1" ht="11.25" customHeight="1" x14ac:dyDescent="0.2">
      <c r="A341" s="5" t="s">
        <v>1118</v>
      </c>
      <c r="C341" s="5" t="s">
        <v>1829</v>
      </c>
      <c r="D341" s="28" t="s">
        <v>655</v>
      </c>
      <c r="E341" s="13">
        <v>1306</v>
      </c>
      <c r="F341" s="113">
        <f t="shared" ref="F341:F346" si="18">E341/10748*100</f>
        <v>12.151097878675102</v>
      </c>
      <c r="G341" s="13"/>
      <c r="H341" s="113"/>
    </row>
    <row r="342" spans="1:8" s="5" customFormat="1" ht="11.25" customHeight="1" x14ac:dyDescent="0.2">
      <c r="C342" s="5" t="s">
        <v>1830</v>
      </c>
      <c r="D342" s="28" t="s">
        <v>489</v>
      </c>
      <c r="E342" s="13">
        <v>446</v>
      </c>
      <c r="F342" s="113">
        <f t="shared" si="18"/>
        <v>4.149609229624116</v>
      </c>
      <c r="G342" s="13"/>
      <c r="H342" s="113"/>
    </row>
    <row r="343" spans="1:8" s="5" customFormat="1" ht="11.25" customHeight="1" x14ac:dyDescent="0.2">
      <c r="C343" s="5" t="s">
        <v>1831</v>
      </c>
      <c r="D343" s="28" t="s">
        <v>1314</v>
      </c>
      <c r="E343" s="13">
        <v>243</v>
      </c>
      <c r="F343" s="113">
        <f t="shared" si="18"/>
        <v>2.2608857461853367</v>
      </c>
      <c r="G343" s="13"/>
      <c r="H343" s="113"/>
    </row>
    <row r="344" spans="1:8" s="5" customFormat="1" ht="11.25" customHeight="1" x14ac:dyDescent="0.2">
      <c r="C344" s="5" t="s">
        <v>1121</v>
      </c>
      <c r="D344" s="28" t="s">
        <v>1736</v>
      </c>
      <c r="E344" s="13">
        <v>4242</v>
      </c>
      <c r="F344" s="113">
        <f t="shared" si="18"/>
        <v>39.467807964272424</v>
      </c>
      <c r="G344" s="13"/>
      <c r="H344" s="113"/>
    </row>
    <row r="345" spans="1:8" s="5" customFormat="1" ht="11.25" customHeight="1" x14ac:dyDescent="0.2">
      <c r="C345" s="5" t="s">
        <v>1122</v>
      </c>
      <c r="D345" s="28" t="s">
        <v>653</v>
      </c>
      <c r="E345" s="13">
        <v>76</v>
      </c>
      <c r="F345" s="113">
        <f t="shared" si="18"/>
        <v>0.7071082992184593</v>
      </c>
      <c r="G345" s="13"/>
      <c r="H345" s="113"/>
    </row>
    <row r="346" spans="1:8" s="5" customFormat="1" ht="11.25" customHeight="1" x14ac:dyDescent="0.2">
      <c r="C346" s="14" t="s">
        <v>1832</v>
      </c>
      <c r="D346" s="28" t="s">
        <v>1072</v>
      </c>
      <c r="E346" s="13">
        <v>4435</v>
      </c>
      <c r="F346" s="113">
        <f t="shared" si="18"/>
        <v>41.263490882024563</v>
      </c>
      <c r="G346" s="13"/>
      <c r="H346" s="113"/>
    </row>
    <row r="347" spans="1:8" s="5" customFormat="1" ht="11.25" customHeight="1" x14ac:dyDescent="0.2">
      <c r="D347" s="28"/>
      <c r="E347" s="162" t="s">
        <v>1833</v>
      </c>
      <c r="F347" s="165">
        <f>SUM(F341:F346)</f>
        <v>100</v>
      </c>
      <c r="G347" s="162">
        <v>23845</v>
      </c>
      <c r="H347" s="165">
        <v>45.3</v>
      </c>
    </row>
    <row r="348" spans="1:8" s="5" customFormat="1" ht="11.25" customHeight="1" x14ac:dyDescent="0.2">
      <c r="D348" s="28"/>
      <c r="E348" s="13"/>
      <c r="F348" s="113"/>
      <c r="G348" s="13"/>
      <c r="H348" s="113"/>
    </row>
    <row r="349" spans="1:8" s="5" customFormat="1" ht="11.25" customHeight="1" x14ac:dyDescent="0.2">
      <c r="A349" s="5" t="s">
        <v>1123</v>
      </c>
      <c r="C349" s="5" t="s">
        <v>2660</v>
      </c>
      <c r="D349" s="28" t="s">
        <v>489</v>
      </c>
      <c r="E349" s="13">
        <v>523</v>
      </c>
      <c r="F349" s="113">
        <f t="shared" ref="F349:F354" si="19">E349/12049*100</f>
        <v>4.3406091791849946</v>
      </c>
      <c r="G349" s="13"/>
      <c r="H349" s="113"/>
    </row>
    <row r="350" spans="1:8" s="5" customFormat="1" ht="11.25" customHeight="1" x14ac:dyDescent="0.2">
      <c r="C350" s="5" t="s">
        <v>1834</v>
      </c>
      <c r="D350" s="28" t="s">
        <v>1072</v>
      </c>
      <c r="E350" s="13">
        <v>4289</v>
      </c>
      <c r="F350" s="113">
        <f t="shared" si="19"/>
        <v>35.59631504689186</v>
      </c>
      <c r="G350" s="13"/>
      <c r="H350" s="113"/>
    </row>
    <row r="351" spans="1:8" s="5" customFormat="1" ht="11.25" customHeight="1" x14ac:dyDescent="0.2">
      <c r="C351" s="5" t="s">
        <v>1835</v>
      </c>
      <c r="D351" s="28" t="s">
        <v>653</v>
      </c>
      <c r="E351" s="13">
        <v>72</v>
      </c>
      <c r="F351" s="113">
        <f t="shared" si="19"/>
        <v>0.59755996348244667</v>
      </c>
      <c r="G351" s="13"/>
      <c r="H351" s="113"/>
    </row>
    <row r="352" spans="1:8" s="5" customFormat="1" ht="11.25" customHeight="1" x14ac:dyDescent="0.2">
      <c r="C352" s="5" t="s">
        <v>1836</v>
      </c>
      <c r="D352" s="28" t="s">
        <v>1314</v>
      </c>
      <c r="E352" s="13">
        <v>386</v>
      </c>
      <c r="F352" s="113">
        <f t="shared" si="19"/>
        <v>3.2035853597808943</v>
      </c>
      <c r="G352" s="13"/>
      <c r="H352" s="113"/>
    </row>
    <row r="353" spans="1:8" s="5" customFormat="1" ht="11.25" customHeight="1" x14ac:dyDescent="0.2">
      <c r="C353" s="5" t="s">
        <v>1837</v>
      </c>
      <c r="D353" s="28" t="s">
        <v>655</v>
      </c>
      <c r="E353" s="13">
        <v>1709</v>
      </c>
      <c r="F353" s="113">
        <f t="shared" si="19"/>
        <v>14.183749688770853</v>
      </c>
      <c r="G353" s="13"/>
      <c r="H353" s="113"/>
    </row>
    <row r="354" spans="1:8" s="5" customFormat="1" ht="11.25" customHeight="1" x14ac:dyDescent="0.2">
      <c r="C354" s="14" t="s">
        <v>976</v>
      </c>
      <c r="D354" s="28" t="s">
        <v>1736</v>
      </c>
      <c r="E354" s="13">
        <v>5070</v>
      </c>
      <c r="F354" s="113">
        <f t="shared" si="19"/>
        <v>42.078180761888959</v>
      </c>
      <c r="G354" s="13"/>
      <c r="H354" s="113"/>
    </row>
    <row r="355" spans="1:8" s="5" customFormat="1" ht="11.25" customHeight="1" x14ac:dyDescent="0.2">
      <c r="D355" s="28"/>
      <c r="E355" s="162" t="s">
        <v>1838</v>
      </c>
      <c r="F355" s="165">
        <f>SUM(F349:F354)</f>
        <v>100</v>
      </c>
      <c r="G355" s="162">
        <v>24419</v>
      </c>
      <c r="H355" s="165">
        <v>49.5</v>
      </c>
    </row>
    <row r="356" spans="1:8" s="5" customFormat="1" ht="11.25" customHeight="1" x14ac:dyDescent="0.2">
      <c r="D356" s="28"/>
      <c r="E356" s="13"/>
      <c r="F356" s="113"/>
      <c r="G356" s="13"/>
      <c r="H356" s="113"/>
    </row>
    <row r="357" spans="1:8" s="5" customFormat="1" ht="11.25" customHeight="1" x14ac:dyDescent="0.2">
      <c r="A357" s="5" t="s">
        <v>977</v>
      </c>
      <c r="C357" s="5" t="s">
        <v>1839</v>
      </c>
      <c r="D357" s="28" t="s">
        <v>1736</v>
      </c>
      <c r="E357" s="13">
        <v>2992</v>
      </c>
      <c r="F357" s="113">
        <f>E357/10440*100</f>
        <v>28.659003831417625</v>
      </c>
      <c r="G357" s="13"/>
      <c r="H357" s="113"/>
    </row>
    <row r="358" spans="1:8" s="5" customFormat="1" ht="11.25" customHeight="1" x14ac:dyDescent="0.2">
      <c r="C358" s="14" t="s">
        <v>1840</v>
      </c>
      <c r="D358" s="28" t="s">
        <v>1072</v>
      </c>
      <c r="E358" s="13">
        <v>5012</v>
      </c>
      <c r="F358" s="113">
        <f>E358/10440*100</f>
        <v>48.007662835249043</v>
      </c>
      <c r="G358" s="13"/>
      <c r="H358" s="113"/>
    </row>
    <row r="359" spans="1:8" s="5" customFormat="1" ht="11.25" customHeight="1" x14ac:dyDescent="0.2">
      <c r="C359" s="5" t="s">
        <v>1841</v>
      </c>
      <c r="D359" s="28" t="s">
        <v>655</v>
      </c>
      <c r="E359" s="13">
        <v>1565</v>
      </c>
      <c r="F359" s="113">
        <f>E359/10440*100</f>
        <v>14.990421455938696</v>
      </c>
      <c r="G359" s="13"/>
      <c r="H359" s="113"/>
    </row>
    <row r="360" spans="1:8" s="5" customFormat="1" ht="11.25" customHeight="1" x14ac:dyDescent="0.2">
      <c r="C360" s="5" t="s">
        <v>480</v>
      </c>
      <c r="D360" s="28" t="s">
        <v>486</v>
      </c>
      <c r="E360" s="13">
        <v>42</v>
      </c>
      <c r="F360" s="113">
        <f>E360/10440*100</f>
        <v>0.40229885057471265</v>
      </c>
      <c r="G360" s="13"/>
      <c r="H360" s="113"/>
    </row>
    <row r="361" spans="1:8" s="5" customFormat="1" ht="11.25" customHeight="1" x14ac:dyDescent="0.2">
      <c r="C361" s="5" t="s">
        <v>1842</v>
      </c>
      <c r="D361" s="28" t="s">
        <v>489</v>
      </c>
      <c r="E361" s="13">
        <v>829</v>
      </c>
      <c r="F361" s="113">
        <f>E361/10440*100</f>
        <v>7.9406130268199231</v>
      </c>
      <c r="G361" s="13"/>
      <c r="H361" s="113"/>
    </row>
    <row r="362" spans="1:8" s="5" customFormat="1" ht="11.25" customHeight="1" x14ac:dyDescent="0.2">
      <c r="D362" s="28"/>
      <c r="E362" s="162" t="s">
        <v>1843</v>
      </c>
      <c r="F362" s="165">
        <f>SUM(F357:F361)</f>
        <v>100</v>
      </c>
      <c r="G362" s="162">
        <v>23319</v>
      </c>
      <c r="H362" s="165">
        <v>45</v>
      </c>
    </row>
    <row r="363" spans="1:8" s="5" customFormat="1" ht="11.25" customHeight="1" x14ac:dyDescent="0.2">
      <c r="D363" s="28"/>
      <c r="E363" s="13"/>
      <c r="F363" s="113"/>
      <c r="G363" s="13"/>
      <c r="H363" s="113"/>
    </row>
    <row r="364" spans="1:8" s="5" customFormat="1" ht="11.25" customHeight="1" x14ac:dyDescent="0.2">
      <c r="A364" s="5" t="s">
        <v>985</v>
      </c>
      <c r="C364" s="5" t="s">
        <v>1844</v>
      </c>
      <c r="D364" s="28" t="s">
        <v>489</v>
      </c>
      <c r="E364" s="13">
        <v>313</v>
      </c>
      <c r="F364" s="113">
        <f t="shared" ref="F364:F369" si="20">E364/15699*100</f>
        <v>1.9937575641760623</v>
      </c>
      <c r="G364" s="13"/>
      <c r="H364" s="113"/>
    </row>
    <row r="365" spans="1:8" s="5" customFormat="1" ht="11.25" customHeight="1" x14ac:dyDescent="0.2">
      <c r="C365" s="5" t="s">
        <v>1845</v>
      </c>
      <c r="D365" s="28" t="s">
        <v>1736</v>
      </c>
      <c r="E365" s="13">
        <v>3575</v>
      </c>
      <c r="F365" s="113">
        <f t="shared" si="20"/>
        <v>22.772151092426267</v>
      </c>
      <c r="G365" s="13"/>
      <c r="H365" s="113"/>
    </row>
    <row r="366" spans="1:8" s="5" customFormat="1" ht="11.25" customHeight="1" x14ac:dyDescent="0.2">
      <c r="C366" s="5" t="s">
        <v>1846</v>
      </c>
      <c r="D366" s="28" t="s">
        <v>1314</v>
      </c>
      <c r="E366" s="13">
        <v>357</v>
      </c>
      <c r="F366" s="113">
        <f t="shared" si="20"/>
        <v>2.2740301930059239</v>
      </c>
      <c r="G366" s="13"/>
      <c r="H366" s="113"/>
    </row>
    <row r="367" spans="1:8" s="5" customFormat="1" ht="11.25" customHeight="1" x14ac:dyDescent="0.2">
      <c r="C367" s="5" t="s">
        <v>1847</v>
      </c>
      <c r="D367" s="28" t="s">
        <v>655</v>
      </c>
      <c r="E367" s="13">
        <v>1058</v>
      </c>
      <c r="F367" s="113">
        <f t="shared" si="20"/>
        <v>6.7392827568634948</v>
      </c>
      <c r="G367" s="13"/>
      <c r="H367" s="113"/>
    </row>
    <row r="368" spans="1:8" s="5" customFormat="1" ht="11.25" customHeight="1" x14ac:dyDescent="0.2">
      <c r="C368" s="5" t="s">
        <v>1848</v>
      </c>
      <c r="D368" s="28" t="s">
        <v>1071</v>
      </c>
      <c r="E368" s="13">
        <v>116</v>
      </c>
      <c r="F368" s="113">
        <f t="shared" si="20"/>
        <v>0.7389005669150901</v>
      </c>
      <c r="G368" s="13"/>
      <c r="H368" s="113"/>
    </row>
    <row r="369" spans="1:8" s="5" customFormat="1" ht="11.25" customHeight="1" x14ac:dyDescent="0.2">
      <c r="C369" s="14" t="s">
        <v>989</v>
      </c>
      <c r="D369" s="28" t="s">
        <v>1072</v>
      </c>
      <c r="E369" s="13">
        <v>10280</v>
      </c>
      <c r="F369" s="113">
        <f t="shared" si="20"/>
        <v>65.481877826613157</v>
      </c>
      <c r="G369" s="13"/>
      <c r="H369" s="113"/>
    </row>
    <row r="370" spans="1:8" s="5" customFormat="1" ht="11.25" customHeight="1" x14ac:dyDescent="0.2">
      <c r="D370" s="28"/>
      <c r="E370" s="162" t="s">
        <v>1849</v>
      </c>
      <c r="F370" s="165">
        <f>SUM(F364:F369)</f>
        <v>100</v>
      </c>
      <c r="G370" s="162">
        <v>25060</v>
      </c>
      <c r="H370" s="165">
        <v>62.9</v>
      </c>
    </row>
    <row r="371" spans="1:8" s="5" customFormat="1" ht="11.25" customHeight="1" x14ac:dyDescent="0.2">
      <c r="D371" s="28"/>
      <c r="E371" s="13"/>
      <c r="F371" s="113"/>
      <c r="G371" s="13"/>
      <c r="H371" s="113"/>
    </row>
    <row r="372" spans="1:8" s="5" customFormat="1" ht="11.25" customHeight="1" x14ac:dyDescent="0.2">
      <c r="A372" s="5" t="s">
        <v>990</v>
      </c>
      <c r="C372" s="5" t="s">
        <v>1850</v>
      </c>
      <c r="D372" s="28" t="s">
        <v>1071</v>
      </c>
      <c r="E372" s="13">
        <v>210</v>
      </c>
      <c r="F372" s="113">
        <f>E372/13115*100</f>
        <v>1.6012199771254287</v>
      </c>
      <c r="G372" s="13"/>
      <c r="H372" s="113"/>
    </row>
    <row r="373" spans="1:8" s="5" customFormat="1" ht="11.25" customHeight="1" x14ac:dyDescent="0.2">
      <c r="C373" s="5" t="s">
        <v>1851</v>
      </c>
      <c r="D373" s="28" t="s">
        <v>489</v>
      </c>
      <c r="E373" s="13">
        <v>516</v>
      </c>
      <c r="F373" s="113">
        <f>E373/13115*100</f>
        <v>3.9344262295081971</v>
      </c>
      <c r="G373" s="13"/>
      <c r="H373" s="113"/>
    </row>
    <row r="374" spans="1:8" s="5" customFormat="1" ht="11.25" customHeight="1" x14ac:dyDescent="0.2">
      <c r="C374" s="5" t="s">
        <v>992</v>
      </c>
      <c r="D374" s="28" t="s">
        <v>1736</v>
      </c>
      <c r="E374" s="13">
        <v>4173</v>
      </c>
      <c r="F374" s="113">
        <f>E374/13115*100</f>
        <v>31.818528402592449</v>
      </c>
      <c r="G374" s="13"/>
      <c r="H374" s="113"/>
    </row>
    <row r="375" spans="1:8" s="5" customFormat="1" ht="11.25" customHeight="1" x14ac:dyDescent="0.2">
      <c r="C375" s="14" t="s">
        <v>993</v>
      </c>
      <c r="D375" s="28" t="s">
        <v>1072</v>
      </c>
      <c r="E375" s="13">
        <v>7221</v>
      </c>
      <c r="F375" s="113">
        <f>E375/13115*100</f>
        <v>55.059092642012963</v>
      </c>
      <c r="G375" s="13"/>
      <c r="H375" s="113"/>
    </row>
    <row r="376" spans="1:8" s="5" customFormat="1" ht="11.25" customHeight="1" x14ac:dyDescent="0.2">
      <c r="C376" s="5" t="s">
        <v>11</v>
      </c>
      <c r="D376" s="28" t="s">
        <v>655</v>
      </c>
      <c r="E376" s="13">
        <v>995</v>
      </c>
      <c r="F376" s="113">
        <f>E376/13115*100</f>
        <v>7.5867327487609604</v>
      </c>
      <c r="G376" s="13"/>
      <c r="H376" s="113"/>
    </row>
    <row r="377" spans="1:8" s="5" customFormat="1" ht="11.25" customHeight="1" x14ac:dyDescent="0.2">
      <c r="D377" s="28"/>
      <c r="E377" s="162" t="s">
        <v>12</v>
      </c>
      <c r="F377" s="165">
        <f>SUM(F372:F376)</f>
        <v>100</v>
      </c>
      <c r="G377" s="162">
        <v>24096</v>
      </c>
      <c r="H377" s="165">
        <v>54.6</v>
      </c>
    </row>
    <row r="378" spans="1:8" s="5" customFormat="1" ht="11.25" customHeight="1" x14ac:dyDescent="0.2">
      <c r="D378" s="28"/>
      <c r="E378" s="13"/>
      <c r="F378" s="113"/>
      <c r="G378" s="13"/>
      <c r="H378" s="113"/>
    </row>
    <row r="379" spans="1:8" s="5" customFormat="1" ht="11.25" customHeight="1" x14ac:dyDescent="0.2">
      <c r="A379" s="5" t="s">
        <v>994</v>
      </c>
      <c r="C379" s="5" t="s">
        <v>13</v>
      </c>
      <c r="D379" s="28" t="s">
        <v>489</v>
      </c>
      <c r="E379" s="13">
        <v>273</v>
      </c>
      <c r="F379" s="113">
        <f t="shared" ref="F379:F384" si="21">E379/12304*100</f>
        <v>2.2187906371911574</v>
      </c>
      <c r="G379" s="13"/>
      <c r="H379" s="113"/>
    </row>
    <row r="380" spans="1:8" s="5" customFormat="1" ht="11.25" customHeight="1" x14ac:dyDescent="0.2">
      <c r="C380" s="5" t="s">
        <v>14</v>
      </c>
      <c r="D380" s="28" t="s">
        <v>1314</v>
      </c>
      <c r="E380" s="13">
        <v>288</v>
      </c>
      <c r="F380" s="113">
        <f t="shared" si="21"/>
        <v>2.3407022106631992</v>
      </c>
      <c r="G380" s="13"/>
      <c r="H380" s="113"/>
    </row>
    <row r="381" spans="1:8" s="5" customFormat="1" ht="11.25" customHeight="1" x14ac:dyDescent="0.2">
      <c r="C381" s="5" t="s">
        <v>15</v>
      </c>
      <c r="D381" s="28" t="s">
        <v>1071</v>
      </c>
      <c r="E381" s="13">
        <v>160</v>
      </c>
      <c r="F381" s="113">
        <f t="shared" si="21"/>
        <v>1.3003901170351104</v>
      </c>
      <c r="G381" s="13"/>
      <c r="H381" s="113"/>
    </row>
    <row r="382" spans="1:8" s="5" customFormat="1" ht="11.25" customHeight="1" x14ac:dyDescent="0.2">
      <c r="C382" s="5" t="s">
        <v>16</v>
      </c>
      <c r="D382" s="28" t="s">
        <v>1072</v>
      </c>
      <c r="E382" s="13">
        <v>1854</v>
      </c>
      <c r="F382" s="113">
        <f t="shared" si="21"/>
        <v>15.068270481144344</v>
      </c>
      <c r="G382" s="13"/>
      <c r="H382" s="113"/>
    </row>
    <row r="383" spans="1:8" s="5" customFormat="1" ht="11.25" customHeight="1" x14ac:dyDescent="0.2">
      <c r="C383" s="14" t="s">
        <v>998</v>
      </c>
      <c r="D383" s="28" t="s">
        <v>655</v>
      </c>
      <c r="E383" s="13">
        <v>7463</v>
      </c>
      <c r="F383" s="113">
        <f t="shared" si="21"/>
        <v>60.655071521456435</v>
      </c>
      <c r="G383" s="13"/>
      <c r="H383" s="113"/>
    </row>
    <row r="384" spans="1:8" s="5" customFormat="1" ht="11.25" customHeight="1" x14ac:dyDescent="0.2">
      <c r="C384" s="5" t="s">
        <v>17</v>
      </c>
      <c r="D384" s="28" t="s">
        <v>1736</v>
      </c>
      <c r="E384" s="13">
        <v>2266</v>
      </c>
      <c r="F384" s="113">
        <f t="shared" si="21"/>
        <v>18.416775032509751</v>
      </c>
      <c r="G384" s="13"/>
      <c r="H384" s="113"/>
    </row>
    <row r="385" spans="1:8" s="5" customFormat="1" ht="11.25" customHeight="1" x14ac:dyDescent="0.2">
      <c r="D385" s="28"/>
      <c r="E385" s="162" t="s">
        <v>18</v>
      </c>
      <c r="F385" s="165">
        <f>SUM(F379:F384)</f>
        <v>100</v>
      </c>
      <c r="G385" s="162">
        <v>24830</v>
      </c>
      <c r="H385" s="165">
        <v>49.9</v>
      </c>
    </row>
    <row r="386" spans="1:8" s="5" customFormat="1" ht="11.25" customHeight="1" x14ac:dyDescent="0.2">
      <c r="D386" s="28"/>
      <c r="E386" s="13"/>
      <c r="F386" s="113"/>
      <c r="G386" s="13"/>
      <c r="H386" s="113"/>
    </row>
    <row r="387" spans="1:8" s="5" customFormat="1" ht="11.25" customHeight="1" x14ac:dyDescent="0.2">
      <c r="A387" s="5" t="s">
        <v>999</v>
      </c>
      <c r="C387" s="5" t="s">
        <v>19</v>
      </c>
      <c r="D387" s="28" t="s">
        <v>653</v>
      </c>
      <c r="E387" s="13">
        <v>74</v>
      </c>
      <c r="F387" s="113">
        <f>E387/16246*100</f>
        <v>0.45549673765850052</v>
      </c>
      <c r="G387" s="13"/>
      <c r="H387" s="113"/>
    </row>
    <row r="388" spans="1:8" s="5" customFormat="1" ht="11.25" customHeight="1" x14ac:dyDescent="0.2">
      <c r="C388" s="5" t="s">
        <v>20</v>
      </c>
      <c r="D388" s="28" t="s">
        <v>655</v>
      </c>
      <c r="E388" s="13">
        <v>1639</v>
      </c>
      <c r="F388" s="113">
        <f>E388/16246*100</f>
        <v>10.088637203003817</v>
      </c>
      <c r="G388" s="13"/>
      <c r="H388" s="113"/>
    </row>
    <row r="389" spans="1:8" s="5" customFormat="1" ht="11.25" customHeight="1" x14ac:dyDescent="0.2">
      <c r="C389" s="14" t="s">
        <v>21</v>
      </c>
      <c r="D389" s="28" t="s">
        <v>1736</v>
      </c>
      <c r="E389" s="13">
        <v>7494</v>
      </c>
      <c r="F389" s="113">
        <f>E389/16246*100</f>
        <v>46.128277729902742</v>
      </c>
      <c r="G389" s="13"/>
      <c r="H389" s="113"/>
    </row>
    <row r="390" spans="1:8" s="5" customFormat="1" ht="11.25" customHeight="1" x14ac:dyDescent="0.2">
      <c r="C390" s="5" t="s">
        <v>22</v>
      </c>
      <c r="D390" s="5" t="s">
        <v>489</v>
      </c>
      <c r="E390" s="13">
        <v>471</v>
      </c>
      <c r="F390" s="113">
        <f>E390/16246*100</f>
        <v>2.8991751815831588</v>
      </c>
      <c r="G390" s="13"/>
      <c r="H390" s="113"/>
    </row>
    <row r="391" spans="1:8" s="5" customFormat="1" ht="11.25" customHeight="1" x14ac:dyDescent="0.2">
      <c r="C391" s="5" t="s">
        <v>23</v>
      </c>
      <c r="D391" s="28" t="s">
        <v>1072</v>
      </c>
      <c r="E391" s="13">
        <v>6568</v>
      </c>
      <c r="F391" s="113">
        <f>E391/16246*100</f>
        <v>40.428413147851778</v>
      </c>
      <c r="G391" s="13"/>
      <c r="H391" s="113"/>
    </row>
    <row r="392" spans="1:8" s="5" customFormat="1" ht="11.25" customHeight="1" x14ac:dyDescent="0.2">
      <c r="D392" s="28"/>
      <c r="E392" s="162" t="s">
        <v>24</v>
      </c>
      <c r="F392" s="165">
        <f>SUM(F387:F391)</f>
        <v>100</v>
      </c>
      <c r="G392" s="162">
        <v>30949</v>
      </c>
      <c r="H392" s="165">
        <v>52.6</v>
      </c>
    </row>
    <row r="393" spans="1:8" s="5" customFormat="1" ht="11.25" customHeight="1" x14ac:dyDescent="0.2">
      <c r="D393" s="28"/>
      <c r="E393" s="13"/>
      <c r="F393" s="113"/>
      <c r="G393" s="13"/>
      <c r="H393" s="113"/>
    </row>
    <row r="394" spans="1:8" s="5" customFormat="1" ht="11.25" customHeight="1" x14ac:dyDescent="0.2">
      <c r="A394" s="5" t="s">
        <v>2049</v>
      </c>
      <c r="C394" s="5" t="s">
        <v>25</v>
      </c>
      <c r="D394" s="28" t="s">
        <v>1072</v>
      </c>
      <c r="E394" s="13">
        <v>1956</v>
      </c>
      <c r="F394" s="113">
        <f>E394/11246*100</f>
        <v>17.392850791392494</v>
      </c>
      <c r="G394" s="13"/>
      <c r="H394" s="113"/>
    </row>
    <row r="395" spans="1:8" s="5" customFormat="1" ht="11.25" customHeight="1" x14ac:dyDescent="0.2">
      <c r="C395" s="5" t="s">
        <v>26</v>
      </c>
      <c r="D395" s="28" t="s">
        <v>489</v>
      </c>
      <c r="E395" s="13">
        <v>1088</v>
      </c>
      <c r="F395" s="113">
        <f>E395/11246*100</f>
        <v>9.6745509514494046</v>
      </c>
      <c r="G395" s="13"/>
      <c r="H395" s="113"/>
    </row>
    <row r="396" spans="1:8" s="5" customFormat="1" ht="11.25" customHeight="1" x14ac:dyDescent="0.2">
      <c r="C396" s="14" t="s">
        <v>27</v>
      </c>
      <c r="D396" s="28" t="s">
        <v>1736</v>
      </c>
      <c r="E396" s="13">
        <v>6782</v>
      </c>
      <c r="F396" s="113">
        <f>E396/11246*100</f>
        <v>60.305886537435541</v>
      </c>
      <c r="G396" s="13"/>
      <c r="H396" s="113"/>
    </row>
    <row r="397" spans="1:8" s="5" customFormat="1" ht="11.25" customHeight="1" x14ac:dyDescent="0.2">
      <c r="C397" s="5" t="s">
        <v>28</v>
      </c>
      <c r="D397" s="28" t="s">
        <v>655</v>
      </c>
      <c r="E397" s="13">
        <v>232</v>
      </c>
      <c r="F397" s="113">
        <f>E397/11246*100</f>
        <v>2.0629557175884758</v>
      </c>
      <c r="G397" s="13"/>
      <c r="H397" s="113"/>
    </row>
    <row r="398" spans="1:8" s="5" customFormat="1" ht="11.25" customHeight="1" x14ac:dyDescent="0.2">
      <c r="C398" s="5" t="s">
        <v>29</v>
      </c>
      <c r="D398" s="28" t="s">
        <v>1314</v>
      </c>
      <c r="E398" s="13">
        <v>1188</v>
      </c>
      <c r="F398" s="113">
        <f>E398/11246*100</f>
        <v>10.563756002134092</v>
      </c>
      <c r="G398" s="13"/>
      <c r="H398" s="113"/>
    </row>
    <row r="399" spans="1:8" s="5" customFormat="1" ht="11.25" customHeight="1" x14ac:dyDescent="0.2">
      <c r="D399" s="28"/>
      <c r="E399" s="162" t="s">
        <v>30</v>
      </c>
      <c r="F399" s="165">
        <f>SUM(F394:F398)</f>
        <v>100</v>
      </c>
      <c r="G399" s="162">
        <v>22420</v>
      </c>
      <c r="H399" s="165">
        <v>50.5</v>
      </c>
    </row>
    <row r="400" spans="1:8" s="5" customFormat="1" ht="11.25" customHeight="1" x14ac:dyDescent="0.2">
      <c r="D400" s="28"/>
      <c r="E400" s="13"/>
      <c r="F400" s="113"/>
      <c r="G400" s="13"/>
      <c r="H400" s="113"/>
    </row>
    <row r="401" spans="1:8" s="5" customFormat="1" ht="11.25" customHeight="1" x14ac:dyDescent="0.2">
      <c r="A401" s="5" t="s">
        <v>2050</v>
      </c>
      <c r="C401" s="14" t="s">
        <v>1357</v>
      </c>
      <c r="D401" s="28" t="s">
        <v>1736</v>
      </c>
      <c r="E401" s="13">
        <v>4433</v>
      </c>
      <c r="F401" s="113">
        <f>E401/7015*100</f>
        <v>63.193157519600852</v>
      </c>
      <c r="G401" s="13"/>
      <c r="H401" s="113"/>
    </row>
    <row r="402" spans="1:8" s="5" customFormat="1" ht="11.25" customHeight="1" x14ac:dyDescent="0.2">
      <c r="C402" s="5" t="s">
        <v>31</v>
      </c>
      <c r="D402" s="28" t="s">
        <v>1072</v>
      </c>
      <c r="E402" s="13">
        <v>1802</v>
      </c>
      <c r="F402" s="113">
        <f>E402/7015*100</f>
        <v>25.687811831789027</v>
      </c>
      <c r="G402" s="13"/>
      <c r="H402" s="113"/>
    </row>
    <row r="403" spans="1:8" s="5" customFormat="1" ht="11.25" customHeight="1" x14ac:dyDescent="0.2">
      <c r="C403" s="5" t="s">
        <v>34</v>
      </c>
      <c r="D403" s="28" t="s">
        <v>489</v>
      </c>
      <c r="E403" s="13">
        <v>224</v>
      </c>
      <c r="F403" s="113">
        <f>E403/7015*100</f>
        <v>3.1931575196008555</v>
      </c>
      <c r="G403" s="13"/>
      <c r="H403" s="113"/>
    </row>
    <row r="404" spans="1:8" s="5" customFormat="1" ht="11.25" customHeight="1" x14ac:dyDescent="0.2">
      <c r="C404" s="5" t="s">
        <v>32</v>
      </c>
      <c r="D404" s="28" t="s">
        <v>655</v>
      </c>
      <c r="E404" s="13">
        <v>462</v>
      </c>
      <c r="F404" s="113">
        <f>E404/7015*100</f>
        <v>6.5858873841767638</v>
      </c>
      <c r="G404" s="13"/>
      <c r="H404" s="113"/>
    </row>
    <row r="405" spans="1:8" s="5" customFormat="1" ht="11.25" customHeight="1" x14ac:dyDescent="0.2">
      <c r="C405" s="5" t="s">
        <v>33</v>
      </c>
      <c r="D405" s="28" t="s">
        <v>653</v>
      </c>
      <c r="E405" s="13">
        <v>94</v>
      </c>
      <c r="F405" s="113">
        <f>E405/7015*100</f>
        <v>1.3399857448325017</v>
      </c>
      <c r="G405" s="13"/>
      <c r="H405" s="113"/>
    </row>
    <row r="406" spans="1:8" s="5" customFormat="1" ht="11.25" customHeight="1" x14ac:dyDescent="0.2">
      <c r="D406" s="28"/>
      <c r="E406" s="162" t="s">
        <v>35</v>
      </c>
      <c r="F406" s="165">
        <f>SUM(F401:F405)</f>
        <v>100</v>
      </c>
      <c r="G406" s="162">
        <v>26618</v>
      </c>
      <c r="H406" s="165">
        <v>26.4</v>
      </c>
    </row>
    <row r="407" spans="1:8" s="5" customFormat="1" ht="11.25" customHeight="1" x14ac:dyDescent="0.2">
      <c r="D407" s="28"/>
      <c r="E407" s="13"/>
      <c r="F407" s="113"/>
      <c r="G407" s="13"/>
      <c r="H407" s="113"/>
    </row>
    <row r="408" spans="1:8" s="5" customFormat="1" ht="11.25" customHeight="1" x14ac:dyDescent="0.2">
      <c r="A408" s="5" t="s">
        <v>2051</v>
      </c>
      <c r="C408" s="5" t="s">
        <v>36</v>
      </c>
      <c r="D408" s="28" t="s">
        <v>655</v>
      </c>
      <c r="E408" s="13">
        <v>1633</v>
      </c>
      <c r="F408" s="113">
        <f>E408/12743*100</f>
        <v>12.814878756964607</v>
      </c>
      <c r="G408" s="13"/>
      <c r="H408" s="113"/>
    </row>
    <row r="409" spans="1:8" s="5" customFormat="1" ht="11.25" customHeight="1" x14ac:dyDescent="0.2">
      <c r="C409" s="5" t="s">
        <v>37</v>
      </c>
      <c r="D409" s="28" t="s">
        <v>489</v>
      </c>
      <c r="E409" s="13">
        <v>1411</v>
      </c>
      <c r="F409" s="113">
        <f>E409/12743*100</f>
        <v>11.072745821235188</v>
      </c>
      <c r="G409" s="13"/>
      <c r="H409" s="113"/>
    </row>
    <row r="410" spans="1:8" s="5" customFormat="1" ht="11.25" customHeight="1" x14ac:dyDescent="0.2">
      <c r="C410" s="5" t="s">
        <v>2661</v>
      </c>
      <c r="D410" s="28" t="s">
        <v>1071</v>
      </c>
      <c r="E410" s="13">
        <v>379</v>
      </c>
      <c r="F410" s="113">
        <f>E410/12743*100</f>
        <v>2.9741819037903161</v>
      </c>
      <c r="G410" s="13"/>
      <c r="H410" s="113"/>
    </row>
    <row r="411" spans="1:8" s="5" customFormat="1" ht="11.25" customHeight="1" x14ac:dyDescent="0.2">
      <c r="C411" s="5" t="s">
        <v>3008</v>
      </c>
      <c r="D411" s="28" t="s">
        <v>1072</v>
      </c>
      <c r="E411" s="13">
        <v>3160</v>
      </c>
      <c r="F411" s="113">
        <f>E411/12743*100</f>
        <v>24.797928274346699</v>
      </c>
      <c r="G411" s="13"/>
      <c r="H411" s="113"/>
    </row>
    <row r="412" spans="1:8" s="5" customFormat="1" ht="11.25" customHeight="1" x14ac:dyDescent="0.2">
      <c r="C412" s="14" t="s">
        <v>2558</v>
      </c>
      <c r="D412" s="28" t="s">
        <v>1736</v>
      </c>
      <c r="E412" s="13">
        <v>6160</v>
      </c>
      <c r="F412" s="113">
        <f>E412/12743*100</f>
        <v>48.34026524366319</v>
      </c>
      <c r="G412" s="13"/>
      <c r="H412" s="113"/>
    </row>
    <row r="413" spans="1:8" s="5" customFormat="1" ht="11.25" customHeight="1" x14ac:dyDescent="0.2">
      <c r="D413" s="28"/>
      <c r="E413" s="162" t="s">
        <v>2664</v>
      </c>
      <c r="F413" s="165">
        <f>SUM(F408:F412)</f>
        <v>100</v>
      </c>
      <c r="G413" s="162">
        <v>24831</v>
      </c>
      <c r="H413" s="165">
        <v>51.4</v>
      </c>
    </row>
    <row r="414" spans="1:8" s="5" customFormat="1" ht="11.25" customHeight="1" x14ac:dyDescent="0.2">
      <c r="D414" s="28"/>
      <c r="E414" s="13"/>
      <c r="F414" s="113"/>
      <c r="G414" s="13"/>
      <c r="H414" s="113"/>
    </row>
    <row r="415" spans="1:8" s="5" customFormat="1" ht="11.25" customHeight="1" x14ac:dyDescent="0.2">
      <c r="A415" s="5" t="s">
        <v>1360</v>
      </c>
      <c r="C415" s="14" t="s">
        <v>1361</v>
      </c>
      <c r="D415" s="28" t="s">
        <v>1736</v>
      </c>
      <c r="E415" s="13">
        <v>4369</v>
      </c>
      <c r="F415" s="113">
        <f>E415/7743*100</f>
        <v>56.425158207413148</v>
      </c>
      <c r="G415" s="13"/>
      <c r="H415" s="113"/>
    </row>
    <row r="416" spans="1:8" s="5" customFormat="1" ht="11.25" customHeight="1" x14ac:dyDescent="0.2">
      <c r="C416" s="5" t="s">
        <v>2665</v>
      </c>
      <c r="D416" s="28" t="s">
        <v>1072</v>
      </c>
      <c r="E416" s="13">
        <v>1965</v>
      </c>
      <c r="F416" s="113">
        <f>E416/7743*100</f>
        <v>25.377760557923285</v>
      </c>
      <c r="G416" s="13"/>
      <c r="H416" s="113"/>
    </row>
    <row r="417" spans="1:8" s="5" customFormat="1" ht="11.25" customHeight="1" x14ac:dyDescent="0.2">
      <c r="C417" s="5" t="s">
        <v>2666</v>
      </c>
      <c r="D417" s="28" t="s">
        <v>489</v>
      </c>
      <c r="E417" s="13">
        <v>685</v>
      </c>
      <c r="F417" s="113">
        <f>E417/7743*100</f>
        <v>8.8467002453829267</v>
      </c>
      <c r="G417" s="13"/>
      <c r="H417" s="113"/>
    </row>
    <row r="418" spans="1:8" s="5" customFormat="1" ht="11.25" customHeight="1" x14ac:dyDescent="0.2">
      <c r="C418" s="5" t="s">
        <v>2667</v>
      </c>
      <c r="D418" s="28" t="s">
        <v>655</v>
      </c>
      <c r="E418" s="13">
        <v>724</v>
      </c>
      <c r="F418" s="113">
        <f>E418/7743*100</f>
        <v>9.3503809892806409</v>
      </c>
      <c r="G418" s="13"/>
      <c r="H418" s="113"/>
    </row>
    <row r="419" spans="1:8" s="5" customFormat="1" ht="11.25" customHeight="1" x14ac:dyDescent="0.2">
      <c r="D419" s="28"/>
      <c r="E419" s="162" t="s">
        <v>2668</v>
      </c>
      <c r="F419" s="165">
        <f>SUM(F415:F418)</f>
        <v>100</v>
      </c>
      <c r="G419" s="162">
        <v>22083</v>
      </c>
      <c r="H419" s="165">
        <v>35.200000000000003</v>
      </c>
    </row>
    <row r="420" spans="1:8" s="5" customFormat="1" ht="11.25" customHeight="1" x14ac:dyDescent="0.2">
      <c r="D420" s="28"/>
      <c r="E420" s="13"/>
      <c r="F420" s="113"/>
      <c r="G420" s="13"/>
      <c r="H420" s="113"/>
    </row>
    <row r="421" spans="1:8" s="5" customFormat="1" ht="11.25" customHeight="1" x14ac:dyDescent="0.2">
      <c r="A421" s="5" t="s">
        <v>1365</v>
      </c>
      <c r="C421" s="14" t="s">
        <v>2669</v>
      </c>
      <c r="D421" s="28" t="s">
        <v>1736</v>
      </c>
      <c r="E421" s="13">
        <v>4346</v>
      </c>
      <c r="F421" s="113">
        <f>E421/7892*100</f>
        <v>55.068423720223016</v>
      </c>
      <c r="G421" s="13"/>
      <c r="H421" s="113"/>
    </row>
    <row r="422" spans="1:8" s="5" customFormat="1" ht="11.25" customHeight="1" x14ac:dyDescent="0.2">
      <c r="C422" s="5" t="s">
        <v>2670</v>
      </c>
      <c r="D422" s="28" t="s">
        <v>489</v>
      </c>
      <c r="E422" s="13">
        <v>546</v>
      </c>
      <c r="F422" s="113">
        <f>E422/7892*100</f>
        <v>6.9183983781044098</v>
      </c>
      <c r="G422" s="13"/>
      <c r="H422" s="113"/>
    </row>
    <row r="423" spans="1:8" s="5" customFormat="1" ht="11.25" customHeight="1" x14ac:dyDescent="0.2">
      <c r="C423" s="5" t="s">
        <v>2671</v>
      </c>
      <c r="D423" s="28" t="s">
        <v>655</v>
      </c>
      <c r="E423" s="13">
        <v>971</v>
      </c>
      <c r="F423" s="113">
        <f>E423/7892*100</f>
        <v>12.303598580841358</v>
      </c>
      <c r="G423" s="13"/>
      <c r="H423" s="113"/>
    </row>
    <row r="424" spans="1:8" s="5" customFormat="1" ht="11.25" customHeight="1" x14ac:dyDescent="0.2">
      <c r="C424" s="5" t="s">
        <v>2672</v>
      </c>
      <c r="D424" s="28" t="s">
        <v>1072</v>
      </c>
      <c r="E424" s="13">
        <v>1681</v>
      </c>
      <c r="F424" s="113">
        <f>E424/7892*100</f>
        <v>21.300050684237203</v>
      </c>
      <c r="G424" s="13"/>
      <c r="H424" s="113"/>
    </row>
    <row r="425" spans="1:8" s="5" customFormat="1" ht="11.25" customHeight="1" x14ac:dyDescent="0.2">
      <c r="C425" s="5" t="s">
        <v>2673</v>
      </c>
      <c r="D425" s="28" t="s">
        <v>1314</v>
      </c>
      <c r="E425" s="13">
        <v>348</v>
      </c>
      <c r="F425" s="113">
        <f>E425/7892*100</f>
        <v>4.4095286365940192</v>
      </c>
      <c r="G425" s="13"/>
      <c r="H425" s="113"/>
    </row>
    <row r="426" spans="1:8" s="5" customFormat="1" ht="11.25" customHeight="1" x14ac:dyDescent="0.2">
      <c r="D426" s="28"/>
      <c r="E426" s="162" t="s">
        <v>2674</v>
      </c>
      <c r="F426" s="165">
        <f>SUM(F421:F425)</f>
        <v>100</v>
      </c>
      <c r="G426" s="162">
        <v>21683</v>
      </c>
      <c r="H426" s="165">
        <v>36.5</v>
      </c>
    </row>
    <row r="427" spans="1:8" s="5" customFormat="1" ht="11.25" customHeight="1" x14ac:dyDescent="0.2">
      <c r="D427" s="28"/>
      <c r="E427" s="13"/>
      <c r="F427" s="113"/>
      <c r="G427" s="13"/>
      <c r="H427" s="113"/>
    </row>
    <row r="428" spans="1:8" s="5" customFormat="1" ht="11.25" customHeight="1" x14ac:dyDescent="0.2">
      <c r="A428" s="5" t="s">
        <v>1372</v>
      </c>
      <c r="C428" s="5" t="s">
        <v>2675</v>
      </c>
      <c r="D428" s="28" t="s">
        <v>1072</v>
      </c>
      <c r="E428" s="13">
        <v>1846</v>
      </c>
      <c r="F428" s="113">
        <f t="shared" ref="F428:F433" si="22">E428/10594*100</f>
        <v>17.424957523126299</v>
      </c>
      <c r="G428" s="13"/>
      <c r="H428" s="113"/>
    </row>
    <row r="429" spans="1:8" s="5" customFormat="1" ht="11.25" customHeight="1" x14ac:dyDescent="0.2">
      <c r="C429" s="14" t="s">
        <v>2676</v>
      </c>
      <c r="D429" s="28" t="s">
        <v>1736</v>
      </c>
      <c r="E429" s="13">
        <v>6737</v>
      </c>
      <c r="F429" s="113">
        <f t="shared" si="22"/>
        <v>63.592599584670573</v>
      </c>
      <c r="G429" s="13"/>
      <c r="H429" s="113"/>
    </row>
    <row r="430" spans="1:8" s="5" customFormat="1" ht="11.25" customHeight="1" x14ac:dyDescent="0.2">
      <c r="C430" s="5" t="s">
        <v>2677</v>
      </c>
      <c r="D430" s="28" t="s">
        <v>1314</v>
      </c>
      <c r="E430" s="13">
        <v>547</v>
      </c>
      <c r="F430" s="113">
        <f t="shared" si="22"/>
        <v>5.1632999811213898</v>
      </c>
      <c r="G430" s="13"/>
      <c r="H430" s="113"/>
    </row>
    <row r="431" spans="1:8" s="5" customFormat="1" ht="11.25" customHeight="1" x14ac:dyDescent="0.2">
      <c r="C431" s="5" t="s">
        <v>1011</v>
      </c>
      <c r="D431" s="28" t="s">
        <v>2102</v>
      </c>
      <c r="E431" s="13">
        <v>300</v>
      </c>
      <c r="F431" s="113">
        <f t="shared" si="22"/>
        <v>2.8317915801397016</v>
      </c>
      <c r="G431" s="13"/>
      <c r="H431" s="113"/>
    </row>
    <row r="432" spans="1:8" s="5" customFormat="1" ht="11.25" customHeight="1" x14ac:dyDescent="0.2">
      <c r="C432" s="5" t="s">
        <v>2678</v>
      </c>
      <c r="D432" s="28" t="s">
        <v>655</v>
      </c>
      <c r="E432" s="13">
        <v>433</v>
      </c>
      <c r="F432" s="113">
        <f t="shared" si="22"/>
        <v>4.0872191806683027</v>
      </c>
      <c r="G432" s="13"/>
      <c r="H432" s="113"/>
    </row>
    <row r="433" spans="1:8" s="5" customFormat="1" ht="11.25" customHeight="1" x14ac:dyDescent="0.2">
      <c r="C433" s="5" t="s">
        <v>2679</v>
      </c>
      <c r="D433" s="28" t="s">
        <v>489</v>
      </c>
      <c r="E433" s="13">
        <v>731</v>
      </c>
      <c r="F433" s="113">
        <f t="shared" si="22"/>
        <v>6.9001321502737394</v>
      </c>
      <c r="G433" s="13"/>
      <c r="H433" s="113"/>
    </row>
    <row r="434" spans="1:8" s="5" customFormat="1" ht="11.25" customHeight="1" x14ac:dyDescent="0.2">
      <c r="D434" s="28"/>
      <c r="E434" s="162" t="s">
        <v>2680</v>
      </c>
      <c r="F434" s="165">
        <f>SUM(F428:F433)</f>
        <v>100</v>
      </c>
      <c r="G434" s="162">
        <v>23519</v>
      </c>
      <c r="H434" s="165">
        <v>45.2</v>
      </c>
    </row>
    <row r="435" spans="1:8" s="5" customFormat="1" ht="11.25" customHeight="1" x14ac:dyDescent="0.2">
      <c r="D435" s="28"/>
      <c r="E435" s="13"/>
      <c r="F435" s="113"/>
      <c r="G435" s="13"/>
      <c r="H435" s="113"/>
    </row>
    <row r="436" spans="1:8" s="5" customFormat="1" ht="11.25" customHeight="1" x14ac:dyDescent="0.2">
      <c r="A436" s="5" t="s">
        <v>1377</v>
      </c>
      <c r="C436" s="5" t="s">
        <v>1379</v>
      </c>
      <c r="D436" s="28" t="s">
        <v>1072</v>
      </c>
      <c r="E436" s="13">
        <v>1817</v>
      </c>
      <c r="F436" s="113">
        <f>E436/11210*100</f>
        <v>16.208742194469224</v>
      </c>
      <c r="G436" s="13"/>
      <c r="H436" s="113"/>
    </row>
    <row r="437" spans="1:8" s="5" customFormat="1" ht="11.25" customHeight="1" x14ac:dyDescent="0.2">
      <c r="C437" s="5" t="s">
        <v>2681</v>
      </c>
      <c r="D437" s="28" t="s">
        <v>655</v>
      </c>
      <c r="E437" s="13">
        <v>585</v>
      </c>
      <c r="F437" s="113">
        <f>E437/11210*100</f>
        <v>5.2185548617305972</v>
      </c>
      <c r="G437" s="13"/>
      <c r="H437" s="113"/>
    </row>
    <row r="438" spans="1:8" s="5" customFormat="1" ht="11.25" customHeight="1" x14ac:dyDescent="0.2">
      <c r="C438" s="14" t="s">
        <v>1380</v>
      </c>
      <c r="D438" s="28" t="s">
        <v>1736</v>
      </c>
      <c r="E438" s="13">
        <v>6208</v>
      </c>
      <c r="F438" s="113">
        <f>E438/11210*100</f>
        <v>55.379125780553075</v>
      </c>
      <c r="G438" s="13"/>
      <c r="H438" s="113"/>
    </row>
    <row r="439" spans="1:8" s="5" customFormat="1" ht="11.25" customHeight="1" x14ac:dyDescent="0.2">
      <c r="C439" s="5" t="s">
        <v>1034</v>
      </c>
      <c r="D439" s="28" t="s">
        <v>489</v>
      </c>
      <c r="E439" s="13">
        <v>2241</v>
      </c>
      <c r="F439" s="113">
        <f>E439/11210*100</f>
        <v>19.991079393398749</v>
      </c>
      <c r="G439" s="13"/>
      <c r="H439" s="113"/>
    </row>
    <row r="440" spans="1:8" x14ac:dyDescent="0.2">
      <c r="C440" s="1" t="s">
        <v>2682</v>
      </c>
      <c r="D440" s="4" t="s">
        <v>1071</v>
      </c>
      <c r="E440" s="19">
        <v>359</v>
      </c>
      <c r="F440" s="113">
        <f>E440/11210*100</f>
        <v>3.2024977698483497</v>
      </c>
    </row>
    <row r="441" spans="1:8" s="5" customFormat="1" ht="11.25" customHeight="1" x14ac:dyDescent="0.2">
      <c r="D441" s="28"/>
      <c r="E441" s="162" t="s">
        <v>2683</v>
      </c>
      <c r="F441" s="165">
        <f>SUM(F436:F440)</f>
        <v>99.999999999999986</v>
      </c>
      <c r="G441" s="162">
        <v>24087</v>
      </c>
      <c r="H441" s="165">
        <v>46.7</v>
      </c>
    </row>
    <row r="442" spans="1:8" s="5" customFormat="1" ht="11.25" customHeight="1" x14ac:dyDescent="0.2">
      <c r="D442" s="28"/>
      <c r="E442" s="13"/>
      <c r="F442" s="113"/>
      <c r="G442" s="13"/>
      <c r="H442" s="113"/>
    </row>
    <row r="443" spans="1:8" s="5" customFormat="1" ht="11.25" customHeight="1" x14ac:dyDescent="0.2">
      <c r="A443" s="5" t="s">
        <v>1381</v>
      </c>
      <c r="C443" s="5" t="s">
        <v>2684</v>
      </c>
      <c r="D443" s="28" t="s">
        <v>1072</v>
      </c>
      <c r="E443" s="13">
        <v>1879</v>
      </c>
      <c r="F443" s="113">
        <f>E443/9127*100</f>
        <v>20.587268543880793</v>
      </c>
      <c r="G443" s="13"/>
      <c r="H443" s="113"/>
    </row>
    <row r="444" spans="1:8" s="5" customFormat="1" ht="11.25" customHeight="1" x14ac:dyDescent="0.2">
      <c r="C444" s="14" t="s">
        <v>1382</v>
      </c>
      <c r="D444" s="28" t="s">
        <v>1736</v>
      </c>
      <c r="E444" s="13">
        <v>4896</v>
      </c>
      <c r="F444" s="113">
        <f>E444/9127*100</f>
        <v>53.643037142544102</v>
      </c>
      <c r="G444" s="13"/>
      <c r="H444" s="113"/>
    </row>
    <row r="445" spans="1:8" s="5" customFormat="1" ht="11.25" customHeight="1" x14ac:dyDescent="0.2">
      <c r="C445" s="5" t="s">
        <v>2685</v>
      </c>
      <c r="D445" s="28" t="s">
        <v>655</v>
      </c>
      <c r="E445" s="13">
        <v>649</v>
      </c>
      <c r="F445" s="113">
        <f>E445/9127*100</f>
        <v>7.1107702421387087</v>
      </c>
      <c r="G445" s="13"/>
      <c r="H445" s="113"/>
    </row>
    <row r="446" spans="1:8" s="5" customFormat="1" ht="11.25" customHeight="1" x14ac:dyDescent="0.2">
      <c r="C446" s="5" t="s">
        <v>2686</v>
      </c>
      <c r="D446" s="28" t="s">
        <v>489</v>
      </c>
      <c r="E446" s="13">
        <v>1703</v>
      </c>
      <c r="F446" s="113">
        <f>E446/9127*100</f>
        <v>18.658924071436399</v>
      </c>
      <c r="G446" s="13"/>
      <c r="H446" s="113"/>
    </row>
    <row r="447" spans="1:8" s="5" customFormat="1" ht="11.25" customHeight="1" x14ac:dyDescent="0.2">
      <c r="D447" s="28"/>
      <c r="E447" s="162" t="s">
        <v>2687</v>
      </c>
      <c r="F447" s="165">
        <f>SUM(F443:F446)</f>
        <v>100.00000000000001</v>
      </c>
      <c r="G447" s="162">
        <v>18451</v>
      </c>
      <c r="H447" s="165">
        <v>49.6</v>
      </c>
    </row>
    <row r="448" spans="1:8" s="5" customFormat="1" ht="11.25" customHeight="1" x14ac:dyDescent="0.2">
      <c r="D448" s="28"/>
      <c r="E448" s="13"/>
      <c r="F448" s="113"/>
      <c r="G448" s="13"/>
      <c r="H448" s="113"/>
    </row>
    <row r="449" spans="1:8" s="5" customFormat="1" ht="11.25" customHeight="1" x14ac:dyDescent="0.2">
      <c r="A449" s="5" t="s">
        <v>2052</v>
      </c>
      <c r="C449" s="5" t="s">
        <v>2688</v>
      </c>
      <c r="D449" s="28" t="s">
        <v>1071</v>
      </c>
      <c r="E449" s="13">
        <v>461</v>
      </c>
      <c r="F449" s="113">
        <f>E449/13080*100</f>
        <v>3.5244648318042811</v>
      </c>
      <c r="G449" s="13"/>
      <c r="H449" s="113"/>
    </row>
    <row r="450" spans="1:8" s="5" customFormat="1" ht="11.25" customHeight="1" x14ac:dyDescent="0.2">
      <c r="C450" s="5" t="s">
        <v>2689</v>
      </c>
      <c r="D450" s="28" t="s">
        <v>655</v>
      </c>
      <c r="E450" s="13">
        <v>1133</v>
      </c>
      <c r="F450" s="113">
        <f>E450/13080*100</f>
        <v>8.6620795107033626</v>
      </c>
      <c r="G450" s="13"/>
      <c r="H450" s="113"/>
    </row>
    <row r="451" spans="1:8" s="5" customFormat="1" ht="11.25" customHeight="1" x14ac:dyDescent="0.2">
      <c r="C451" s="5" t="s">
        <v>2690</v>
      </c>
      <c r="D451" s="28" t="s">
        <v>489</v>
      </c>
      <c r="E451" s="13">
        <v>2349</v>
      </c>
      <c r="F451" s="113">
        <f>E451/13080*100</f>
        <v>17.958715596330276</v>
      </c>
      <c r="G451" s="13"/>
      <c r="H451" s="113"/>
    </row>
    <row r="452" spans="1:8" s="5" customFormat="1" ht="11.25" customHeight="1" x14ac:dyDescent="0.2">
      <c r="C452" s="14" t="s">
        <v>2691</v>
      </c>
      <c r="D452" s="28" t="s">
        <v>1736</v>
      </c>
      <c r="E452" s="13">
        <v>6923</v>
      </c>
      <c r="F452" s="113">
        <f>E452/13080*100</f>
        <v>52.928134556574925</v>
      </c>
      <c r="G452" s="13"/>
      <c r="H452" s="113"/>
    </row>
    <row r="453" spans="1:8" s="5" customFormat="1" ht="11.25" customHeight="1" x14ac:dyDescent="0.2">
      <c r="C453" s="5" t="s">
        <v>2692</v>
      </c>
      <c r="D453" s="28" t="s">
        <v>1072</v>
      </c>
      <c r="E453" s="13">
        <v>2214</v>
      </c>
      <c r="F453" s="113">
        <f>E453/13080*100</f>
        <v>16.926605504587155</v>
      </c>
      <c r="G453" s="13"/>
      <c r="H453" s="113"/>
    </row>
    <row r="454" spans="1:8" s="5" customFormat="1" ht="11.25" customHeight="1" x14ac:dyDescent="0.2">
      <c r="D454" s="28"/>
      <c r="E454" s="162" t="s">
        <v>2693</v>
      </c>
      <c r="F454" s="165">
        <f>SUM(F449:F453)</f>
        <v>100</v>
      </c>
      <c r="G454" s="162">
        <v>26373</v>
      </c>
      <c r="H454" s="165">
        <v>49.8</v>
      </c>
    </row>
    <row r="455" spans="1:8" s="5" customFormat="1" ht="11.25" customHeight="1" x14ac:dyDescent="0.2">
      <c r="D455" s="28"/>
      <c r="E455" s="13"/>
      <c r="F455" s="113"/>
      <c r="G455" s="13"/>
      <c r="H455" s="113"/>
    </row>
    <row r="456" spans="1:8" s="5" customFormat="1" ht="11.25" customHeight="1" x14ac:dyDescent="0.2">
      <c r="A456" s="5" t="s">
        <v>2053</v>
      </c>
      <c r="C456" s="5" t="s">
        <v>1932</v>
      </c>
      <c r="D456" s="28" t="s">
        <v>1072</v>
      </c>
      <c r="E456" s="13">
        <v>3426</v>
      </c>
      <c r="F456" s="113">
        <f t="shared" ref="F456:F461" si="23">E456/12914*100</f>
        <v>26.529347994424658</v>
      </c>
      <c r="G456" s="13"/>
      <c r="H456" s="113"/>
    </row>
    <row r="457" spans="1:8" s="5" customFormat="1" ht="11.25" customHeight="1" x14ac:dyDescent="0.2">
      <c r="C457" s="5" t="s">
        <v>2694</v>
      </c>
      <c r="D457" s="28" t="s">
        <v>489</v>
      </c>
      <c r="E457" s="13">
        <v>1140</v>
      </c>
      <c r="F457" s="113">
        <f t="shared" si="23"/>
        <v>8.8276289298435806</v>
      </c>
      <c r="G457" s="13"/>
      <c r="H457" s="113"/>
    </row>
    <row r="458" spans="1:8" s="5" customFormat="1" ht="11.25" customHeight="1" x14ac:dyDescent="0.2">
      <c r="C458" s="5" t="s">
        <v>2547</v>
      </c>
      <c r="D458" s="28" t="s">
        <v>2696</v>
      </c>
      <c r="E458" s="13">
        <v>382</v>
      </c>
      <c r="F458" s="113">
        <f t="shared" si="23"/>
        <v>2.9580300449124981</v>
      </c>
      <c r="G458" s="13"/>
      <c r="H458" s="113"/>
    </row>
    <row r="459" spans="1:8" s="5" customFormat="1" ht="11.25" customHeight="1" x14ac:dyDescent="0.2">
      <c r="C459" s="5" t="s">
        <v>2662</v>
      </c>
      <c r="D459" s="28" t="s">
        <v>655</v>
      </c>
      <c r="E459" s="13">
        <v>902</v>
      </c>
      <c r="F459" s="113">
        <f t="shared" si="23"/>
        <v>6.9846678023850082</v>
      </c>
      <c r="G459" s="13"/>
      <c r="H459" s="113"/>
    </row>
    <row r="460" spans="1:8" s="5" customFormat="1" ht="11.25" customHeight="1" x14ac:dyDescent="0.2">
      <c r="C460" s="5" t="s">
        <v>1067</v>
      </c>
      <c r="D460" s="28" t="s">
        <v>1071</v>
      </c>
      <c r="E460" s="13">
        <v>250</v>
      </c>
      <c r="F460" s="113">
        <f t="shared" si="23"/>
        <v>1.9358835372463992</v>
      </c>
      <c r="G460" s="13"/>
      <c r="H460" s="113"/>
    </row>
    <row r="461" spans="1:8" s="5" customFormat="1" ht="11.25" customHeight="1" x14ac:dyDescent="0.2">
      <c r="C461" s="14" t="s">
        <v>2695</v>
      </c>
      <c r="D461" s="28" t="s">
        <v>1736</v>
      </c>
      <c r="E461" s="13">
        <v>6814</v>
      </c>
      <c r="F461" s="113">
        <f t="shared" si="23"/>
        <v>52.764441691187855</v>
      </c>
      <c r="G461" s="13"/>
      <c r="H461" s="113"/>
    </row>
    <row r="462" spans="1:8" s="5" customFormat="1" ht="11.25" customHeight="1" x14ac:dyDescent="0.2">
      <c r="D462" s="28"/>
      <c r="E462" s="162" t="s">
        <v>2697</v>
      </c>
      <c r="F462" s="165">
        <f>SUM(F456:F461)</f>
        <v>100</v>
      </c>
      <c r="G462" s="162">
        <v>27025</v>
      </c>
      <c r="H462" s="165">
        <v>47.9</v>
      </c>
    </row>
    <row r="463" spans="1:8" s="5" customFormat="1" ht="11.25" customHeight="1" x14ac:dyDescent="0.2">
      <c r="D463" s="28"/>
      <c r="E463" s="13"/>
      <c r="F463" s="113"/>
      <c r="G463" s="13"/>
      <c r="H463" s="113"/>
    </row>
    <row r="464" spans="1:8" s="53" customFormat="1" ht="11.25" customHeight="1" x14ac:dyDescent="0.2">
      <c r="A464" s="1" t="s">
        <v>2350</v>
      </c>
      <c r="B464"/>
      <c r="C464" s="53" t="s">
        <v>2351</v>
      </c>
      <c r="D464" s="28" t="s">
        <v>655</v>
      </c>
      <c r="E464" s="13">
        <v>354</v>
      </c>
      <c r="F464" s="113">
        <f>E464/6010*100</f>
        <v>5.8901830282861898</v>
      </c>
      <c r="G464" s="13"/>
      <c r="H464" s="113"/>
    </row>
    <row r="465" spans="1:8" s="53" customFormat="1" ht="11.25" customHeight="1" x14ac:dyDescent="0.2">
      <c r="A465" s="1"/>
      <c r="B465"/>
      <c r="C465" s="55" t="s">
        <v>2352</v>
      </c>
      <c r="D465" s="28" t="s">
        <v>1736</v>
      </c>
      <c r="E465" s="13">
        <v>3903</v>
      </c>
      <c r="F465" s="113">
        <f>E465/6010*100</f>
        <v>64.941763727121455</v>
      </c>
      <c r="G465" s="13"/>
      <c r="H465" s="113"/>
    </row>
    <row r="466" spans="1:8" s="53" customFormat="1" ht="11.25" customHeight="1" x14ac:dyDescent="0.2">
      <c r="A466" s="1"/>
      <c r="B466"/>
      <c r="C466" s="53" t="s">
        <v>2244</v>
      </c>
      <c r="D466" s="28" t="s">
        <v>1314</v>
      </c>
      <c r="E466" s="13">
        <v>254</v>
      </c>
      <c r="F466" s="113">
        <f>E466/6010*100</f>
        <v>4.2262895174708817</v>
      </c>
      <c r="G466" s="13"/>
      <c r="H466" s="113"/>
    </row>
    <row r="467" spans="1:8" s="53" customFormat="1" ht="11.25" customHeight="1" x14ac:dyDescent="0.2">
      <c r="A467"/>
      <c r="B467"/>
      <c r="C467" s="53" t="s">
        <v>2698</v>
      </c>
      <c r="D467" s="53" t="s">
        <v>1072</v>
      </c>
      <c r="E467" s="13">
        <v>530</v>
      </c>
      <c r="F467" s="113">
        <f>E467/6010*100</f>
        <v>8.8186356073211325</v>
      </c>
      <c r="G467" s="13"/>
      <c r="H467" s="113"/>
    </row>
    <row r="468" spans="1:8" s="53" customFormat="1" ht="11.25" customHeight="1" x14ac:dyDescent="0.2">
      <c r="A468"/>
      <c r="B468"/>
      <c r="C468" s="53" t="s">
        <v>2699</v>
      </c>
      <c r="D468" s="28" t="s">
        <v>489</v>
      </c>
      <c r="E468" s="13">
        <v>969</v>
      </c>
      <c r="F468" s="113">
        <f>E468/6010*100</f>
        <v>16.123128119800334</v>
      </c>
      <c r="G468" s="13"/>
      <c r="H468" s="113"/>
    </row>
    <row r="469" spans="1:8" s="53" customFormat="1" ht="11.25" customHeight="1" x14ac:dyDescent="0.2">
      <c r="D469" s="28"/>
      <c r="E469" s="162" t="s">
        <v>2700</v>
      </c>
      <c r="F469" s="165">
        <f>SUM(F464:F468)</f>
        <v>100</v>
      </c>
      <c r="G469" s="162">
        <v>19259</v>
      </c>
      <c r="H469" s="165">
        <v>31.4</v>
      </c>
    </row>
    <row r="470" spans="1:8" s="53" customFormat="1" ht="11.25" customHeight="1" x14ac:dyDescent="0.2">
      <c r="D470" s="28"/>
      <c r="E470" s="13"/>
      <c r="F470" s="113"/>
      <c r="G470" s="13"/>
      <c r="H470" s="113"/>
    </row>
    <row r="471" spans="1:8" s="5" customFormat="1" ht="11.25" customHeight="1" x14ac:dyDescent="0.2">
      <c r="A471" s="5" t="s">
        <v>1935</v>
      </c>
      <c r="C471" s="5" t="s">
        <v>2701</v>
      </c>
      <c r="D471" s="28" t="s">
        <v>1736</v>
      </c>
      <c r="E471" s="13">
        <v>4703</v>
      </c>
      <c r="F471" s="113">
        <f t="shared" ref="F471:F476" si="24">E471/12731*100</f>
        <v>36.941324326447258</v>
      </c>
      <c r="G471" s="13"/>
      <c r="H471" s="113"/>
    </row>
    <row r="472" spans="1:8" s="5" customFormat="1" ht="11.25" customHeight="1" x14ac:dyDescent="0.2">
      <c r="C472" s="5" t="s">
        <v>2702</v>
      </c>
      <c r="D472" s="28" t="s">
        <v>1314</v>
      </c>
      <c r="E472" s="13">
        <v>360</v>
      </c>
      <c r="F472" s="113">
        <f t="shared" si="24"/>
        <v>2.8277433037467601</v>
      </c>
      <c r="G472" s="13"/>
      <c r="H472" s="113"/>
    </row>
    <row r="473" spans="1:8" s="5" customFormat="1" ht="11.25" customHeight="1" x14ac:dyDescent="0.2">
      <c r="C473" s="5" t="s">
        <v>3177</v>
      </c>
      <c r="D473" s="28" t="s">
        <v>655</v>
      </c>
      <c r="E473" s="13">
        <v>606</v>
      </c>
      <c r="F473" s="113">
        <f t="shared" si="24"/>
        <v>4.7600345613070454</v>
      </c>
      <c r="G473" s="13"/>
      <c r="H473" s="113"/>
    </row>
    <row r="474" spans="1:8" s="5" customFormat="1" ht="11.25" customHeight="1" x14ac:dyDescent="0.2">
      <c r="C474" s="14" t="s">
        <v>2703</v>
      </c>
      <c r="D474" s="28" t="s">
        <v>1072</v>
      </c>
      <c r="E474" s="13">
        <v>5338</v>
      </c>
      <c r="F474" s="113">
        <f t="shared" si="24"/>
        <v>41.929149320556128</v>
      </c>
      <c r="G474" s="13"/>
      <c r="H474" s="113"/>
    </row>
    <row r="475" spans="1:8" s="5" customFormat="1" ht="11.25" customHeight="1" x14ac:dyDescent="0.2">
      <c r="C475" s="5" t="s">
        <v>1181</v>
      </c>
      <c r="D475" s="28" t="s">
        <v>1071</v>
      </c>
      <c r="E475" s="13">
        <v>252</v>
      </c>
      <c r="F475" s="113">
        <f t="shared" si="24"/>
        <v>1.9794203126227321</v>
      </c>
      <c r="G475" s="13"/>
      <c r="H475" s="113"/>
    </row>
    <row r="476" spans="1:8" s="5" customFormat="1" ht="11.25" customHeight="1" x14ac:dyDescent="0.2">
      <c r="C476" s="5" t="s">
        <v>3183</v>
      </c>
      <c r="D476" s="28" t="s">
        <v>489</v>
      </c>
      <c r="E476" s="13">
        <v>1472</v>
      </c>
      <c r="F476" s="113">
        <f t="shared" si="24"/>
        <v>11.562328175320085</v>
      </c>
      <c r="G476" s="13"/>
      <c r="H476" s="113"/>
    </row>
    <row r="477" spans="1:8" s="5" customFormat="1" ht="11.25" customHeight="1" x14ac:dyDescent="0.2">
      <c r="D477" s="28"/>
      <c r="E477" s="162" t="s">
        <v>2704</v>
      </c>
      <c r="F477" s="165">
        <f>SUM(F471:F476)</f>
        <v>100.00000000000001</v>
      </c>
      <c r="G477" s="162">
        <v>26430</v>
      </c>
      <c r="H477" s="165">
        <v>48.4</v>
      </c>
    </row>
    <row r="478" spans="1:8" s="5" customFormat="1" ht="11.25" customHeight="1" x14ac:dyDescent="0.2">
      <c r="D478" s="28"/>
      <c r="E478" s="13"/>
      <c r="F478" s="113"/>
      <c r="G478" s="13"/>
      <c r="H478" s="113"/>
    </row>
    <row r="479" spans="1:8" s="5" customFormat="1" ht="11.25" customHeight="1" x14ac:dyDescent="0.2">
      <c r="A479" s="5" t="s">
        <v>3180</v>
      </c>
      <c r="C479" s="5" t="s">
        <v>2705</v>
      </c>
      <c r="D479" s="5" t="s">
        <v>1072</v>
      </c>
      <c r="E479" s="13">
        <v>3629</v>
      </c>
      <c r="F479" s="113">
        <f t="shared" ref="F479:F484" si="25">E479/11070*100</f>
        <v>32.782294489611566</v>
      </c>
      <c r="G479" s="13"/>
      <c r="H479" s="113"/>
    </row>
    <row r="480" spans="1:8" s="5" customFormat="1" ht="11.25" customHeight="1" x14ac:dyDescent="0.2">
      <c r="C480" s="14" t="s">
        <v>3181</v>
      </c>
      <c r="D480" s="28" t="s">
        <v>1736</v>
      </c>
      <c r="E480" s="13">
        <v>4411</v>
      </c>
      <c r="F480" s="113">
        <f t="shared" si="25"/>
        <v>39.846431797651313</v>
      </c>
      <c r="G480" s="13"/>
      <c r="H480" s="113"/>
    </row>
    <row r="481" spans="1:8" s="5" customFormat="1" ht="11.25" customHeight="1" x14ac:dyDescent="0.2">
      <c r="C481" s="5" t="s">
        <v>3182</v>
      </c>
      <c r="D481" s="28" t="s">
        <v>655</v>
      </c>
      <c r="E481" s="13">
        <v>1357</v>
      </c>
      <c r="F481" s="113">
        <f t="shared" si="25"/>
        <v>12.258355916892501</v>
      </c>
      <c r="G481" s="13"/>
      <c r="H481" s="113"/>
    </row>
    <row r="482" spans="1:8" s="5" customFormat="1" ht="11.25" customHeight="1" x14ac:dyDescent="0.2">
      <c r="C482" s="5" t="s">
        <v>2706</v>
      </c>
      <c r="D482" s="5" t="s">
        <v>1071</v>
      </c>
      <c r="E482" s="13">
        <v>375</v>
      </c>
      <c r="F482" s="113">
        <f t="shared" si="25"/>
        <v>3.3875338753387529</v>
      </c>
      <c r="G482" s="13"/>
      <c r="H482" s="113"/>
    </row>
    <row r="483" spans="1:8" s="5" customFormat="1" ht="11.25" customHeight="1" x14ac:dyDescent="0.2">
      <c r="C483" s="5" t="s">
        <v>2707</v>
      </c>
      <c r="D483" s="28" t="s">
        <v>1314</v>
      </c>
      <c r="E483" s="13">
        <v>385</v>
      </c>
      <c r="F483" s="113">
        <f t="shared" si="25"/>
        <v>3.4778681120144532</v>
      </c>
      <c r="G483" s="13"/>
      <c r="H483" s="113"/>
    </row>
    <row r="484" spans="1:8" s="5" customFormat="1" ht="11.25" customHeight="1" x14ac:dyDescent="0.2">
      <c r="C484" s="5" t="s">
        <v>2708</v>
      </c>
      <c r="D484" s="28" t="s">
        <v>489</v>
      </c>
      <c r="E484" s="13">
        <v>913</v>
      </c>
      <c r="F484" s="113">
        <f t="shared" si="25"/>
        <v>8.2475158084914177</v>
      </c>
      <c r="G484" s="13"/>
      <c r="H484" s="113"/>
    </row>
    <row r="485" spans="1:8" s="5" customFormat="1" ht="11.25" customHeight="1" x14ac:dyDescent="0.2">
      <c r="D485" s="28"/>
      <c r="E485" s="162" t="s">
        <v>2709</v>
      </c>
      <c r="F485" s="165">
        <f>SUM(F479:F484)</f>
        <v>99.999999999999986</v>
      </c>
      <c r="G485" s="162">
        <v>24471</v>
      </c>
      <c r="H485" s="165">
        <v>45.5</v>
      </c>
    </row>
    <row r="486" spans="1:8" s="5" customFormat="1" ht="11.25" customHeight="1" x14ac:dyDescent="0.2">
      <c r="D486" s="28"/>
      <c r="E486" s="13"/>
      <c r="F486" s="113"/>
      <c r="G486" s="13"/>
      <c r="H486" s="113"/>
    </row>
    <row r="487" spans="1:8" s="5" customFormat="1" ht="11.25" customHeight="1" x14ac:dyDescent="0.2">
      <c r="A487" s="5" t="s">
        <v>3185</v>
      </c>
      <c r="C487" s="5" t="s">
        <v>2710</v>
      </c>
      <c r="D487" s="28" t="s">
        <v>1071</v>
      </c>
      <c r="E487" s="13">
        <v>554</v>
      </c>
      <c r="F487" s="113">
        <f t="shared" ref="F487:F492" si="26">E487/9032*100</f>
        <v>6.1337466784765278</v>
      </c>
      <c r="G487" s="13"/>
      <c r="H487" s="113"/>
    </row>
    <row r="488" spans="1:8" s="5" customFormat="1" ht="11.25" customHeight="1" x14ac:dyDescent="0.2">
      <c r="C488" s="5" t="s">
        <v>3188</v>
      </c>
      <c r="D488" s="28" t="s">
        <v>1072</v>
      </c>
      <c r="E488" s="13">
        <v>1961</v>
      </c>
      <c r="F488" s="113">
        <f t="shared" si="26"/>
        <v>21.71169176262179</v>
      </c>
      <c r="G488" s="13"/>
      <c r="H488" s="113"/>
    </row>
    <row r="489" spans="1:8" s="5" customFormat="1" ht="11.25" customHeight="1" x14ac:dyDescent="0.2">
      <c r="C489" s="5" t="s">
        <v>867</v>
      </c>
      <c r="D489" s="28" t="s">
        <v>655</v>
      </c>
      <c r="E489" s="13">
        <v>328</v>
      </c>
      <c r="F489" s="113">
        <f t="shared" si="26"/>
        <v>3.6315323294951281</v>
      </c>
      <c r="G489" s="13"/>
      <c r="H489" s="113"/>
    </row>
    <row r="490" spans="1:8" s="5" customFormat="1" ht="11.25" customHeight="1" x14ac:dyDescent="0.2">
      <c r="C490" s="14" t="s">
        <v>3189</v>
      </c>
      <c r="D490" s="28" t="s">
        <v>1736</v>
      </c>
      <c r="E490" s="13">
        <v>4899</v>
      </c>
      <c r="F490" s="113">
        <f t="shared" si="26"/>
        <v>54.24047829937998</v>
      </c>
      <c r="G490" s="13"/>
      <c r="H490" s="113"/>
    </row>
    <row r="491" spans="1:8" s="5" customFormat="1" ht="11.25" customHeight="1" x14ac:dyDescent="0.2">
      <c r="C491" s="5" t="s">
        <v>2711</v>
      </c>
      <c r="D491" s="28" t="s">
        <v>489</v>
      </c>
      <c r="E491" s="13">
        <v>857</v>
      </c>
      <c r="F491" s="113">
        <f t="shared" si="26"/>
        <v>9.4884853852967233</v>
      </c>
      <c r="G491" s="13"/>
      <c r="H491" s="113"/>
    </row>
    <row r="492" spans="1:8" s="5" customFormat="1" ht="11.25" customHeight="1" x14ac:dyDescent="0.2">
      <c r="C492" s="5" t="s">
        <v>2712</v>
      </c>
      <c r="D492" s="28" t="s">
        <v>2102</v>
      </c>
      <c r="E492" s="13">
        <v>433</v>
      </c>
      <c r="F492" s="113">
        <f t="shared" si="26"/>
        <v>4.7940655447298495</v>
      </c>
      <c r="G492" s="13"/>
      <c r="H492" s="113"/>
    </row>
    <row r="493" spans="1:8" s="5" customFormat="1" ht="11.25" customHeight="1" x14ac:dyDescent="0.2">
      <c r="D493" s="28"/>
      <c r="E493" s="162" t="s">
        <v>2713</v>
      </c>
      <c r="F493" s="165">
        <f>SUM(F487:F492)</f>
        <v>100</v>
      </c>
      <c r="G493" s="162">
        <v>19835</v>
      </c>
      <c r="H493" s="165">
        <v>45.8</v>
      </c>
    </row>
    <row r="494" spans="1:8" s="5" customFormat="1" ht="11.25" customHeight="1" x14ac:dyDescent="0.2">
      <c r="D494" s="28"/>
      <c r="E494" s="13"/>
      <c r="F494" s="113"/>
      <c r="G494" s="13"/>
      <c r="H494" s="113"/>
    </row>
    <row r="495" spans="1:8" s="5" customFormat="1" ht="11.25" customHeight="1" x14ac:dyDescent="0.2">
      <c r="A495" s="5" t="s">
        <v>3190</v>
      </c>
      <c r="C495" s="14" t="s">
        <v>3191</v>
      </c>
      <c r="D495" s="28" t="s">
        <v>1736</v>
      </c>
      <c r="E495" s="13">
        <v>5097</v>
      </c>
      <c r="F495" s="113">
        <f t="shared" ref="F495:F500" si="27">E495/9991*100</f>
        <v>51.015914322890602</v>
      </c>
      <c r="G495" s="13"/>
      <c r="H495" s="113"/>
    </row>
    <row r="496" spans="1:8" s="5" customFormat="1" ht="11.25" customHeight="1" x14ac:dyDescent="0.2">
      <c r="C496" s="5" t="s">
        <v>2714</v>
      </c>
      <c r="D496" s="28" t="s">
        <v>489</v>
      </c>
      <c r="E496" s="13">
        <v>1492</v>
      </c>
      <c r="F496" s="113">
        <f t="shared" si="27"/>
        <v>14.933440096086478</v>
      </c>
      <c r="G496" s="13"/>
      <c r="H496" s="113"/>
    </row>
    <row r="497" spans="1:8" s="5" customFormat="1" ht="11.25" customHeight="1" x14ac:dyDescent="0.2">
      <c r="C497" s="5" t="s">
        <v>2715</v>
      </c>
      <c r="D497" s="28" t="s">
        <v>655</v>
      </c>
      <c r="E497" s="13">
        <v>628</v>
      </c>
      <c r="F497" s="113">
        <f t="shared" si="27"/>
        <v>6.2856570913822436</v>
      </c>
      <c r="G497" s="13"/>
      <c r="H497" s="113"/>
    </row>
    <row r="498" spans="1:8" s="5" customFormat="1" ht="11.25" customHeight="1" x14ac:dyDescent="0.2">
      <c r="C498" s="5" t="s">
        <v>2716</v>
      </c>
      <c r="D498" s="28" t="s">
        <v>2102</v>
      </c>
      <c r="E498" s="13">
        <v>339</v>
      </c>
      <c r="F498" s="113">
        <f t="shared" si="27"/>
        <v>3.3930537483735361</v>
      </c>
      <c r="G498" s="13"/>
      <c r="H498" s="113"/>
    </row>
    <row r="499" spans="1:8" s="5" customFormat="1" ht="11.25" customHeight="1" x14ac:dyDescent="0.2">
      <c r="C499" s="5" t="s">
        <v>2717</v>
      </c>
      <c r="D499" s="28" t="s">
        <v>1314</v>
      </c>
      <c r="E499" s="13">
        <v>391</v>
      </c>
      <c r="F499" s="113">
        <f t="shared" si="27"/>
        <v>3.9135221699529579</v>
      </c>
      <c r="G499" s="13"/>
      <c r="H499" s="113"/>
    </row>
    <row r="500" spans="1:8" s="5" customFormat="1" ht="11.25" customHeight="1" x14ac:dyDescent="0.2">
      <c r="C500" s="5" t="s">
        <v>2718</v>
      </c>
      <c r="D500" s="28" t="s">
        <v>1072</v>
      </c>
      <c r="E500" s="13">
        <v>2044</v>
      </c>
      <c r="F500" s="113">
        <f t="shared" si="27"/>
        <v>20.458412571314184</v>
      </c>
      <c r="G500" s="13"/>
      <c r="H500" s="113"/>
    </row>
    <row r="501" spans="1:8" s="5" customFormat="1" ht="11.25" customHeight="1" x14ac:dyDescent="0.2">
      <c r="D501" s="28"/>
      <c r="E501" s="162" t="s">
        <v>2719</v>
      </c>
      <c r="F501" s="165">
        <f>SUM(F495:F500)</f>
        <v>100</v>
      </c>
      <c r="G501" s="162">
        <v>22361</v>
      </c>
      <c r="H501" s="165">
        <v>44.9</v>
      </c>
    </row>
    <row r="502" spans="1:8" s="5" customFormat="1" ht="11.25" customHeight="1" x14ac:dyDescent="0.2">
      <c r="D502" s="28"/>
      <c r="E502" s="13"/>
      <c r="F502" s="113"/>
      <c r="G502" s="13"/>
      <c r="H502" s="113"/>
    </row>
    <row r="503" spans="1:8" s="5" customFormat="1" ht="11.25" customHeight="1" x14ac:dyDescent="0.2">
      <c r="A503" s="5" t="s">
        <v>3195</v>
      </c>
      <c r="C503" s="5" t="s">
        <v>2720</v>
      </c>
      <c r="D503" s="28" t="s">
        <v>655</v>
      </c>
      <c r="E503" s="13">
        <v>547</v>
      </c>
      <c r="F503" s="113">
        <f>E503/10529*100</f>
        <v>5.195175230316269</v>
      </c>
      <c r="G503" s="13"/>
      <c r="H503" s="113"/>
    </row>
    <row r="504" spans="1:8" s="5" customFormat="1" ht="11.25" customHeight="1" x14ac:dyDescent="0.2">
      <c r="C504" s="5" t="s">
        <v>3196</v>
      </c>
      <c r="D504" s="28" t="s">
        <v>1072</v>
      </c>
      <c r="E504" s="13">
        <v>3419</v>
      </c>
      <c r="F504" s="113">
        <f>E504/10529*100</f>
        <v>32.472219584006076</v>
      </c>
      <c r="G504" s="13"/>
      <c r="H504" s="113"/>
    </row>
    <row r="505" spans="1:8" s="5" customFormat="1" ht="11.25" customHeight="1" x14ac:dyDescent="0.2">
      <c r="C505" s="5" t="s">
        <v>2721</v>
      </c>
      <c r="D505" s="28" t="s">
        <v>489</v>
      </c>
      <c r="E505" s="13">
        <v>1060</v>
      </c>
      <c r="F505" s="113">
        <f>E505/10529*100</f>
        <v>10.067432804634818</v>
      </c>
      <c r="G505" s="13"/>
      <c r="H505" s="113"/>
    </row>
    <row r="506" spans="1:8" s="5" customFormat="1" ht="11.25" customHeight="1" x14ac:dyDescent="0.2">
      <c r="C506" s="5" t="s">
        <v>2722</v>
      </c>
      <c r="D506" s="28" t="s">
        <v>1071</v>
      </c>
      <c r="E506" s="13">
        <v>242</v>
      </c>
      <c r="F506" s="113">
        <f>E506/10529*100</f>
        <v>2.2984139044543639</v>
      </c>
      <c r="G506" s="13"/>
      <c r="H506" s="113"/>
    </row>
    <row r="507" spans="1:8" s="5" customFormat="1" ht="11.25" customHeight="1" x14ac:dyDescent="0.2">
      <c r="C507" s="14" t="s">
        <v>409</v>
      </c>
      <c r="D507" s="28" t="s">
        <v>1736</v>
      </c>
      <c r="E507" s="13">
        <v>5261</v>
      </c>
      <c r="F507" s="113">
        <f>E507/10529*100</f>
        <v>49.966758476588467</v>
      </c>
      <c r="G507" s="13"/>
      <c r="H507" s="113"/>
    </row>
    <row r="508" spans="1:8" s="5" customFormat="1" ht="11.25" customHeight="1" x14ac:dyDescent="0.2">
      <c r="D508" s="28"/>
      <c r="E508" s="162" t="s">
        <v>2723</v>
      </c>
      <c r="F508" s="165">
        <f>SUM(F503:F507)</f>
        <v>100</v>
      </c>
      <c r="G508" s="162">
        <v>25746</v>
      </c>
      <c r="H508" s="165">
        <v>41.2</v>
      </c>
    </row>
    <row r="509" spans="1:8" s="5" customFormat="1" ht="11.25" customHeight="1" x14ac:dyDescent="0.2">
      <c r="D509" s="28"/>
      <c r="E509" s="13"/>
      <c r="F509" s="113"/>
      <c r="G509" s="13"/>
      <c r="H509" s="113"/>
    </row>
    <row r="510" spans="1:8" s="5" customFormat="1" ht="11.25" customHeight="1" x14ac:dyDescent="0.2">
      <c r="A510" s="5" t="s">
        <v>410</v>
      </c>
      <c r="C510" s="5" t="s">
        <v>2724</v>
      </c>
      <c r="D510" s="28" t="s">
        <v>655</v>
      </c>
      <c r="E510" s="13">
        <v>257</v>
      </c>
      <c r="F510" s="113">
        <f>E510/12251*100</f>
        <v>2.0977879356787201</v>
      </c>
      <c r="G510" s="13"/>
      <c r="H510" s="113"/>
    </row>
    <row r="511" spans="1:8" s="5" customFormat="1" ht="11.25" customHeight="1" x14ac:dyDescent="0.2">
      <c r="C511" s="5" t="s">
        <v>2725</v>
      </c>
      <c r="D511" s="5" t="s">
        <v>1314</v>
      </c>
      <c r="E511" s="13">
        <v>469</v>
      </c>
      <c r="F511" s="113">
        <f t="shared" ref="F511:F516" si="28">E511/12251*100</f>
        <v>3.8282589176393769</v>
      </c>
      <c r="G511" s="13"/>
      <c r="H511" s="113"/>
    </row>
    <row r="512" spans="1:8" s="5" customFormat="1" ht="11.25" customHeight="1" x14ac:dyDescent="0.2">
      <c r="C512" s="5" t="s">
        <v>2726</v>
      </c>
      <c r="D512" s="28" t="s">
        <v>1071</v>
      </c>
      <c r="E512" s="13">
        <v>143</v>
      </c>
      <c r="F512" s="113">
        <f t="shared" si="28"/>
        <v>1.1672516529262917</v>
      </c>
      <c r="G512" s="13"/>
      <c r="H512" s="113"/>
    </row>
    <row r="513" spans="1:8" s="5" customFormat="1" ht="11.25" customHeight="1" x14ac:dyDescent="0.2">
      <c r="C513" s="14" t="s">
        <v>412</v>
      </c>
      <c r="D513" s="28" t="s">
        <v>1736</v>
      </c>
      <c r="E513" s="13">
        <v>7277</v>
      </c>
      <c r="F513" s="113">
        <f t="shared" si="28"/>
        <v>59.399232715696684</v>
      </c>
      <c r="G513" s="13"/>
      <c r="H513" s="113"/>
    </row>
    <row r="514" spans="1:8" s="5" customFormat="1" ht="11.25" customHeight="1" x14ac:dyDescent="0.2">
      <c r="C514" s="5" t="s">
        <v>2727</v>
      </c>
      <c r="D514" s="28" t="s">
        <v>489</v>
      </c>
      <c r="E514" s="13">
        <v>2023</v>
      </c>
      <c r="F514" s="113">
        <f t="shared" si="28"/>
        <v>16.512937719369848</v>
      </c>
      <c r="G514" s="13"/>
      <c r="H514" s="113"/>
    </row>
    <row r="515" spans="1:8" s="5" customFormat="1" ht="11.25" customHeight="1" x14ac:dyDescent="0.2">
      <c r="C515" s="5" t="s">
        <v>2728</v>
      </c>
      <c r="D515" s="28" t="s">
        <v>2102</v>
      </c>
      <c r="E515" s="13">
        <v>746</v>
      </c>
      <c r="F515" s="113">
        <f t="shared" si="28"/>
        <v>6.089298832748347</v>
      </c>
      <c r="G515" s="13"/>
      <c r="H515" s="113"/>
    </row>
    <row r="516" spans="1:8" s="5" customFormat="1" ht="11.25" customHeight="1" x14ac:dyDescent="0.2">
      <c r="C516" s="5" t="s">
        <v>2729</v>
      </c>
      <c r="D516" s="28" t="s">
        <v>1072</v>
      </c>
      <c r="E516" s="13">
        <v>1336</v>
      </c>
      <c r="F516" s="113">
        <f t="shared" si="28"/>
        <v>10.90523222594074</v>
      </c>
      <c r="G516" s="13"/>
      <c r="H516" s="113"/>
    </row>
    <row r="517" spans="1:8" s="5" customFormat="1" ht="11.25" customHeight="1" x14ac:dyDescent="0.2">
      <c r="D517" s="28"/>
      <c r="E517" s="162" t="s">
        <v>2730</v>
      </c>
      <c r="F517" s="165">
        <f>SUM(F510:F516)</f>
        <v>100</v>
      </c>
      <c r="G517" s="162">
        <v>21718</v>
      </c>
      <c r="H517" s="165">
        <v>56.6</v>
      </c>
    </row>
    <row r="518" spans="1:8" s="5" customFormat="1" ht="11.25" customHeight="1" x14ac:dyDescent="0.2">
      <c r="D518" s="28"/>
      <c r="E518" s="13"/>
      <c r="F518" s="113"/>
      <c r="G518" s="13"/>
      <c r="H518" s="113"/>
    </row>
    <row r="519" spans="1:8" s="5" customFormat="1" ht="11.25" customHeight="1" x14ac:dyDescent="0.2">
      <c r="A519" s="5" t="s">
        <v>415</v>
      </c>
      <c r="C519" s="5" t="s">
        <v>2731</v>
      </c>
      <c r="D519" s="28" t="s">
        <v>1072</v>
      </c>
      <c r="E519" s="13">
        <v>1092</v>
      </c>
      <c r="F519" s="113">
        <f>E519/5253*100</f>
        <v>20.788121073672187</v>
      </c>
      <c r="G519" s="13"/>
      <c r="H519" s="113"/>
    </row>
    <row r="520" spans="1:8" s="5" customFormat="1" ht="11.25" customHeight="1" x14ac:dyDescent="0.2">
      <c r="C520" s="5" t="s">
        <v>2732</v>
      </c>
      <c r="D520" s="28" t="s">
        <v>489</v>
      </c>
      <c r="E520" s="13">
        <v>537</v>
      </c>
      <c r="F520" s="113">
        <f>E520/5253*100</f>
        <v>10.222729868646487</v>
      </c>
      <c r="G520" s="13"/>
      <c r="H520" s="113"/>
    </row>
    <row r="521" spans="1:8" s="5" customFormat="1" ht="11.25" customHeight="1" x14ac:dyDescent="0.2">
      <c r="C521" s="5" t="s">
        <v>926</v>
      </c>
      <c r="D521" s="28" t="s">
        <v>655</v>
      </c>
      <c r="E521" s="13">
        <v>546</v>
      </c>
      <c r="F521" s="113">
        <f>E521/5253*100</f>
        <v>10.394060536836093</v>
      </c>
      <c r="G521" s="13"/>
      <c r="H521" s="113"/>
    </row>
    <row r="522" spans="1:8" s="5" customFormat="1" ht="11.25" customHeight="1" x14ac:dyDescent="0.2">
      <c r="C522" s="5" t="s">
        <v>2733</v>
      </c>
      <c r="D522" s="28" t="s">
        <v>1071</v>
      </c>
      <c r="E522" s="13">
        <v>194</v>
      </c>
      <c r="F522" s="113">
        <f>E522/5253*100</f>
        <v>3.6931277365315061</v>
      </c>
      <c r="G522" s="13"/>
      <c r="H522" s="113"/>
    </row>
    <row r="523" spans="1:8" s="5" customFormat="1" ht="11.25" customHeight="1" x14ac:dyDescent="0.2">
      <c r="C523" s="14" t="s">
        <v>2734</v>
      </c>
      <c r="D523" s="28" t="s">
        <v>1736</v>
      </c>
      <c r="E523" s="13">
        <v>2884</v>
      </c>
      <c r="F523" s="113">
        <f>E523/5253*100</f>
        <v>54.901960784313729</v>
      </c>
      <c r="G523" s="13"/>
      <c r="H523" s="113"/>
    </row>
    <row r="524" spans="1:8" s="5" customFormat="1" ht="11.25" customHeight="1" x14ac:dyDescent="0.2">
      <c r="D524" s="28"/>
      <c r="E524" s="162" t="s">
        <v>2735</v>
      </c>
      <c r="F524" s="165">
        <f>SUM(F519:F523)</f>
        <v>100</v>
      </c>
      <c r="G524" s="162">
        <v>17142</v>
      </c>
      <c r="H524" s="165">
        <v>30.7</v>
      </c>
    </row>
    <row r="525" spans="1:8" s="5" customFormat="1" ht="11.25" customHeight="1" x14ac:dyDescent="0.2">
      <c r="D525" s="28"/>
      <c r="E525" s="13"/>
      <c r="F525" s="113"/>
      <c r="G525" s="13"/>
      <c r="H525" s="113"/>
    </row>
    <row r="526" spans="1:8" s="5" customFormat="1" ht="11.25" customHeight="1" x14ac:dyDescent="0.2">
      <c r="A526" s="5" t="s">
        <v>425</v>
      </c>
      <c r="C526" s="5" t="s">
        <v>2736</v>
      </c>
      <c r="D526" s="28" t="s">
        <v>655</v>
      </c>
      <c r="E526" s="13">
        <v>432</v>
      </c>
      <c r="F526" s="113">
        <f>E526/8713*100</f>
        <v>4.9581085733960748</v>
      </c>
      <c r="G526" s="13"/>
      <c r="H526" s="113"/>
    </row>
    <row r="527" spans="1:8" s="5" customFormat="1" ht="11.25" customHeight="1" x14ac:dyDescent="0.2">
      <c r="C527" s="5" t="s">
        <v>2737</v>
      </c>
      <c r="D527" s="28" t="s">
        <v>1314</v>
      </c>
      <c r="E527" s="13">
        <v>244</v>
      </c>
      <c r="F527" s="113">
        <f>E527/8713*100</f>
        <v>2.8004131757144499</v>
      </c>
      <c r="G527" s="13"/>
      <c r="H527" s="113"/>
    </row>
    <row r="528" spans="1:8" s="5" customFormat="1" ht="11.25" customHeight="1" x14ac:dyDescent="0.2">
      <c r="C528" s="14" t="s">
        <v>428</v>
      </c>
      <c r="D528" s="28" t="s">
        <v>1736</v>
      </c>
      <c r="E528" s="13">
        <v>3733</v>
      </c>
      <c r="F528" s="113">
        <f>E528/8713*100</f>
        <v>42.844026167795249</v>
      </c>
      <c r="G528" s="13"/>
      <c r="H528" s="113"/>
    </row>
    <row r="529" spans="1:8" s="5" customFormat="1" ht="11.25" customHeight="1" x14ac:dyDescent="0.2">
      <c r="C529" s="5" t="s">
        <v>429</v>
      </c>
      <c r="D529" s="28" t="s">
        <v>1072</v>
      </c>
      <c r="E529" s="13">
        <v>2647</v>
      </c>
      <c r="F529" s="113">
        <f>E529/8713*100</f>
        <v>30.379892115230117</v>
      </c>
      <c r="G529" s="13"/>
      <c r="H529" s="113"/>
    </row>
    <row r="530" spans="1:8" s="5" customFormat="1" ht="11.25" customHeight="1" x14ac:dyDescent="0.2">
      <c r="C530" s="5" t="s">
        <v>2738</v>
      </c>
      <c r="D530" s="28" t="s">
        <v>489</v>
      </c>
      <c r="E530" s="13">
        <v>1657</v>
      </c>
      <c r="F530" s="113">
        <f>E530/8713*100</f>
        <v>19.017559967864113</v>
      </c>
      <c r="G530" s="13"/>
      <c r="H530" s="113"/>
    </row>
    <row r="531" spans="1:8" s="5" customFormat="1" ht="11.25" customHeight="1" x14ac:dyDescent="0.2">
      <c r="D531" s="28"/>
      <c r="E531" s="162" t="s">
        <v>2739</v>
      </c>
      <c r="F531" s="165">
        <f>SUM(F526:F530)</f>
        <v>100.00000000000001</v>
      </c>
      <c r="G531" s="162">
        <v>22419</v>
      </c>
      <c r="H531" s="165">
        <v>39.1</v>
      </c>
    </row>
    <row r="532" spans="1:8" s="5" customFormat="1" ht="11.25" customHeight="1" x14ac:dyDescent="0.2">
      <c r="D532" s="28"/>
      <c r="E532" s="13"/>
      <c r="F532" s="113"/>
      <c r="G532" s="13"/>
      <c r="H532" s="113"/>
    </row>
    <row r="533" spans="1:8" s="5" customFormat="1" ht="11.25" customHeight="1" x14ac:dyDescent="0.2">
      <c r="A533" s="5" t="s">
        <v>430</v>
      </c>
      <c r="C533" s="5" t="s">
        <v>426</v>
      </c>
      <c r="D533" s="28" t="s">
        <v>489</v>
      </c>
      <c r="E533" s="13">
        <v>1418</v>
      </c>
      <c r="F533" s="113">
        <f>E533/11964*100</f>
        <v>11.852223336676698</v>
      </c>
      <c r="G533" s="13"/>
      <c r="H533" s="113"/>
    </row>
    <row r="534" spans="1:8" s="5" customFormat="1" ht="11.25" customHeight="1" x14ac:dyDescent="0.2">
      <c r="C534" s="14" t="s">
        <v>433</v>
      </c>
      <c r="D534" s="28" t="s">
        <v>1736</v>
      </c>
      <c r="E534" s="13">
        <v>5373</v>
      </c>
      <c r="F534" s="113">
        <f>E534/11964*100</f>
        <v>44.909729187562689</v>
      </c>
      <c r="G534" s="13"/>
      <c r="H534" s="113"/>
    </row>
    <row r="535" spans="1:8" s="5" customFormat="1" ht="11.25" customHeight="1" x14ac:dyDescent="0.2">
      <c r="C535" s="5" t="s">
        <v>2740</v>
      </c>
      <c r="D535" s="28" t="s">
        <v>1072</v>
      </c>
      <c r="E535" s="13">
        <v>4077</v>
      </c>
      <c r="F535" s="113">
        <f>E535/11964*100</f>
        <v>34.07723169508526</v>
      </c>
      <c r="G535" s="13"/>
      <c r="H535" s="113"/>
    </row>
    <row r="536" spans="1:8" s="5" customFormat="1" ht="11.25" customHeight="1" x14ac:dyDescent="0.2">
      <c r="C536" s="5" t="s">
        <v>2741</v>
      </c>
      <c r="D536" s="28" t="s">
        <v>2102</v>
      </c>
      <c r="E536" s="13">
        <v>261</v>
      </c>
      <c r="F536" s="113">
        <f>E536/11964*100</f>
        <v>2.1815446339017051</v>
      </c>
      <c r="G536" s="13"/>
      <c r="H536" s="113"/>
    </row>
    <row r="537" spans="1:8" s="5" customFormat="1" ht="11.25" customHeight="1" x14ac:dyDescent="0.2">
      <c r="C537" s="5" t="s">
        <v>2742</v>
      </c>
      <c r="D537" s="28" t="s">
        <v>655</v>
      </c>
      <c r="E537" s="13">
        <v>835</v>
      </c>
      <c r="F537" s="113">
        <f>E537/11964*100</f>
        <v>6.9792711467736535</v>
      </c>
      <c r="G537" s="13"/>
      <c r="H537" s="113"/>
    </row>
    <row r="538" spans="1:8" s="5" customFormat="1" ht="11.25" customHeight="1" x14ac:dyDescent="0.2">
      <c r="D538" s="28"/>
      <c r="E538" s="162" t="s">
        <v>2743</v>
      </c>
      <c r="F538" s="165">
        <f>SUM(F533:F537)</f>
        <v>100.00000000000001</v>
      </c>
      <c r="G538" s="162">
        <v>27486</v>
      </c>
      <c r="H538" s="165">
        <v>43.7</v>
      </c>
    </row>
    <row r="539" spans="1:8" s="5" customFormat="1" ht="11.25" customHeight="1" x14ac:dyDescent="0.2">
      <c r="D539" s="28"/>
      <c r="E539" s="13"/>
      <c r="F539" s="113"/>
      <c r="G539" s="13"/>
      <c r="H539" s="113"/>
    </row>
    <row r="540" spans="1:8" s="5" customFormat="1" ht="11.25" customHeight="1" x14ac:dyDescent="0.2">
      <c r="A540" s="5" t="s">
        <v>441</v>
      </c>
      <c r="C540" s="5" t="s">
        <v>442</v>
      </c>
      <c r="D540" s="28" t="s">
        <v>1071</v>
      </c>
      <c r="E540" s="13">
        <v>1265</v>
      </c>
      <c r="F540" s="113">
        <f>E540/10249*100</f>
        <v>12.342667577324617</v>
      </c>
      <c r="G540" s="13"/>
      <c r="H540" s="113"/>
    </row>
    <row r="541" spans="1:8" s="5" customFormat="1" ht="11.25" customHeight="1" x14ac:dyDescent="0.2">
      <c r="C541" s="5" t="s">
        <v>2744</v>
      </c>
      <c r="D541" s="28" t="s">
        <v>2102</v>
      </c>
      <c r="E541" s="13">
        <v>503</v>
      </c>
      <c r="F541" s="113">
        <f t="shared" ref="F541:F546" si="29">E541/10249*100</f>
        <v>4.9077958825251251</v>
      </c>
      <c r="G541" s="13"/>
      <c r="H541" s="113"/>
    </row>
    <row r="542" spans="1:8" s="5" customFormat="1" ht="11.25" customHeight="1" x14ac:dyDescent="0.2">
      <c r="C542" s="5" t="s">
        <v>2745</v>
      </c>
      <c r="D542" s="28" t="s">
        <v>1314</v>
      </c>
      <c r="E542" s="13">
        <v>335</v>
      </c>
      <c r="F542" s="113">
        <f t="shared" si="29"/>
        <v>3.2686115718606699</v>
      </c>
      <c r="G542" s="13"/>
      <c r="H542" s="113"/>
    </row>
    <row r="543" spans="1:8" s="5" customFormat="1" ht="11.25" customHeight="1" x14ac:dyDescent="0.2">
      <c r="C543" s="5" t="s">
        <v>2746</v>
      </c>
      <c r="D543" s="28" t="s">
        <v>655</v>
      </c>
      <c r="E543" s="13">
        <v>300</v>
      </c>
      <c r="F543" s="113">
        <f t="shared" si="29"/>
        <v>2.9271148404722411</v>
      </c>
      <c r="G543" s="13"/>
      <c r="H543" s="113"/>
    </row>
    <row r="544" spans="1:8" s="5" customFormat="1" ht="11.25" customHeight="1" x14ac:dyDescent="0.2">
      <c r="C544" s="14" t="s">
        <v>444</v>
      </c>
      <c r="D544" s="28" t="s">
        <v>1736</v>
      </c>
      <c r="E544" s="13">
        <v>5773</v>
      </c>
      <c r="F544" s="113">
        <f t="shared" si="29"/>
        <v>56.32744658015416</v>
      </c>
      <c r="G544" s="13"/>
      <c r="H544" s="113"/>
    </row>
    <row r="545" spans="1:8" s="5" customFormat="1" ht="11.25" customHeight="1" x14ac:dyDescent="0.2">
      <c r="C545" s="5" t="s">
        <v>2747</v>
      </c>
      <c r="D545" s="28" t="s">
        <v>1072</v>
      </c>
      <c r="E545" s="13">
        <v>1266</v>
      </c>
      <c r="F545" s="113">
        <f t="shared" si="29"/>
        <v>12.352424626792857</v>
      </c>
      <c r="G545" s="13"/>
      <c r="H545" s="113"/>
    </row>
    <row r="546" spans="1:8" s="5" customFormat="1" ht="11.25" customHeight="1" x14ac:dyDescent="0.2">
      <c r="C546" s="5" t="s">
        <v>2748</v>
      </c>
      <c r="D546" s="28" t="s">
        <v>489</v>
      </c>
      <c r="E546" s="13">
        <v>807</v>
      </c>
      <c r="F546" s="113">
        <f t="shared" si="29"/>
        <v>7.8739389208703283</v>
      </c>
      <c r="G546" s="13"/>
      <c r="H546" s="113"/>
    </row>
    <row r="547" spans="1:8" s="5" customFormat="1" ht="11.25" customHeight="1" x14ac:dyDescent="0.2">
      <c r="D547" s="28"/>
      <c r="E547" s="162" t="s">
        <v>2749</v>
      </c>
      <c r="F547" s="165">
        <f>SUM(F540:F546)</f>
        <v>100</v>
      </c>
      <c r="G547" s="162">
        <v>21587</v>
      </c>
      <c r="H547" s="165">
        <v>47.7</v>
      </c>
    </row>
    <row r="548" spans="1:8" s="5" customFormat="1" ht="11.25" customHeight="1" x14ac:dyDescent="0.2">
      <c r="D548" s="28"/>
      <c r="E548" s="13"/>
      <c r="F548" s="113"/>
      <c r="G548" s="13"/>
      <c r="H548" s="113"/>
    </row>
    <row r="549" spans="1:8" s="5" customFormat="1" ht="11.25" customHeight="1" x14ac:dyDescent="0.2">
      <c r="A549" s="5" t="s">
        <v>446</v>
      </c>
      <c r="C549" s="5" t="s">
        <v>2750</v>
      </c>
      <c r="D549" s="28" t="s">
        <v>1314</v>
      </c>
      <c r="E549" s="13">
        <v>407</v>
      </c>
      <c r="F549" s="113">
        <f>E549/15188*100</f>
        <v>2.6797471688174874</v>
      </c>
      <c r="G549" s="13"/>
      <c r="H549" s="113"/>
    </row>
    <row r="550" spans="1:8" s="5" customFormat="1" ht="11.25" customHeight="1" x14ac:dyDescent="0.2">
      <c r="C550" s="14" t="s">
        <v>2751</v>
      </c>
      <c r="D550" s="28" t="s">
        <v>1072</v>
      </c>
      <c r="E550" s="13">
        <v>6476</v>
      </c>
      <c r="F550" s="113">
        <f>E550/15188*100</f>
        <v>42.638925467474323</v>
      </c>
      <c r="G550" s="13"/>
      <c r="H550" s="113"/>
    </row>
    <row r="551" spans="1:8" s="5" customFormat="1" ht="11.25" customHeight="1" x14ac:dyDescent="0.2">
      <c r="C551" s="5" t="s">
        <v>2663</v>
      </c>
      <c r="D551" s="28" t="s">
        <v>489</v>
      </c>
      <c r="E551" s="13">
        <v>591</v>
      </c>
      <c r="F551" s="113">
        <f>E551/15188*100</f>
        <v>3.891229918356597</v>
      </c>
      <c r="G551" s="13"/>
      <c r="H551" s="113"/>
    </row>
    <row r="552" spans="1:8" s="5" customFormat="1" ht="11.25" customHeight="1" x14ac:dyDescent="0.2">
      <c r="C552" s="5" t="s">
        <v>904</v>
      </c>
      <c r="D552" s="28" t="s">
        <v>1736</v>
      </c>
      <c r="E552" s="13">
        <v>6062</v>
      </c>
      <c r="F552" s="113">
        <f>E552/15188*100</f>
        <v>39.913089281011324</v>
      </c>
      <c r="G552" s="13"/>
      <c r="H552" s="113"/>
    </row>
    <row r="553" spans="1:8" s="5" customFormat="1" ht="11.25" customHeight="1" x14ac:dyDescent="0.2">
      <c r="C553" s="5" t="s">
        <v>2752</v>
      </c>
      <c r="D553" s="28" t="s">
        <v>655</v>
      </c>
      <c r="E553" s="13">
        <v>1652</v>
      </c>
      <c r="F553" s="113">
        <f>E553/15188*100</f>
        <v>10.877008164340268</v>
      </c>
      <c r="G553" s="13"/>
      <c r="H553" s="113"/>
    </row>
    <row r="554" spans="1:8" s="5" customFormat="1" ht="11.25" customHeight="1" x14ac:dyDescent="0.2">
      <c r="D554" s="28"/>
      <c r="E554" s="162" t="s">
        <v>2753</v>
      </c>
      <c r="F554" s="165">
        <f>SUM(F549:F553)</f>
        <v>100</v>
      </c>
      <c r="G554" s="162">
        <v>28872</v>
      </c>
      <c r="H554" s="165">
        <v>52.7</v>
      </c>
    </row>
    <row r="555" spans="1:8" s="5" customFormat="1" ht="11.25" customHeight="1" x14ac:dyDescent="0.2">
      <c r="D555" s="28"/>
      <c r="E555" s="13"/>
      <c r="F555" s="113"/>
      <c r="G555" s="13"/>
      <c r="H555" s="113"/>
    </row>
    <row r="556" spans="1:8" s="5" customFormat="1" ht="11.25" customHeight="1" x14ac:dyDescent="0.2">
      <c r="A556" s="5" t="s">
        <v>905</v>
      </c>
      <c r="C556" s="5" t="s">
        <v>2754</v>
      </c>
      <c r="D556" s="5" t="s">
        <v>1071</v>
      </c>
      <c r="E556" s="13">
        <v>474</v>
      </c>
      <c r="F556" s="113">
        <f t="shared" ref="F556:F561" si="30">E556/15144*100</f>
        <v>3.1299524564183834</v>
      </c>
      <c r="G556" s="13"/>
      <c r="H556" s="113"/>
    </row>
    <row r="557" spans="1:8" s="5" customFormat="1" ht="11.25" customHeight="1" x14ac:dyDescent="0.2">
      <c r="C557" s="14" t="s">
        <v>906</v>
      </c>
      <c r="D557" s="28" t="s">
        <v>1736</v>
      </c>
      <c r="E557" s="13">
        <v>7281</v>
      </c>
      <c r="F557" s="113">
        <f t="shared" si="30"/>
        <v>48.078446909667193</v>
      </c>
      <c r="G557" s="13"/>
      <c r="H557" s="113"/>
    </row>
    <row r="558" spans="1:8" s="5" customFormat="1" ht="11.25" customHeight="1" x14ac:dyDescent="0.2">
      <c r="C558" s="5" t="s">
        <v>2755</v>
      </c>
      <c r="D558" s="28" t="s">
        <v>489</v>
      </c>
      <c r="E558" s="13">
        <v>444</v>
      </c>
      <c r="F558" s="113">
        <f t="shared" si="30"/>
        <v>2.9318541996830429</v>
      </c>
      <c r="G558" s="13"/>
      <c r="H558" s="113"/>
    </row>
    <row r="559" spans="1:8" s="5" customFormat="1" ht="11.25" customHeight="1" x14ac:dyDescent="0.2">
      <c r="C559" s="5" t="s">
        <v>2756</v>
      </c>
      <c r="D559" s="28" t="s">
        <v>1314</v>
      </c>
      <c r="E559" s="13">
        <v>362</v>
      </c>
      <c r="F559" s="113">
        <f t="shared" si="30"/>
        <v>2.3903856312731113</v>
      </c>
      <c r="G559" s="13"/>
      <c r="H559" s="113"/>
    </row>
    <row r="560" spans="1:8" s="5" customFormat="1" ht="11.25" customHeight="1" x14ac:dyDescent="0.2">
      <c r="C560" s="5" t="s">
        <v>2541</v>
      </c>
      <c r="D560" s="28" t="s">
        <v>1072</v>
      </c>
      <c r="E560" s="13">
        <v>5587</v>
      </c>
      <c r="F560" s="113">
        <f t="shared" si="30"/>
        <v>36.892498679344953</v>
      </c>
      <c r="G560" s="13"/>
      <c r="H560" s="113"/>
    </row>
    <row r="561" spans="1:8" s="5" customFormat="1" ht="11.25" customHeight="1" x14ac:dyDescent="0.2">
      <c r="C561" s="5" t="s">
        <v>2757</v>
      </c>
      <c r="D561" s="28" t="s">
        <v>655</v>
      </c>
      <c r="E561" s="13">
        <v>996</v>
      </c>
      <c r="F561" s="113">
        <f t="shared" si="30"/>
        <v>6.5768621236133127</v>
      </c>
      <c r="G561" s="13"/>
      <c r="H561" s="113"/>
    </row>
    <row r="562" spans="1:8" s="5" customFormat="1" ht="11.25" customHeight="1" x14ac:dyDescent="0.2">
      <c r="D562" s="28"/>
      <c r="E562" s="162" t="s">
        <v>2758</v>
      </c>
      <c r="F562" s="165">
        <f>SUM(F556:F561)</f>
        <v>99.999999999999986</v>
      </c>
      <c r="G562" s="162">
        <v>26501</v>
      </c>
      <c r="H562" s="165">
        <v>57.2</v>
      </c>
    </row>
    <row r="563" spans="1:8" s="5" customFormat="1" ht="11.25" customHeight="1" x14ac:dyDescent="0.2">
      <c r="D563" s="28"/>
      <c r="E563" s="13"/>
      <c r="F563" s="113"/>
      <c r="G563" s="13"/>
      <c r="H563" s="113"/>
    </row>
    <row r="564" spans="1:8" s="5" customFormat="1" ht="11.25" customHeight="1" x14ac:dyDescent="0.2">
      <c r="A564" s="5" t="s">
        <v>1290</v>
      </c>
      <c r="C564" s="5" t="s">
        <v>2542</v>
      </c>
      <c r="D564" s="28" t="s">
        <v>655</v>
      </c>
      <c r="E564" s="13">
        <v>1020</v>
      </c>
      <c r="F564" s="113">
        <f>E564/13610*100</f>
        <v>7.4944893460690665</v>
      </c>
      <c r="G564" s="13"/>
      <c r="H564" s="113"/>
    </row>
    <row r="565" spans="1:8" s="5" customFormat="1" ht="11.25" customHeight="1" x14ac:dyDescent="0.2">
      <c r="A565" s="123" t="s">
        <v>446</v>
      </c>
      <c r="C565" s="5" t="s">
        <v>2760</v>
      </c>
      <c r="D565" s="5" t="s">
        <v>1071</v>
      </c>
      <c r="E565" s="13">
        <v>170</v>
      </c>
      <c r="F565" s="113">
        <f>E565/13610*100</f>
        <v>1.2490815576781777</v>
      </c>
      <c r="G565" s="13"/>
      <c r="H565" s="113"/>
    </row>
    <row r="566" spans="1:8" s="5" customFormat="1" ht="11.25" customHeight="1" x14ac:dyDescent="0.2">
      <c r="A566" s="123"/>
      <c r="C566" s="5" t="s">
        <v>2759</v>
      </c>
      <c r="D566" s="28" t="s">
        <v>1072</v>
      </c>
      <c r="E566" s="13">
        <v>5540</v>
      </c>
      <c r="F566" s="113">
        <f>E566/13610*100</f>
        <v>40.705363703159442</v>
      </c>
      <c r="G566" s="13"/>
      <c r="H566" s="113"/>
    </row>
    <row r="567" spans="1:8" s="5" customFormat="1" ht="11.25" customHeight="1" x14ac:dyDescent="0.2">
      <c r="A567" s="123"/>
      <c r="C567" s="5" t="s">
        <v>680</v>
      </c>
      <c r="D567" s="28" t="s">
        <v>489</v>
      </c>
      <c r="E567" s="13">
        <v>741</v>
      </c>
      <c r="F567" s="113">
        <f>E567/13610*100</f>
        <v>5.4445260837619402</v>
      </c>
      <c r="G567" s="13"/>
      <c r="H567" s="113"/>
    </row>
    <row r="568" spans="1:8" s="5" customFormat="1" ht="11.25" customHeight="1" x14ac:dyDescent="0.2">
      <c r="C568" s="14" t="s">
        <v>2543</v>
      </c>
      <c r="D568" s="28" t="s">
        <v>1736</v>
      </c>
      <c r="E568" s="13">
        <v>6139</v>
      </c>
      <c r="F568" s="113">
        <f>E568/13610*100</f>
        <v>45.106539309331374</v>
      </c>
      <c r="G568" s="13"/>
      <c r="H568" s="113"/>
    </row>
    <row r="569" spans="1:8" s="5" customFormat="1" ht="11.25" customHeight="1" x14ac:dyDescent="0.2">
      <c r="D569" s="28"/>
      <c r="E569" s="162" t="s">
        <v>2761</v>
      </c>
      <c r="F569" s="165">
        <f>SUM(F564:F568)</f>
        <v>100</v>
      </c>
      <c r="G569" s="162">
        <v>27709</v>
      </c>
      <c r="H569" s="165">
        <v>49.3</v>
      </c>
    </row>
    <row r="570" spans="1:8" s="5" customFormat="1" ht="11.25" customHeight="1" x14ac:dyDescent="0.2">
      <c r="D570" s="28"/>
      <c r="E570" s="13"/>
      <c r="F570" s="113"/>
      <c r="G570" s="13"/>
      <c r="H570" s="113"/>
    </row>
    <row r="571" spans="1:8" s="5" customFormat="1" ht="11.25" customHeight="1" x14ac:dyDescent="0.2">
      <c r="A571" s="5" t="s">
        <v>2545</v>
      </c>
      <c r="C571" s="5" t="s">
        <v>2762</v>
      </c>
      <c r="D571" s="28" t="s">
        <v>489</v>
      </c>
      <c r="E571" s="13">
        <v>1904</v>
      </c>
      <c r="F571" s="113">
        <f>E571/12538*100</f>
        <v>15.185835061413302</v>
      </c>
      <c r="G571" s="13"/>
      <c r="H571" s="113"/>
    </row>
    <row r="572" spans="1:8" s="5" customFormat="1" ht="11.25" customHeight="1" x14ac:dyDescent="0.2">
      <c r="C572" s="5" t="s">
        <v>2763</v>
      </c>
      <c r="D572" s="28" t="s">
        <v>1072</v>
      </c>
      <c r="E572" s="13">
        <v>3381</v>
      </c>
      <c r="F572" s="113">
        <f>E572/12538*100</f>
        <v>26.96602328920083</v>
      </c>
      <c r="G572" s="13"/>
      <c r="H572" s="113"/>
    </row>
    <row r="573" spans="1:8" s="5" customFormat="1" ht="11.25" customHeight="1" x14ac:dyDescent="0.2">
      <c r="C573" s="14" t="s">
        <v>2764</v>
      </c>
      <c r="D573" s="28" t="s">
        <v>1736</v>
      </c>
      <c r="E573" s="13">
        <v>5581</v>
      </c>
      <c r="F573" s="113">
        <f>E573/12538*100</f>
        <v>44.512681448396876</v>
      </c>
      <c r="G573" s="13"/>
      <c r="H573" s="113"/>
    </row>
    <row r="574" spans="1:8" s="5" customFormat="1" ht="11.25" customHeight="1" x14ac:dyDescent="0.2">
      <c r="C574" s="5" t="s">
        <v>880</v>
      </c>
      <c r="D574" s="28" t="s">
        <v>1071</v>
      </c>
      <c r="E574" s="13">
        <v>310</v>
      </c>
      <c r="F574" s="113">
        <f>E574/12538*100</f>
        <v>2.472483649704897</v>
      </c>
      <c r="G574" s="13"/>
      <c r="H574" s="113"/>
    </row>
    <row r="575" spans="1:8" s="5" customFormat="1" ht="11.25" customHeight="1" x14ac:dyDescent="0.2">
      <c r="C575" s="5" t="s">
        <v>2765</v>
      </c>
      <c r="D575" s="28" t="s">
        <v>655</v>
      </c>
      <c r="E575" s="13">
        <v>1362</v>
      </c>
      <c r="F575" s="113">
        <f>E575/12538*100</f>
        <v>10.862976551284097</v>
      </c>
      <c r="G575" s="13"/>
      <c r="H575" s="113"/>
    </row>
    <row r="576" spans="1:8" s="5" customFormat="1" ht="11.25" customHeight="1" x14ac:dyDescent="0.2">
      <c r="D576" s="28"/>
      <c r="E576" s="162" t="s">
        <v>2766</v>
      </c>
      <c r="F576" s="165">
        <f>SUM(F571:F575)</f>
        <v>100</v>
      </c>
      <c r="G576" s="162">
        <v>26086</v>
      </c>
      <c r="H576" s="165">
        <v>48.2</v>
      </c>
    </row>
    <row r="577" spans="1:8" s="5" customFormat="1" ht="11.25" customHeight="1" x14ac:dyDescent="0.2">
      <c r="D577" s="28"/>
      <c r="E577" s="13"/>
      <c r="F577" s="113"/>
      <c r="G577" s="13"/>
      <c r="H577" s="113"/>
    </row>
    <row r="578" spans="1:8" s="5" customFormat="1" ht="11.25" customHeight="1" x14ac:dyDescent="0.2">
      <c r="A578" s="5" t="s">
        <v>2054</v>
      </c>
      <c r="C578" s="5" t="s">
        <v>2767</v>
      </c>
      <c r="D578" s="28" t="s">
        <v>655</v>
      </c>
      <c r="E578" s="13">
        <v>1145</v>
      </c>
      <c r="F578" s="113">
        <f>E578/13997*100</f>
        <v>8.1803243552189748</v>
      </c>
      <c r="G578" s="13"/>
      <c r="H578" s="113"/>
    </row>
    <row r="579" spans="1:8" s="5" customFormat="1" ht="11.25" customHeight="1" x14ac:dyDescent="0.2">
      <c r="C579" s="5" t="s">
        <v>2768</v>
      </c>
      <c r="D579" s="28" t="s">
        <v>1072</v>
      </c>
      <c r="E579" s="13">
        <v>4115</v>
      </c>
      <c r="F579" s="113">
        <f t="shared" ref="F579:F584" si="31">E579/13997*100</f>
        <v>29.399156962206185</v>
      </c>
      <c r="G579" s="13"/>
      <c r="H579" s="113"/>
    </row>
    <row r="580" spans="1:8" s="5" customFormat="1" ht="11.25" customHeight="1" x14ac:dyDescent="0.2">
      <c r="C580" s="14" t="s">
        <v>1333</v>
      </c>
      <c r="D580" s="28" t="s">
        <v>1736</v>
      </c>
      <c r="E580" s="13">
        <v>6871</v>
      </c>
      <c r="F580" s="113">
        <f t="shared" si="31"/>
        <v>49.089090519397018</v>
      </c>
      <c r="G580" s="13"/>
      <c r="H580" s="113"/>
    </row>
    <row r="581" spans="1:8" s="5" customFormat="1" ht="11.25" customHeight="1" x14ac:dyDescent="0.2">
      <c r="C581" s="5" t="s">
        <v>1271</v>
      </c>
      <c r="D581" s="28" t="s">
        <v>2102</v>
      </c>
      <c r="E581" s="13">
        <v>297</v>
      </c>
      <c r="F581" s="113">
        <f t="shared" si="31"/>
        <v>2.1218832606987212</v>
      </c>
      <c r="G581" s="13"/>
      <c r="H581" s="113"/>
    </row>
    <row r="582" spans="1:8" s="5" customFormat="1" ht="11.25" customHeight="1" x14ac:dyDescent="0.2">
      <c r="C582" s="5" t="s">
        <v>2769</v>
      </c>
      <c r="D582" s="28" t="s">
        <v>1071</v>
      </c>
      <c r="E582" s="13">
        <v>329</v>
      </c>
      <c r="F582" s="113">
        <f t="shared" si="31"/>
        <v>2.3505036793598628</v>
      </c>
      <c r="G582" s="13"/>
      <c r="H582" s="113"/>
    </row>
    <row r="583" spans="1:8" s="5" customFormat="1" ht="11.25" customHeight="1" x14ac:dyDescent="0.2">
      <c r="C583" s="5" t="s">
        <v>2770</v>
      </c>
      <c r="D583" s="28" t="s">
        <v>489</v>
      </c>
      <c r="E583" s="13">
        <v>467</v>
      </c>
      <c r="F583" s="113">
        <f t="shared" si="31"/>
        <v>3.3364292348360367</v>
      </c>
      <c r="G583" s="13"/>
      <c r="H583" s="113"/>
    </row>
    <row r="584" spans="1:8" s="5" customFormat="1" ht="11.25" customHeight="1" x14ac:dyDescent="0.2">
      <c r="C584" s="5" t="s">
        <v>2771</v>
      </c>
      <c r="D584" s="28" t="s">
        <v>2103</v>
      </c>
      <c r="E584" s="13">
        <v>773</v>
      </c>
      <c r="F584" s="113">
        <f t="shared" si="31"/>
        <v>5.5226119882832032</v>
      </c>
      <c r="G584" s="13"/>
      <c r="H584" s="113"/>
    </row>
    <row r="585" spans="1:8" s="5" customFormat="1" ht="11.25" customHeight="1" x14ac:dyDescent="0.2">
      <c r="D585" s="28"/>
      <c r="E585" s="162" t="s">
        <v>2772</v>
      </c>
      <c r="F585" s="165">
        <f>SUM(F578:F584)</f>
        <v>100</v>
      </c>
      <c r="G585" s="162">
        <v>27983</v>
      </c>
      <c r="H585" s="165">
        <v>50.3</v>
      </c>
    </row>
    <row r="586" spans="1:8" s="5" customFormat="1" ht="11.25" customHeight="1" x14ac:dyDescent="0.2">
      <c r="D586" s="28"/>
      <c r="E586" s="13"/>
      <c r="F586" s="113"/>
      <c r="G586" s="13"/>
      <c r="H586" s="113"/>
    </row>
    <row r="587" spans="1:8" s="29" customFormat="1" ht="11.25" customHeight="1" x14ac:dyDescent="0.2">
      <c r="A587" s="29" t="s">
        <v>2549</v>
      </c>
      <c r="C587" s="29" t="s">
        <v>1185</v>
      </c>
      <c r="D587" s="29" t="s">
        <v>1072</v>
      </c>
      <c r="E587" s="56">
        <v>1178</v>
      </c>
      <c r="F587" s="114">
        <f t="shared" ref="F587:F592" si="32">E587/9236*100</f>
        <v>12.754439151147684</v>
      </c>
      <c r="G587" s="56"/>
      <c r="H587" s="114"/>
    </row>
    <row r="588" spans="1:8" s="5" customFormat="1" ht="11.25" customHeight="1" x14ac:dyDescent="0.2">
      <c r="C588" s="5" t="s">
        <v>2773</v>
      </c>
      <c r="D588" s="5" t="s">
        <v>2102</v>
      </c>
      <c r="E588" s="13">
        <v>576</v>
      </c>
      <c r="F588" s="114">
        <f t="shared" si="32"/>
        <v>6.2364660025985268</v>
      </c>
      <c r="G588" s="13"/>
      <c r="H588" s="113"/>
    </row>
    <row r="589" spans="1:8" s="5" customFormat="1" ht="11.25" customHeight="1" x14ac:dyDescent="0.2">
      <c r="C589" s="29" t="s">
        <v>2550</v>
      </c>
      <c r="D589" s="50" t="s">
        <v>655</v>
      </c>
      <c r="E589" s="13">
        <v>416</v>
      </c>
      <c r="F589" s="114">
        <f t="shared" si="32"/>
        <v>4.5041143352100477</v>
      </c>
      <c r="G589" s="13"/>
      <c r="H589" s="113"/>
    </row>
    <row r="590" spans="1:8" s="5" customFormat="1" ht="11.25" customHeight="1" x14ac:dyDescent="0.2">
      <c r="C590" s="5" t="s">
        <v>2551</v>
      </c>
      <c r="D590" s="28" t="s">
        <v>1071</v>
      </c>
      <c r="E590" s="13">
        <v>319</v>
      </c>
      <c r="F590" s="114">
        <f t="shared" si="32"/>
        <v>3.4538761368557815</v>
      </c>
      <c r="G590" s="13"/>
      <c r="H590" s="113"/>
    </row>
    <row r="591" spans="1:8" s="5" customFormat="1" ht="11.25" customHeight="1" x14ac:dyDescent="0.2">
      <c r="C591" s="14" t="s">
        <v>2553</v>
      </c>
      <c r="D591" s="28" t="s">
        <v>1736</v>
      </c>
      <c r="E591" s="13">
        <v>5916</v>
      </c>
      <c r="F591" s="114">
        <f t="shared" si="32"/>
        <v>64.05370290168905</v>
      </c>
      <c r="G591" s="13"/>
      <c r="H591" s="113"/>
    </row>
    <row r="592" spans="1:8" s="5" customFormat="1" ht="11.25" customHeight="1" x14ac:dyDescent="0.2">
      <c r="C592" s="5" t="s">
        <v>2774</v>
      </c>
      <c r="D592" s="28" t="s">
        <v>489</v>
      </c>
      <c r="E592" s="13">
        <v>831</v>
      </c>
      <c r="F592" s="114">
        <f t="shared" si="32"/>
        <v>8.9974014724989164</v>
      </c>
      <c r="G592" s="13"/>
      <c r="H592" s="113"/>
    </row>
    <row r="593" spans="1:8" s="5" customFormat="1" ht="11.25" customHeight="1" x14ac:dyDescent="0.2">
      <c r="D593" s="28"/>
      <c r="E593" s="162" t="s">
        <v>2775</v>
      </c>
      <c r="F593" s="170">
        <f>SUM(F587:F592)</f>
        <v>100.00000000000001</v>
      </c>
      <c r="G593" s="162">
        <v>25686</v>
      </c>
      <c r="H593" s="165">
        <v>36.200000000000003</v>
      </c>
    </row>
    <row r="594" spans="1:8" s="5" customFormat="1" ht="11.25" customHeight="1" x14ac:dyDescent="0.2">
      <c r="D594" s="28"/>
      <c r="E594" s="13"/>
      <c r="F594" s="113"/>
      <c r="G594" s="13"/>
      <c r="H594" s="113"/>
    </row>
    <row r="595" spans="1:8" s="5" customFormat="1" ht="11.25" customHeight="1" x14ac:dyDescent="0.2">
      <c r="A595" s="5" t="s">
        <v>2559</v>
      </c>
      <c r="C595" s="5" t="s">
        <v>2777</v>
      </c>
      <c r="D595" s="28" t="s">
        <v>489</v>
      </c>
      <c r="E595" s="13">
        <v>2437</v>
      </c>
      <c r="F595" s="113">
        <f>E595/9162*100</f>
        <v>26.598995852433966</v>
      </c>
      <c r="G595" s="13"/>
      <c r="H595" s="113"/>
    </row>
    <row r="596" spans="1:8" s="5" customFormat="1" ht="11.25" customHeight="1" x14ac:dyDescent="0.2">
      <c r="C596" s="14" t="s">
        <v>2560</v>
      </c>
      <c r="D596" s="28" t="s">
        <v>1736</v>
      </c>
      <c r="E596" s="13">
        <v>5466</v>
      </c>
      <c r="F596" s="113">
        <f>E596/9162*100</f>
        <v>59.659462999345124</v>
      </c>
      <c r="G596" s="13"/>
      <c r="H596" s="113"/>
    </row>
    <row r="597" spans="1:8" s="5" customFormat="1" ht="11.25" customHeight="1" x14ac:dyDescent="0.2">
      <c r="C597" s="5" t="s">
        <v>2778</v>
      </c>
      <c r="D597" s="28" t="s">
        <v>655</v>
      </c>
      <c r="E597" s="13">
        <v>553</v>
      </c>
      <c r="F597" s="113">
        <f>E597/9162*100</f>
        <v>6.0358000436585897</v>
      </c>
      <c r="G597" s="13"/>
      <c r="H597" s="113"/>
    </row>
    <row r="598" spans="1:8" s="5" customFormat="1" ht="11.25" customHeight="1" x14ac:dyDescent="0.2">
      <c r="C598" s="5" t="s">
        <v>2776</v>
      </c>
      <c r="D598" s="28" t="s">
        <v>1072</v>
      </c>
      <c r="E598" s="13">
        <v>706</v>
      </c>
      <c r="F598" s="113">
        <f>E598/9162*100</f>
        <v>7.7057411045623221</v>
      </c>
      <c r="G598" s="13"/>
      <c r="H598" s="113"/>
    </row>
    <row r="599" spans="1:8" s="5" customFormat="1" ht="11.25" customHeight="1" x14ac:dyDescent="0.2">
      <c r="D599" s="28"/>
      <c r="E599" s="162" t="s">
        <v>2779</v>
      </c>
      <c r="F599" s="165">
        <f>SUM(F595:F598)</f>
        <v>100</v>
      </c>
      <c r="G599" s="162">
        <v>21796</v>
      </c>
      <c r="H599" s="165">
        <v>42.1</v>
      </c>
    </row>
    <row r="600" spans="1:8" s="5" customFormat="1" ht="11.25" customHeight="1" x14ac:dyDescent="0.2">
      <c r="D600" s="28"/>
      <c r="E600" s="13"/>
      <c r="F600" s="113"/>
      <c r="G600" s="13"/>
      <c r="H600" s="113"/>
    </row>
    <row r="601" spans="1:8" s="5" customFormat="1" ht="11.25" customHeight="1" x14ac:dyDescent="0.2">
      <c r="A601" s="5" t="s">
        <v>1534</v>
      </c>
      <c r="C601" s="5" t="s">
        <v>1549</v>
      </c>
      <c r="D601" s="28" t="s">
        <v>489</v>
      </c>
      <c r="E601" s="13">
        <v>675</v>
      </c>
      <c r="F601" s="113">
        <f>E601/8208*100</f>
        <v>8.2236842105263168</v>
      </c>
      <c r="G601" s="13"/>
      <c r="H601" s="113"/>
    </row>
    <row r="602" spans="1:8" s="5" customFormat="1" ht="11.25" customHeight="1" x14ac:dyDescent="0.2">
      <c r="C602" s="5" t="s">
        <v>2780</v>
      </c>
      <c r="D602" s="28" t="s">
        <v>1072</v>
      </c>
      <c r="E602" s="13">
        <v>1666</v>
      </c>
      <c r="F602" s="113">
        <f>E602/8208*100</f>
        <v>20.297270955165693</v>
      </c>
      <c r="G602" s="13"/>
      <c r="H602" s="113"/>
    </row>
    <row r="603" spans="1:8" s="5" customFormat="1" ht="11.25" customHeight="1" x14ac:dyDescent="0.2">
      <c r="C603" s="5" t="s">
        <v>2781</v>
      </c>
      <c r="D603" s="28" t="s">
        <v>655</v>
      </c>
      <c r="E603" s="13">
        <v>1771</v>
      </c>
      <c r="F603" s="113">
        <f>E603/8208*100</f>
        <v>21.576510721247562</v>
      </c>
      <c r="G603" s="13"/>
      <c r="H603" s="113"/>
    </row>
    <row r="604" spans="1:8" s="5" customFormat="1" ht="11.25" customHeight="1" x14ac:dyDescent="0.2">
      <c r="C604" s="5" t="s">
        <v>2782</v>
      </c>
      <c r="D604" s="28" t="s">
        <v>1314</v>
      </c>
      <c r="E604" s="13">
        <v>343</v>
      </c>
      <c r="F604" s="113">
        <f>E604/8208*100</f>
        <v>4.1788499025341128</v>
      </c>
      <c r="G604" s="13"/>
      <c r="H604" s="113"/>
    </row>
    <row r="605" spans="1:8" s="5" customFormat="1" ht="11.25" customHeight="1" x14ac:dyDescent="0.2">
      <c r="C605" s="14" t="s">
        <v>1062</v>
      </c>
      <c r="D605" s="28" t="s">
        <v>1736</v>
      </c>
      <c r="E605" s="13">
        <v>3753</v>
      </c>
      <c r="F605" s="113">
        <f>E605/8208*100</f>
        <v>45.723684210526315</v>
      </c>
      <c r="G605" s="13"/>
      <c r="H605" s="113"/>
    </row>
    <row r="606" spans="1:8" s="5" customFormat="1" ht="11.25" customHeight="1" x14ac:dyDescent="0.2">
      <c r="D606" s="28"/>
      <c r="E606" s="162" t="s">
        <v>2783</v>
      </c>
      <c r="F606" s="165">
        <f>SUM(F601:F605)</f>
        <v>100</v>
      </c>
      <c r="G606" s="162">
        <v>17706</v>
      </c>
      <c r="H606" s="165">
        <v>46.5</v>
      </c>
    </row>
    <row r="607" spans="1:8" s="5" customFormat="1" ht="11.25" customHeight="1" x14ac:dyDescent="0.2">
      <c r="D607" s="28"/>
      <c r="E607" s="13"/>
      <c r="F607" s="113"/>
      <c r="G607" s="13"/>
      <c r="H607" s="113"/>
    </row>
    <row r="608" spans="1:8" s="5" customFormat="1" ht="11.25" customHeight="1" x14ac:dyDescent="0.2">
      <c r="A608" s="5" t="s">
        <v>1538</v>
      </c>
      <c r="C608" s="5" t="s">
        <v>2784</v>
      </c>
      <c r="D608" s="5" t="s">
        <v>1072</v>
      </c>
      <c r="E608" s="13">
        <v>2713</v>
      </c>
      <c r="F608" s="113">
        <f>E608/11302*100</f>
        <v>24.004600955583083</v>
      </c>
      <c r="G608" s="13"/>
      <c r="H608" s="113"/>
    </row>
    <row r="609" spans="1:8" s="5" customFormat="1" ht="11.25" customHeight="1" x14ac:dyDescent="0.2">
      <c r="C609" s="14" t="s">
        <v>1539</v>
      </c>
      <c r="D609" s="28" t="s">
        <v>1736</v>
      </c>
      <c r="E609" s="13">
        <v>6177</v>
      </c>
      <c r="F609" s="113">
        <f>E609/11302*100</f>
        <v>54.654043532118216</v>
      </c>
      <c r="G609" s="13"/>
      <c r="H609" s="113"/>
    </row>
    <row r="610" spans="1:8" s="5" customFormat="1" ht="11.25" customHeight="1" x14ac:dyDescent="0.2">
      <c r="C610" s="5" t="s">
        <v>2785</v>
      </c>
      <c r="D610" s="28" t="s">
        <v>655</v>
      </c>
      <c r="E610" s="13">
        <v>909</v>
      </c>
      <c r="F610" s="113">
        <f>E610/11302*100</f>
        <v>8.042824278888693</v>
      </c>
      <c r="G610" s="13"/>
      <c r="H610" s="113"/>
    </row>
    <row r="611" spans="1:8" s="5" customFormat="1" ht="11.25" customHeight="1" x14ac:dyDescent="0.2">
      <c r="C611" s="5" t="s">
        <v>854</v>
      </c>
      <c r="D611" s="28" t="s">
        <v>489</v>
      </c>
      <c r="E611" s="13">
        <v>1194</v>
      </c>
      <c r="F611" s="113">
        <f>E611/11302*100</f>
        <v>10.564501858078216</v>
      </c>
      <c r="G611" s="13"/>
      <c r="H611" s="113"/>
    </row>
    <row r="612" spans="1:8" s="5" customFormat="1" ht="11.25" customHeight="1" x14ac:dyDescent="0.2">
      <c r="C612" s="5" t="s">
        <v>2786</v>
      </c>
      <c r="D612" s="28" t="s">
        <v>1071</v>
      </c>
      <c r="E612" s="13">
        <v>309</v>
      </c>
      <c r="F612" s="113">
        <f>E612/11302*100</f>
        <v>2.7340293753317995</v>
      </c>
      <c r="G612" s="13"/>
      <c r="H612" s="113"/>
    </row>
    <row r="613" spans="1:8" s="5" customFormat="1" ht="11.25" customHeight="1" x14ac:dyDescent="0.2">
      <c r="D613" s="28"/>
      <c r="E613" s="162" t="s">
        <v>2787</v>
      </c>
      <c r="F613" s="165">
        <f>SUM(F608:F612)</f>
        <v>100</v>
      </c>
      <c r="G613" s="162">
        <v>24198</v>
      </c>
      <c r="H613" s="165">
        <v>46.9</v>
      </c>
    </row>
    <row r="614" spans="1:8" s="5" customFormat="1" ht="11.25" customHeight="1" x14ac:dyDescent="0.2">
      <c r="D614" s="28"/>
      <c r="E614" s="13"/>
      <c r="F614" s="113"/>
      <c r="G614" s="13"/>
      <c r="H614" s="113"/>
    </row>
    <row r="615" spans="1:8" s="5" customFormat="1" ht="11.25" customHeight="1" x14ac:dyDescent="0.2">
      <c r="A615" s="5" t="s">
        <v>1543</v>
      </c>
      <c r="C615" s="5" t="s">
        <v>2788</v>
      </c>
      <c r="D615" s="28" t="s">
        <v>489</v>
      </c>
      <c r="E615" s="13">
        <v>2331</v>
      </c>
      <c r="F615" s="113">
        <f>E615/9619*100</f>
        <v>24.233288283605365</v>
      </c>
      <c r="G615" s="13"/>
      <c r="H615" s="113"/>
    </row>
    <row r="616" spans="1:8" s="5" customFormat="1" ht="11.25" customHeight="1" x14ac:dyDescent="0.2">
      <c r="C616" s="5" t="s">
        <v>2789</v>
      </c>
      <c r="D616" s="28" t="s">
        <v>1072</v>
      </c>
      <c r="E616" s="13">
        <v>1219</v>
      </c>
      <c r="F616" s="113">
        <f>E616/9619*100</f>
        <v>12.672835014034723</v>
      </c>
      <c r="G616" s="13"/>
      <c r="H616" s="113"/>
    </row>
    <row r="617" spans="1:8" s="5" customFormat="1" ht="11.25" customHeight="1" x14ac:dyDescent="0.2">
      <c r="C617" s="5" t="s">
        <v>2790</v>
      </c>
      <c r="D617" s="28" t="s">
        <v>655</v>
      </c>
      <c r="E617" s="13">
        <v>996</v>
      </c>
      <c r="F617" s="113">
        <f>E617/9619*100</f>
        <v>10.354506705478741</v>
      </c>
      <c r="G617" s="13"/>
      <c r="H617" s="113"/>
    </row>
    <row r="618" spans="1:8" s="5" customFormat="1" ht="11.25" customHeight="1" x14ac:dyDescent="0.2">
      <c r="C618" s="14" t="s">
        <v>1546</v>
      </c>
      <c r="D618" s="28" t="s">
        <v>1736</v>
      </c>
      <c r="E618" s="13">
        <v>5073</v>
      </c>
      <c r="F618" s="113">
        <f>E618/9619*100</f>
        <v>52.739369996881166</v>
      </c>
      <c r="G618" s="13"/>
      <c r="H618" s="113"/>
    </row>
    <row r="619" spans="1:8" s="5" customFormat="1" ht="11.25" customHeight="1" x14ac:dyDescent="0.2">
      <c r="D619" s="28"/>
      <c r="E619" s="162" t="s">
        <v>2791</v>
      </c>
      <c r="F619" s="165">
        <f>SUM(F615:F618)</f>
        <v>100</v>
      </c>
      <c r="G619" s="162">
        <v>20681</v>
      </c>
      <c r="H619" s="165">
        <v>46.8</v>
      </c>
    </row>
    <row r="620" spans="1:8" s="5" customFormat="1" ht="11.25" customHeight="1" x14ac:dyDescent="0.2">
      <c r="D620" s="28"/>
      <c r="E620" s="13"/>
      <c r="F620" s="113"/>
      <c r="G620" s="13"/>
      <c r="H620" s="113"/>
    </row>
    <row r="621" spans="1:8" s="5" customFormat="1" ht="11.25" customHeight="1" x14ac:dyDescent="0.2">
      <c r="D621" s="28"/>
      <c r="E621" s="13"/>
      <c r="F621" s="113"/>
      <c r="G621" s="13"/>
      <c r="H621" s="113"/>
    </row>
    <row r="622" spans="1:8" s="26" customFormat="1" ht="11.25" customHeight="1" x14ac:dyDescent="0.2">
      <c r="A622" s="145" t="s">
        <v>1131</v>
      </c>
      <c r="B622" s="145"/>
      <c r="C622" s="145"/>
      <c r="D622" s="146"/>
      <c r="E622" s="147" t="s">
        <v>1158</v>
      </c>
      <c r="F622" s="148"/>
      <c r="G622" s="147">
        <f>SUM(G4:G621)</f>
        <v>2001287</v>
      </c>
      <c r="H622" s="148">
        <v>44.7</v>
      </c>
    </row>
    <row r="623" spans="1:8" s="5" customFormat="1" ht="11.25" customHeight="1" x14ac:dyDescent="0.2">
      <c r="D623" s="28"/>
      <c r="E623" s="13"/>
      <c r="F623" s="113"/>
      <c r="G623" s="13"/>
      <c r="H623" s="113"/>
    </row>
    <row r="624" spans="1:8" s="5" customFormat="1" ht="11.25" customHeight="1" x14ac:dyDescent="0.2">
      <c r="A624" s="6" t="s">
        <v>1289</v>
      </c>
      <c r="B624" s="6"/>
      <c r="C624" s="8"/>
      <c r="D624" s="8"/>
      <c r="E624" s="93"/>
      <c r="F624" s="108"/>
      <c r="G624" s="99"/>
      <c r="H624" s="82"/>
    </row>
    <row r="625" spans="1:8" ht="11.25" customHeight="1" x14ac:dyDescent="0.2">
      <c r="A625" s="273" t="s">
        <v>2934</v>
      </c>
      <c r="B625" s="273"/>
      <c r="C625" s="273"/>
      <c r="D625" s="273"/>
      <c r="E625" s="273"/>
      <c r="F625" s="273"/>
      <c r="G625" s="273"/>
      <c r="H625" s="273"/>
    </row>
    <row r="626" spans="1:8" s="26" customFormat="1" ht="11.25" customHeight="1" x14ac:dyDescent="0.2">
      <c r="A626" s="274" t="s">
        <v>1303</v>
      </c>
      <c r="B626" s="274"/>
      <c r="C626" s="274"/>
      <c r="D626" s="274"/>
      <c r="E626" s="274"/>
      <c r="F626" s="274"/>
      <c r="G626" s="274"/>
      <c r="H626" s="274"/>
    </row>
    <row r="627" spans="1:8" s="26" customFormat="1" ht="11.25" customHeight="1" x14ac:dyDescent="0.2">
      <c r="A627" s="273" t="s">
        <v>2932</v>
      </c>
      <c r="B627" s="273"/>
      <c r="C627" s="273"/>
      <c r="D627" s="273"/>
      <c r="E627" s="273"/>
      <c r="F627" s="273"/>
      <c r="G627" s="273"/>
      <c r="H627" s="273"/>
    </row>
  </sheetData>
  <mergeCells count="5">
    <mergeCell ref="A1:H1"/>
    <mergeCell ref="F2:H2"/>
    <mergeCell ref="A627:H627"/>
    <mergeCell ref="A625:H625"/>
    <mergeCell ref="A626:H626"/>
  </mergeCells>
  <phoneticPr fontId="0" type="noConversion"/>
  <pageMargins left="0.5" right="0.16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4"/>
  <sheetViews>
    <sheetView zoomScale="120" zoomScaleNormal="120" workbookViewId="0">
      <pane ySplit="3" topLeftCell="A4" activePane="bottomLeft" state="frozen"/>
      <selection pane="bottomLeft" activeCell="J1" sqref="J1:K65536"/>
    </sheetView>
  </sheetViews>
  <sheetFormatPr defaultRowHeight="11.25" x14ac:dyDescent="0.2"/>
  <cols>
    <col min="1" max="1" width="20.7109375" style="1" customWidth="1"/>
    <col min="2" max="2" width="2.7109375" style="1" customWidth="1"/>
    <col min="3" max="3" width="20.7109375" style="1" customWidth="1"/>
    <col min="4" max="4" width="18.7109375" style="4" customWidth="1"/>
    <col min="5" max="5" width="9.7109375" style="19" customWidth="1"/>
    <col min="6" max="6" width="9.7109375" style="115" customWidth="1"/>
    <col min="7" max="7" width="8.7109375" style="19" customWidth="1"/>
    <col min="8" max="8" width="7.7109375" style="115" customWidth="1"/>
    <col min="9" max="16384" width="9.140625" style="1"/>
  </cols>
  <sheetData>
    <row r="1" spans="1:8" s="71" customFormat="1" ht="15.75" x14ac:dyDescent="0.2">
      <c r="A1" s="270" t="s">
        <v>2332</v>
      </c>
      <c r="B1" s="270"/>
      <c r="C1" s="270"/>
      <c r="D1" s="270"/>
      <c r="E1" s="270"/>
      <c r="F1" s="270"/>
      <c r="G1" s="270"/>
      <c r="H1" s="270"/>
    </row>
    <row r="2" spans="1:8" s="54" customFormat="1" ht="13.5" thickBot="1" x14ac:dyDescent="0.25">
      <c r="A2" s="36" t="s">
        <v>3272</v>
      </c>
      <c r="B2" s="36"/>
      <c r="C2" s="36"/>
      <c r="D2" s="75" t="s">
        <v>3254</v>
      </c>
      <c r="E2" s="89"/>
      <c r="F2" s="271" t="s">
        <v>2933</v>
      </c>
      <c r="G2" s="271"/>
      <c r="H2" s="271"/>
    </row>
    <row r="3" spans="1:8" s="57" customFormat="1" ht="39" thickBot="1" x14ac:dyDescent="0.25">
      <c r="A3" s="58" t="s">
        <v>1284</v>
      </c>
      <c r="B3" s="59"/>
      <c r="C3" s="59" t="s">
        <v>1300</v>
      </c>
      <c r="D3" s="59" t="s">
        <v>2652</v>
      </c>
      <c r="E3" s="73" t="s">
        <v>1301</v>
      </c>
      <c r="F3" s="74" t="s">
        <v>1286</v>
      </c>
      <c r="G3" s="73" t="s">
        <v>1287</v>
      </c>
      <c r="H3" s="74" t="s">
        <v>1302</v>
      </c>
    </row>
    <row r="4" spans="1:8" s="45" customFormat="1" ht="11.25" customHeight="1" x14ac:dyDescent="0.2">
      <c r="A4" s="62"/>
      <c r="B4" s="62"/>
      <c r="C4" s="63"/>
      <c r="D4" s="141"/>
      <c r="E4" s="116"/>
      <c r="F4" s="117"/>
      <c r="G4" s="98"/>
      <c r="H4" s="118"/>
    </row>
    <row r="5" spans="1:8" s="5" customFormat="1" ht="11.25" customHeight="1" x14ac:dyDescent="0.2">
      <c r="A5" s="5" t="s">
        <v>2038</v>
      </c>
      <c r="C5" s="14" t="s">
        <v>3273</v>
      </c>
      <c r="D5" s="28" t="s">
        <v>1736</v>
      </c>
      <c r="E5" s="13">
        <v>9374</v>
      </c>
      <c r="F5" s="113">
        <f>E5/14978*100</f>
        <v>62.585124849779675</v>
      </c>
      <c r="G5" s="13"/>
      <c r="H5" s="113"/>
    </row>
    <row r="6" spans="1:8" s="5" customFormat="1" ht="11.25" customHeight="1" x14ac:dyDescent="0.2">
      <c r="C6" s="5" t="s">
        <v>3274</v>
      </c>
      <c r="D6" s="152" t="s">
        <v>3623</v>
      </c>
      <c r="E6" s="13">
        <v>660</v>
      </c>
      <c r="F6" s="113">
        <f>E6/14978*100</f>
        <v>4.4064628121244498</v>
      </c>
      <c r="G6" s="13"/>
      <c r="H6" s="113"/>
    </row>
    <row r="7" spans="1:8" s="5" customFormat="1" ht="11.25" customHeight="1" x14ac:dyDescent="0.2">
      <c r="C7" s="5" t="s">
        <v>2061</v>
      </c>
      <c r="D7" s="28" t="s">
        <v>1072</v>
      </c>
      <c r="E7" s="13">
        <v>1973</v>
      </c>
      <c r="F7" s="113">
        <f>E7/14978*100</f>
        <v>13.172653224729602</v>
      </c>
      <c r="G7" s="13"/>
      <c r="H7" s="113"/>
    </row>
    <row r="8" spans="1:8" s="5" customFormat="1" ht="11.25" customHeight="1" x14ac:dyDescent="0.2">
      <c r="C8" s="5" t="s">
        <v>1017</v>
      </c>
      <c r="D8" s="5" t="s">
        <v>3275</v>
      </c>
      <c r="E8" s="13">
        <v>2362</v>
      </c>
      <c r="F8" s="113">
        <f>E8/14978*100</f>
        <v>15.769795700360529</v>
      </c>
      <c r="G8" s="13"/>
      <c r="H8" s="113"/>
    </row>
    <row r="9" spans="1:8" s="5" customFormat="1" ht="11.25" customHeight="1" x14ac:dyDescent="0.2">
      <c r="C9" s="5" t="s">
        <v>3276</v>
      </c>
      <c r="D9" s="28" t="s">
        <v>655</v>
      </c>
      <c r="E9" s="13">
        <v>609</v>
      </c>
      <c r="F9" s="113">
        <f>E9/14978*100</f>
        <v>4.0659634130057416</v>
      </c>
      <c r="G9" s="13"/>
      <c r="H9" s="113"/>
    </row>
    <row r="10" spans="1:8" s="5" customFormat="1" ht="11.25" customHeight="1" x14ac:dyDescent="0.2">
      <c r="D10" s="28"/>
      <c r="E10" s="162" t="s">
        <v>3291</v>
      </c>
      <c r="F10" s="165">
        <f>SUM(F5:F9)</f>
        <v>100</v>
      </c>
      <c r="G10" s="162">
        <v>38989</v>
      </c>
      <c r="H10" s="165">
        <v>38.5</v>
      </c>
    </row>
    <row r="11" spans="1:8" s="5" customFormat="1" ht="11.25" customHeight="1" x14ac:dyDescent="0.2">
      <c r="D11" s="28"/>
      <c r="E11" s="13"/>
      <c r="F11" s="113"/>
      <c r="G11" s="13"/>
      <c r="H11" s="113"/>
    </row>
    <row r="12" spans="1:8" s="5" customFormat="1" ht="11.25" customHeight="1" x14ac:dyDescent="0.2">
      <c r="A12" s="53" t="s">
        <v>2039</v>
      </c>
      <c r="B12" s="53"/>
      <c r="C12" s="5" t="s">
        <v>564</v>
      </c>
      <c r="D12" s="5" t="s">
        <v>1072</v>
      </c>
      <c r="E12" s="13">
        <v>1379</v>
      </c>
      <c r="F12" s="113">
        <f>E12/11008*100</f>
        <v>12.527252906976743</v>
      </c>
      <c r="G12" s="13"/>
      <c r="H12" s="113"/>
    </row>
    <row r="13" spans="1:8" s="5" customFormat="1" ht="11.25" customHeight="1" x14ac:dyDescent="0.2">
      <c r="A13" s="53"/>
      <c r="B13" s="53"/>
      <c r="C13" s="55" t="s">
        <v>3277</v>
      </c>
      <c r="D13" s="28" t="s">
        <v>1736</v>
      </c>
      <c r="E13" s="13">
        <v>7484</v>
      </c>
      <c r="F13" s="113">
        <f>E13/11008*100</f>
        <v>67.986918604651152</v>
      </c>
      <c r="G13" s="13"/>
      <c r="H13" s="113"/>
    </row>
    <row r="14" spans="1:8" s="5" customFormat="1" ht="11.25" customHeight="1" x14ac:dyDescent="0.2">
      <c r="A14" s="53"/>
      <c r="B14" s="53"/>
      <c r="C14" s="53" t="s">
        <v>1757</v>
      </c>
      <c r="D14" s="28" t="s">
        <v>655</v>
      </c>
      <c r="E14" s="13">
        <v>1225</v>
      </c>
      <c r="F14" s="113">
        <f>E14/11008*100</f>
        <v>11.128270348837209</v>
      </c>
      <c r="G14" s="13"/>
      <c r="H14" s="113"/>
    </row>
    <row r="15" spans="1:8" s="53" customFormat="1" ht="11.25" customHeight="1" x14ac:dyDescent="0.2">
      <c r="C15" s="1" t="s">
        <v>3278</v>
      </c>
      <c r="D15" s="152" t="s">
        <v>3623</v>
      </c>
      <c r="E15" s="13">
        <v>403</v>
      </c>
      <c r="F15" s="113">
        <f>E15/11008*100</f>
        <v>3.6609738372093026</v>
      </c>
      <c r="G15" s="13"/>
      <c r="H15" s="113"/>
    </row>
    <row r="16" spans="1:8" s="53" customFormat="1" ht="11.25" customHeight="1" x14ac:dyDescent="0.2">
      <c r="C16" s="1" t="s">
        <v>440</v>
      </c>
      <c r="D16" s="5" t="s">
        <v>3275</v>
      </c>
      <c r="E16" s="13">
        <v>517</v>
      </c>
      <c r="F16" s="113">
        <f>E16/11008*100</f>
        <v>4.6965843023255811</v>
      </c>
      <c r="G16" s="13"/>
      <c r="H16" s="113"/>
    </row>
    <row r="17" spans="1:8" s="53" customFormat="1" ht="11.25" customHeight="1" x14ac:dyDescent="0.2">
      <c r="C17" s="1"/>
      <c r="D17" s="28"/>
      <c r="E17" s="162" t="s">
        <v>3290</v>
      </c>
      <c r="F17" s="165">
        <f>SUM(F12:F16)</f>
        <v>99.999999999999972</v>
      </c>
      <c r="G17" s="162">
        <v>24394</v>
      </c>
      <c r="H17" s="165">
        <v>45.2</v>
      </c>
    </row>
    <row r="18" spans="1:8" s="53" customFormat="1" ht="11.25" customHeight="1" x14ac:dyDescent="0.2">
      <c r="C18" s="1"/>
      <c r="D18" s="28"/>
      <c r="E18" s="13"/>
      <c r="F18" s="113"/>
      <c r="G18" s="13"/>
      <c r="H18" s="113"/>
    </row>
    <row r="19" spans="1:8" s="5" customFormat="1" ht="11.25" customHeight="1" x14ac:dyDescent="0.2">
      <c r="A19" s="5" t="s">
        <v>1008</v>
      </c>
      <c r="C19" s="5" t="s">
        <v>3279</v>
      </c>
      <c r="D19" s="28" t="s">
        <v>653</v>
      </c>
      <c r="E19" s="13">
        <v>172</v>
      </c>
      <c r="F19" s="113">
        <f>E19/9580*100</f>
        <v>1.7954070981210855</v>
      </c>
      <c r="G19" s="13"/>
      <c r="H19" s="113"/>
    </row>
    <row r="20" spans="1:8" s="5" customFormat="1" ht="11.25" customHeight="1" x14ac:dyDescent="0.2">
      <c r="C20" s="5" t="s">
        <v>3280</v>
      </c>
      <c r="D20" s="152" t="s">
        <v>3623</v>
      </c>
      <c r="E20" s="13">
        <v>1353</v>
      </c>
      <c r="F20" s="113">
        <f>E20/9580*100</f>
        <v>14.123173277661797</v>
      </c>
      <c r="G20" s="13"/>
      <c r="H20" s="113"/>
    </row>
    <row r="21" spans="1:8" s="5" customFormat="1" ht="11.25" customHeight="1" x14ac:dyDescent="0.2">
      <c r="C21" s="5" t="s">
        <v>3281</v>
      </c>
      <c r="D21" s="28" t="s">
        <v>1072</v>
      </c>
      <c r="E21" s="13">
        <v>2753</v>
      </c>
      <c r="F21" s="113">
        <f>E21/9580*100</f>
        <v>28.736951983298535</v>
      </c>
      <c r="G21" s="13"/>
      <c r="H21" s="113"/>
    </row>
    <row r="22" spans="1:8" s="5" customFormat="1" ht="11.25" customHeight="1" x14ac:dyDescent="0.2">
      <c r="C22" s="14" t="s">
        <v>1012</v>
      </c>
      <c r="D22" s="28" t="s">
        <v>1736</v>
      </c>
      <c r="E22" s="13">
        <v>4727</v>
      </c>
      <c r="F22" s="113">
        <f>E22/9580*100</f>
        <v>49.342379958246347</v>
      </c>
      <c r="G22" s="13"/>
      <c r="H22" s="113"/>
    </row>
    <row r="23" spans="1:8" s="5" customFormat="1" ht="11.25" customHeight="1" x14ac:dyDescent="0.2">
      <c r="C23" s="5" t="s">
        <v>896</v>
      </c>
      <c r="D23" s="28" t="s">
        <v>655</v>
      </c>
      <c r="E23" s="13">
        <v>575</v>
      </c>
      <c r="F23" s="113">
        <f>E23/9580*100</f>
        <v>6.0020876826722338</v>
      </c>
      <c r="G23" s="13"/>
      <c r="H23" s="113"/>
    </row>
    <row r="24" spans="1:8" s="5" customFormat="1" ht="11.25" customHeight="1" x14ac:dyDescent="0.2">
      <c r="D24" s="28"/>
      <c r="E24" s="162" t="s">
        <v>3289</v>
      </c>
      <c r="F24" s="165">
        <f>SUM(F19:F23)</f>
        <v>100.00000000000001</v>
      </c>
      <c r="G24" s="162">
        <v>25778</v>
      </c>
      <c r="H24" s="165">
        <v>37.299999999999997</v>
      </c>
    </row>
    <row r="25" spans="1:8" s="5" customFormat="1" ht="11.25" customHeight="1" x14ac:dyDescent="0.2">
      <c r="D25" s="28"/>
      <c r="E25" s="13"/>
      <c r="F25" s="113"/>
      <c r="G25" s="13"/>
      <c r="H25" s="113"/>
    </row>
    <row r="26" spans="1:8" s="5" customFormat="1" ht="11.25" customHeight="1" x14ac:dyDescent="0.2">
      <c r="A26" s="5" t="s">
        <v>2040</v>
      </c>
      <c r="C26" s="5" t="s">
        <v>3282</v>
      </c>
      <c r="D26" s="152" t="s">
        <v>3623</v>
      </c>
      <c r="E26" s="13">
        <v>479</v>
      </c>
      <c r="F26" s="113">
        <f>E26/11831*100</f>
        <v>4.0486856563266</v>
      </c>
      <c r="G26" s="13"/>
      <c r="H26" s="113"/>
    </row>
    <row r="27" spans="1:8" s="5" customFormat="1" ht="11.25" customHeight="1" x14ac:dyDescent="0.2">
      <c r="C27" s="5" t="s">
        <v>2078</v>
      </c>
      <c r="D27" s="28" t="s">
        <v>1071</v>
      </c>
      <c r="E27" s="13">
        <v>309</v>
      </c>
      <c r="F27" s="113">
        <f>E27/11831*100</f>
        <v>2.611782605020708</v>
      </c>
      <c r="G27" s="13"/>
      <c r="H27" s="113"/>
    </row>
    <row r="28" spans="1:8" s="5" customFormat="1" ht="11.25" customHeight="1" x14ac:dyDescent="0.2">
      <c r="C28" s="14" t="s">
        <v>3283</v>
      </c>
      <c r="D28" s="28" t="s">
        <v>1736</v>
      </c>
      <c r="E28" s="13">
        <v>8312</v>
      </c>
      <c r="F28" s="113">
        <f>E28/11831*100</f>
        <v>70.256106837968048</v>
      </c>
      <c r="G28" s="13"/>
      <c r="H28" s="113"/>
    </row>
    <row r="29" spans="1:8" s="5" customFormat="1" ht="11.25" customHeight="1" x14ac:dyDescent="0.2">
      <c r="C29" s="5" t="s">
        <v>3284</v>
      </c>
      <c r="D29" s="28" t="s">
        <v>655</v>
      </c>
      <c r="E29" s="13">
        <v>927</v>
      </c>
      <c r="F29" s="113">
        <f>E29/11831*100</f>
        <v>7.8353478150621259</v>
      </c>
      <c r="G29" s="13"/>
      <c r="H29" s="113"/>
    </row>
    <row r="30" spans="1:8" s="5" customFormat="1" ht="11.25" customHeight="1" x14ac:dyDescent="0.2">
      <c r="C30" s="5" t="s">
        <v>3285</v>
      </c>
      <c r="D30" s="28" t="s">
        <v>1072</v>
      </c>
      <c r="E30" s="13">
        <v>1804</v>
      </c>
      <c r="F30" s="113">
        <f>E30/11831*100</f>
        <v>15.248077085622516</v>
      </c>
      <c r="G30" s="13"/>
      <c r="H30" s="113"/>
    </row>
    <row r="31" spans="1:8" s="5" customFormat="1" ht="11.25" customHeight="1" x14ac:dyDescent="0.2">
      <c r="D31" s="28"/>
      <c r="E31" s="162" t="s">
        <v>3286</v>
      </c>
      <c r="F31" s="165">
        <f>SUM(F26:F30)</f>
        <v>99.999999999999986</v>
      </c>
      <c r="G31" s="162">
        <v>24792</v>
      </c>
      <c r="H31" s="165">
        <v>47.9</v>
      </c>
    </row>
    <row r="32" spans="1:8" s="5" customFormat="1" ht="11.25" customHeight="1" x14ac:dyDescent="0.2">
      <c r="D32" s="28"/>
      <c r="E32" s="13"/>
      <c r="F32" s="113"/>
      <c r="G32" s="13"/>
      <c r="H32" s="113"/>
    </row>
    <row r="33" spans="1:8" s="5" customFormat="1" ht="11.25" customHeight="1" x14ac:dyDescent="0.2">
      <c r="A33" s="5" t="s">
        <v>2041</v>
      </c>
      <c r="C33" s="5" t="s">
        <v>2351</v>
      </c>
      <c r="D33" s="28" t="s">
        <v>655</v>
      </c>
      <c r="E33" s="13">
        <v>431</v>
      </c>
      <c r="F33" s="113">
        <f>E33/10142*100</f>
        <v>4.2496549004141198</v>
      </c>
      <c r="G33" s="13"/>
      <c r="H33" s="113"/>
    </row>
    <row r="34" spans="1:8" s="5" customFormat="1" ht="11.25" customHeight="1" x14ac:dyDescent="0.2">
      <c r="C34" s="14" t="s">
        <v>2081</v>
      </c>
      <c r="D34" s="28" t="s">
        <v>1736</v>
      </c>
      <c r="E34" s="13">
        <v>7968</v>
      </c>
      <c r="F34" s="113">
        <f>E34/10142*100</f>
        <v>78.564385722737129</v>
      </c>
      <c r="G34" s="13"/>
      <c r="H34" s="113"/>
    </row>
    <row r="35" spans="1:8" s="5" customFormat="1" ht="11.25" customHeight="1" x14ac:dyDescent="0.2">
      <c r="C35" s="5" t="s">
        <v>3287</v>
      </c>
      <c r="D35" s="152" t="s">
        <v>3623</v>
      </c>
      <c r="E35" s="13">
        <v>483</v>
      </c>
      <c r="F35" s="113">
        <f>E35/10142*100</f>
        <v>4.7623742851508579</v>
      </c>
      <c r="G35" s="13"/>
      <c r="H35" s="113"/>
    </row>
    <row r="36" spans="1:8" s="5" customFormat="1" ht="11.25" customHeight="1" x14ac:dyDescent="0.2">
      <c r="C36" s="5" t="s">
        <v>3288</v>
      </c>
      <c r="D36" s="28" t="s">
        <v>1072</v>
      </c>
      <c r="E36" s="13">
        <v>1260</v>
      </c>
      <c r="F36" s="113">
        <f>E36/10142*100</f>
        <v>12.423585091697891</v>
      </c>
      <c r="G36" s="13"/>
      <c r="H36" s="113"/>
    </row>
    <row r="37" spans="1:8" s="5" customFormat="1" ht="11.25" customHeight="1" x14ac:dyDescent="0.2">
      <c r="D37" s="28"/>
      <c r="E37" s="162" t="s">
        <v>3292</v>
      </c>
      <c r="F37" s="165">
        <f>SUM(F33:F36)</f>
        <v>99.999999999999986</v>
      </c>
      <c r="G37" s="162">
        <v>21064</v>
      </c>
      <c r="H37" s="165">
        <v>48.8</v>
      </c>
    </row>
    <row r="38" spans="1:8" s="5" customFormat="1" ht="11.25" customHeight="1" x14ac:dyDescent="0.2">
      <c r="D38" s="28"/>
      <c r="E38" s="13"/>
      <c r="F38" s="113"/>
      <c r="G38" s="13"/>
      <c r="H38" s="113"/>
    </row>
    <row r="39" spans="1:8" s="5" customFormat="1" ht="11.25" customHeight="1" x14ac:dyDescent="0.2">
      <c r="A39" s="5" t="s">
        <v>1018</v>
      </c>
      <c r="C39" s="5" t="s">
        <v>3293</v>
      </c>
      <c r="D39" s="152" t="s">
        <v>3623</v>
      </c>
      <c r="E39" s="13">
        <v>350</v>
      </c>
      <c r="F39" s="113">
        <f>E39/5874*100</f>
        <v>5.9584610146407897</v>
      </c>
      <c r="G39" s="13"/>
      <c r="H39" s="113"/>
    </row>
    <row r="40" spans="1:8" s="5" customFormat="1" ht="11.25" customHeight="1" x14ac:dyDescent="0.2">
      <c r="C40" s="14" t="s">
        <v>3294</v>
      </c>
      <c r="D40" s="28" t="s">
        <v>1736</v>
      </c>
      <c r="E40" s="13">
        <v>4437</v>
      </c>
      <c r="F40" s="113">
        <f>E40/5874*100</f>
        <v>75.536261491317674</v>
      </c>
      <c r="G40" s="13"/>
      <c r="H40" s="113"/>
    </row>
    <row r="41" spans="1:8" s="5" customFormat="1" ht="11.25" customHeight="1" x14ac:dyDescent="0.2">
      <c r="C41" s="5" t="s">
        <v>3295</v>
      </c>
      <c r="D41" s="28" t="s">
        <v>655</v>
      </c>
      <c r="E41" s="13">
        <v>389</v>
      </c>
      <c r="F41" s="113">
        <f>E41/5874*100</f>
        <v>6.6224038134150494</v>
      </c>
      <c r="G41" s="13"/>
      <c r="H41" s="113"/>
    </row>
    <row r="42" spans="1:8" s="5" customFormat="1" ht="11.25" customHeight="1" x14ac:dyDescent="0.2">
      <c r="C42" s="5" t="s">
        <v>3296</v>
      </c>
      <c r="D42" s="28" t="s">
        <v>1072</v>
      </c>
      <c r="E42" s="13">
        <v>698</v>
      </c>
      <c r="F42" s="113">
        <f>E42/5874*100</f>
        <v>11.882873680626489</v>
      </c>
      <c r="G42" s="13"/>
      <c r="H42" s="113"/>
    </row>
    <row r="43" spans="1:8" s="5" customFormat="1" ht="11.25" customHeight="1" x14ac:dyDescent="0.2">
      <c r="D43" s="28"/>
      <c r="E43" s="162" t="s">
        <v>3308</v>
      </c>
      <c r="F43" s="165">
        <f>SUM(F39:F42)</f>
        <v>100</v>
      </c>
      <c r="G43" s="162">
        <v>20243</v>
      </c>
      <c r="H43" s="165">
        <v>29.1</v>
      </c>
    </row>
    <row r="44" spans="1:8" s="5" customFormat="1" ht="11.25" customHeight="1" x14ac:dyDescent="0.2">
      <c r="D44" s="28"/>
      <c r="E44" s="13"/>
      <c r="F44" s="113"/>
      <c r="G44" s="13"/>
      <c r="H44" s="113"/>
    </row>
    <row r="45" spans="1:8" s="53" customFormat="1" ht="11.25" customHeight="1" x14ac:dyDescent="0.2">
      <c r="A45" s="53" t="s">
        <v>2354</v>
      </c>
      <c r="C45" s="55" t="s">
        <v>2357</v>
      </c>
      <c r="D45" s="28" t="s">
        <v>1736</v>
      </c>
      <c r="E45" s="13">
        <v>6687</v>
      </c>
      <c r="F45" s="113">
        <f t="shared" ref="F45:F50" si="0">E45/14808*100</f>
        <v>45.158022690437598</v>
      </c>
      <c r="G45" s="13"/>
      <c r="H45" s="113"/>
    </row>
    <row r="46" spans="1:8" s="53" customFormat="1" ht="11.25" customHeight="1" x14ac:dyDescent="0.2">
      <c r="C46" s="53" t="s">
        <v>3297</v>
      </c>
      <c r="D46" s="28" t="s">
        <v>1072</v>
      </c>
      <c r="E46" s="13">
        <v>5173</v>
      </c>
      <c r="F46" s="113">
        <f t="shared" si="0"/>
        <v>34.93381955699622</v>
      </c>
      <c r="G46" s="13"/>
      <c r="H46" s="113"/>
    </row>
    <row r="47" spans="1:8" s="53" customFormat="1" ht="11.25" customHeight="1" x14ac:dyDescent="0.2">
      <c r="C47" s="53" t="s">
        <v>3298</v>
      </c>
      <c r="D47" s="5" t="s">
        <v>3275</v>
      </c>
      <c r="E47" s="13">
        <v>1425</v>
      </c>
      <c r="F47" s="113">
        <f t="shared" si="0"/>
        <v>9.6231766612641803</v>
      </c>
      <c r="G47" s="13"/>
      <c r="H47" s="113"/>
    </row>
    <row r="48" spans="1:8" s="172" customFormat="1" ht="11.25" customHeight="1" x14ac:dyDescent="0.2">
      <c r="C48" s="53" t="s">
        <v>3299</v>
      </c>
      <c r="D48" s="28" t="s">
        <v>655</v>
      </c>
      <c r="E48" s="13">
        <v>507</v>
      </c>
      <c r="F48" s="113">
        <f t="shared" si="0"/>
        <v>3.4238249594813612</v>
      </c>
      <c r="G48" s="173"/>
      <c r="H48" s="174"/>
    </row>
    <row r="49" spans="1:8" s="172" customFormat="1" ht="11.25" customHeight="1" x14ac:dyDescent="0.2">
      <c r="C49" s="53" t="s">
        <v>3300</v>
      </c>
      <c r="D49" s="28" t="s">
        <v>1071</v>
      </c>
      <c r="E49" s="13">
        <v>171</v>
      </c>
      <c r="F49" s="113">
        <f t="shared" si="0"/>
        <v>1.1547811993517019</v>
      </c>
      <c r="G49" s="173"/>
      <c r="H49" s="174"/>
    </row>
    <row r="50" spans="1:8" s="53" customFormat="1" ht="11.25" customHeight="1" x14ac:dyDescent="0.2">
      <c r="C50" s="53" t="s">
        <v>3301</v>
      </c>
      <c r="D50" s="152" t="s">
        <v>3623</v>
      </c>
      <c r="E50" s="53">
        <v>845</v>
      </c>
      <c r="F50" s="175">
        <f t="shared" si="0"/>
        <v>5.7063749324689352</v>
      </c>
      <c r="G50" s="13"/>
      <c r="H50" s="113"/>
    </row>
    <row r="51" spans="1:8" s="5" customFormat="1" ht="11.25" customHeight="1" x14ac:dyDescent="0.2">
      <c r="D51" s="28"/>
      <c r="E51" s="162" t="s">
        <v>3307</v>
      </c>
      <c r="F51" s="165">
        <f>SUM(F45:F50)</f>
        <v>100</v>
      </c>
      <c r="G51" s="162">
        <v>30930</v>
      </c>
      <c r="H51" s="165">
        <v>48</v>
      </c>
    </row>
    <row r="52" spans="1:8" s="5" customFormat="1" ht="11.25" customHeight="1" x14ac:dyDescent="0.2">
      <c r="D52" s="28"/>
      <c r="E52" s="13"/>
      <c r="F52" s="113"/>
      <c r="G52" s="13"/>
      <c r="H52" s="113"/>
    </row>
    <row r="53" spans="1:8" s="5" customFormat="1" ht="11.25" customHeight="1" x14ac:dyDescent="0.2">
      <c r="A53" s="5" t="s">
        <v>2360</v>
      </c>
      <c r="C53" s="5" t="s">
        <v>3302</v>
      </c>
      <c r="D53" s="28" t="s">
        <v>1736</v>
      </c>
      <c r="E53" s="13">
        <v>3646</v>
      </c>
      <c r="F53" s="113">
        <f>E53/9385*100</f>
        <v>38.849227490676611</v>
      </c>
      <c r="G53" s="13"/>
      <c r="H53" s="113"/>
    </row>
    <row r="54" spans="1:8" s="5" customFormat="1" ht="11.25" customHeight="1" x14ac:dyDescent="0.2">
      <c r="C54" s="5" t="s">
        <v>3303</v>
      </c>
      <c r="D54" s="28" t="s">
        <v>1071</v>
      </c>
      <c r="E54" s="13">
        <v>158</v>
      </c>
      <c r="F54" s="113">
        <f>E54/9385*100</f>
        <v>1.6835375599360682</v>
      </c>
      <c r="G54" s="13"/>
      <c r="H54" s="113"/>
    </row>
    <row r="55" spans="1:8" s="5" customFormat="1" ht="11.25" customHeight="1" x14ac:dyDescent="0.2">
      <c r="C55" s="14" t="s">
        <v>4037</v>
      </c>
      <c r="D55" s="28" t="s">
        <v>1072</v>
      </c>
      <c r="E55" s="13">
        <v>4583</v>
      </c>
      <c r="F55" s="113">
        <f>E55/9385*100</f>
        <v>48.83324453915823</v>
      </c>
      <c r="G55" s="13"/>
      <c r="H55" s="113"/>
    </row>
    <row r="56" spans="1:8" s="5" customFormat="1" ht="11.25" customHeight="1" x14ac:dyDescent="0.2">
      <c r="C56" s="5" t="s">
        <v>3304</v>
      </c>
      <c r="D56" s="28" t="s">
        <v>655</v>
      </c>
      <c r="E56" s="13">
        <v>387</v>
      </c>
      <c r="F56" s="113">
        <f>E56/9385*100</f>
        <v>4.123601491742142</v>
      </c>
      <c r="G56" s="13"/>
      <c r="H56" s="113"/>
    </row>
    <row r="57" spans="1:8" s="5" customFormat="1" ht="11.25" customHeight="1" x14ac:dyDescent="0.2">
      <c r="C57" s="5" t="s">
        <v>3305</v>
      </c>
      <c r="D57" s="152" t="s">
        <v>3623</v>
      </c>
      <c r="E57" s="13">
        <v>611</v>
      </c>
      <c r="F57" s="113">
        <f>E57/9385*100</f>
        <v>6.5103889184869477</v>
      </c>
      <c r="G57" s="13"/>
      <c r="H57" s="113"/>
    </row>
    <row r="58" spans="1:8" s="5" customFormat="1" ht="11.25" customHeight="1" x14ac:dyDescent="0.2">
      <c r="D58" s="28"/>
      <c r="E58" s="162" t="s">
        <v>3306</v>
      </c>
      <c r="F58" s="165">
        <f>SUM(F53:F57)</f>
        <v>100</v>
      </c>
      <c r="G58" s="162">
        <v>31223</v>
      </c>
      <c r="H58" s="165">
        <v>30.4</v>
      </c>
    </row>
    <row r="59" spans="1:8" s="5" customFormat="1" ht="11.25" customHeight="1" x14ac:dyDescent="0.2">
      <c r="D59" s="28"/>
      <c r="E59" s="13"/>
      <c r="F59" s="113"/>
      <c r="G59" s="13"/>
      <c r="H59" s="113"/>
    </row>
    <row r="60" spans="1:8" s="5" customFormat="1" ht="11.25" customHeight="1" x14ac:dyDescent="0.2">
      <c r="A60" s="5" t="s">
        <v>1959</v>
      </c>
      <c r="C60" s="14" t="s">
        <v>1960</v>
      </c>
      <c r="D60" s="28" t="s">
        <v>1736</v>
      </c>
      <c r="E60" s="13">
        <v>4004</v>
      </c>
      <c r="F60" s="113">
        <f>E60/7047*100</f>
        <v>56.818504328082874</v>
      </c>
      <c r="G60" s="13"/>
      <c r="H60" s="113"/>
    </row>
    <row r="61" spans="1:8" s="5" customFormat="1" ht="11.25" customHeight="1" x14ac:dyDescent="0.2">
      <c r="C61" s="5" t="s">
        <v>3309</v>
      </c>
      <c r="D61" s="28" t="s">
        <v>655</v>
      </c>
      <c r="E61" s="13">
        <v>476</v>
      </c>
      <c r="F61" s="113">
        <f>E61/7047*100</f>
        <v>6.7546473676741883</v>
      </c>
      <c r="G61" s="13"/>
      <c r="H61" s="113"/>
    </row>
    <row r="62" spans="1:8" s="5" customFormat="1" ht="11.25" customHeight="1" x14ac:dyDescent="0.2">
      <c r="C62" s="5" t="s">
        <v>2105</v>
      </c>
      <c r="D62" s="5" t="s">
        <v>3275</v>
      </c>
      <c r="E62" s="13">
        <v>605</v>
      </c>
      <c r="F62" s="113">
        <f>E62/7047*100</f>
        <v>8.5852135660564777</v>
      </c>
      <c r="G62" s="13"/>
      <c r="H62" s="113"/>
    </row>
    <row r="63" spans="1:8" s="5" customFormat="1" ht="11.25" customHeight="1" x14ac:dyDescent="0.2">
      <c r="C63" s="5" t="s">
        <v>3310</v>
      </c>
      <c r="D63" s="28" t="s">
        <v>1072</v>
      </c>
      <c r="E63" s="13">
        <v>1567</v>
      </c>
      <c r="F63" s="113">
        <f>E63/7047*100</f>
        <v>22.236412657868595</v>
      </c>
      <c r="G63" s="13"/>
      <c r="H63" s="113"/>
    </row>
    <row r="64" spans="1:8" s="5" customFormat="1" ht="11.25" customHeight="1" x14ac:dyDescent="0.2">
      <c r="C64" s="5" t="s">
        <v>2183</v>
      </c>
      <c r="D64" s="152" t="s">
        <v>3623</v>
      </c>
      <c r="E64" s="13">
        <v>395</v>
      </c>
      <c r="F64" s="113">
        <f>E64/7047*100</f>
        <v>5.6052220803178656</v>
      </c>
      <c r="G64" s="13"/>
      <c r="H64" s="113"/>
    </row>
    <row r="65" spans="1:8" s="5" customFormat="1" ht="11.25" customHeight="1" x14ac:dyDescent="0.2">
      <c r="D65" s="28"/>
      <c r="E65" s="162" t="s">
        <v>3314</v>
      </c>
      <c r="F65" s="165">
        <f>SUM(F60:F64)</f>
        <v>100</v>
      </c>
      <c r="G65" s="162">
        <v>25609</v>
      </c>
      <c r="H65" s="165">
        <v>27.6</v>
      </c>
    </row>
    <row r="66" spans="1:8" s="5" customFormat="1" ht="11.25" customHeight="1" x14ac:dyDescent="0.2">
      <c r="D66" s="28"/>
      <c r="E66" s="13"/>
      <c r="F66" s="113"/>
      <c r="G66" s="13"/>
      <c r="H66" s="113"/>
    </row>
    <row r="67" spans="1:8" s="5" customFormat="1" ht="11.25" customHeight="1" x14ac:dyDescent="0.2">
      <c r="A67" s="5" t="s">
        <v>1963</v>
      </c>
      <c r="C67" s="5" t="s">
        <v>3311</v>
      </c>
      <c r="D67" s="28" t="s">
        <v>1736</v>
      </c>
      <c r="E67" s="13">
        <v>4552</v>
      </c>
      <c r="F67" s="113">
        <f>E67/12213*100</f>
        <v>37.271759600425774</v>
      </c>
      <c r="G67" s="13"/>
      <c r="H67" s="113"/>
    </row>
    <row r="68" spans="1:8" s="5" customFormat="1" ht="11.25" customHeight="1" x14ac:dyDescent="0.2">
      <c r="C68" s="5" t="s">
        <v>3312</v>
      </c>
      <c r="D68" s="152" t="s">
        <v>3623</v>
      </c>
      <c r="E68" s="13">
        <v>896</v>
      </c>
      <c r="F68" s="113">
        <f>E68/12213*100</f>
        <v>7.3364447719642998</v>
      </c>
      <c r="G68" s="13"/>
      <c r="H68" s="113"/>
    </row>
    <row r="69" spans="1:8" s="5" customFormat="1" ht="11.25" customHeight="1" x14ac:dyDescent="0.2">
      <c r="C69" s="5" t="s">
        <v>3313</v>
      </c>
      <c r="D69" s="5" t="s">
        <v>3275</v>
      </c>
      <c r="E69" s="13">
        <v>670</v>
      </c>
      <c r="F69" s="113">
        <f>E69/12213*100</f>
        <v>5.485957586178662</v>
      </c>
      <c r="G69" s="13"/>
      <c r="H69" s="113"/>
    </row>
    <row r="70" spans="1:8" s="5" customFormat="1" ht="11.25" customHeight="1" x14ac:dyDescent="0.2">
      <c r="C70" s="5" t="s">
        <v>3219</v>
      </c>
      <c r="D70" s="28" t="s">
        <v>655</v>
      </c>
      <c r="E70" s="13">
        <v>531</v>
      </c>
      <c r="F70" s="113">
        <f>E70/12213*100</f>
        <v>4.3478260869565215</v>
      </c>
      <c r="G70" s="13"/>
      <c r="H70" s="113"/>
    </row>
    <row r="71" spans="1:8" s="5" customFormat="1" ht="11.25" customHeight="1" x14ac:dyDescent="0.2">
      <c r="C71" s="14" t="s">
        <v>2110</v>
      </c>
      <c r="D71" s="28" t="s">
        <v>1072</v>
      </c>
      <c r="E71" s="13">
        <v>5564</v>
      </c>
      <c r="F71" s="113">
        <f>E71/12213*100</f>
        <v>45.558011954474743</v>
      </c>
      <c r="G71" s="13"/>
      <c r="H71" s="113"/>
    </row>
    <row r="72" spans="1:8" s="5" customFormat="1" ht="11.25" customHeight="1" x14ac:dyDescent="0.2">
      <c r="D72" s="28"/>
      <c r="E72" s="162" t="s">
        <v>3328</v>
      </c>
      <c r="F72" s="165">
        <f>SUM(F67:F71)</f>
        <v>100</v>
      </c>
      <c r="G72" s="162">
        <v>31842</v>
      </c>
      <c r="H72" s="165">
        <v>38.6</v>
      </c>
    </row>
    <row r="73" spans="1:8" s="5" customFormat="1" ht="11.25" customHeight="1" x14ac:dyDescent="0.2">
      <c r="D73" s="28"/>
      <c r="E73" s="13"/>
      <c r="F73" s="113"/>
      <c r="G73" s="13"/>
      <c r="H73" s="113"/>
    </row>
    <row r="74" spans="1:8" s="5" customFormat="1" ht="11.25" customHeight="1" x14ac:dyDescent="0.2">
      <c r="A74" s="5" t="s">
        <v>3167</v>
      </c>
      <c r="C74" s="14" t="s">
        <v>3168</v>
      </c>
      <c r="D74" s="28" t="s">
        <v>1736</v>
      </c>
      <c r="E74" s="13">
        <v>4583</v>
      </c>
      <c r="F74" s="113">
        <f t="shared" ref="F74:F79" si="1">E74/8510*100</f>
        <v>53.85428907168037</v>
      </c>
      <c r="G74" s="13"/>
      <c r="H74" s="113"/>
    </row>
    <row r="75" spans="1:8" s="5" customFormat="1" ht="11.25" customHeight="1" x14ac:dyDescent="0.2">
      <c r="C75" s="5" t="s">
        <v>3315</v>
      </c>
      <c r="D75" s="152" t="s">
        <v>3623</v>
      </c>
      <c r="E75" s="13">
        <v>333</v>
      </c>
      <c r="F75" s="113">
        <f t="shared" si="1"/>
        <v>3.9130434782608701</v>
      </c>
      <c r="G75" s="13"/>
      <c r="H75" s="113"/>
    </row>
    <row r="76" spans="1:8" s="5" customFormat="1" ht="11.25" customHeight="1" x14ac:dyDescent="0.2">
      <c r="C76" s="5" t="s">
        <v>3316</v>
      </c>
      <c r="D76" s="28" t="s">
        <v>486</v>
      </c>
      <c r="E76" s="13">
        <v>55</v>
      </c>
      <c r="F76" s="113">
        <f t="shared" si="1"/>
        <v>0.64629847238542892</v>
      </c>
      <c r="G76" s="13"/>
      <c r="H76" s="113"/>
    </row>
    <row r="77" spans="1:8" s="5" customFormat="1" ht="11.25" customHeight="1" x14ac:dyDescent="0.2">
      <c r="C77" s="5" t="s">
        <v>3317</v>
      </c>
      <c r="D77" s="28" t="s">
        <v>655</v>
      </c>
      <c r="E77" s="13">
        <v>425</v>
      </c>
      <c r="F77" s="113">
        <f t="shared" si="1"/>
        <v>4.9941245593419499</v>
      </c>
      <c r="G77" s="13"/>
      <c r="H77" s="113"/>
    </row>
    <row r="78" spans="1:8" s="5" customFormat="1" ht="11.25" customHeight="1" x14ac:dyDescent="0.2">
      <c r="C78" s="5" t="s">
        <v>2115</v>
      </c>
      <c r="D78" s="28" t="s">
        <v>1072</v>
      </c>
      <c r="E78" s="13">
        <v>2433</v>
      </c>
      <c r="F78" s="113">
        <f t="shared" si="1"/>
        <v>28.589894242068155</v>
      </c>
      <c r="G78" s="13"/>
      <c r="H78" s="113"/>
    </row>
    <row r="79" spans="1:8" s="5" customFormat="1" ht="11.25" customHeight="1" x14ac:dyDescent="0.2">
      <c r="C79" s="5" t="s">
        <v>4038</v>
      </c>
      <c r="D79" s="5" t="s">
        <v>3275</v>
      </c>
      <c r="E79" s="13">
        <v>681</v>
      </c>
      <c r="F79" s="113">
        <f t="shared" si="1"/>
        <v>8.0023501762632208</v>
      </c>
      <c r="G79" s="13"/>
      <c r="H79" s="113"/>
    </row>
    <row r="80" spans="1:8" s="5" customFormat="1" ht="11.25" customHeight="1" x14ac:dyDescent="0.2">
      <c r="D80" s="28"/>
      <c r="E80" s="162" t="s">
        <v>3318</v>
      </c>
      <c r="F80" s="165">
        <f>SUM(F74:F79)</f>
        <v>99.999999999999986</v>
      </c>
      <c r="G80" s="162">
        <v>26447</v>
      </c>
      <c r="H80" s="165">
        <v>32.4</v>
      </c>
    </row>
    <row r="81" spans="1:8" s="5" customFormat="1" ht="11.25" customHeight="1" x14ac:dyDescent="0.2">
      <c r="D81" s="28"/>
      <c r="E81" s="13"/>
      <c r="F81" s="113"/>
      <c r="G81" s="13"/>
      <c r="H81" s="113"/>
    </row>
    <row r="82" spans="1:8" s="5" customFormat="1" ht="11.25" customHeight="1" x14ac:dyDescent="0.2">
      <c r="A82" s="5" t="s">
        <v>1855</v>
      </c>
      <c r="C82" s="5" t="s">
        <v>3155</v>
      </c>
      <c r="D82" s="5" t="s">
        <v>653</v>
      </c>
      <c r="E82" s="13">
        <v>2008</v>
      </c>
      <c r="F82" s="113">
        <f t="shared" ref="F82:F87" si="2">E82/12417*100</f>
        <v>16.171377949585246</v>
      </c>
      <c r="G82" s="13"/>
      <c r="H82" s="113"/>
    </row>
    <row r="83" spans="1:8" s="5" customFormat="1" ht="11.25" customHeight="1" x14ac:dyDescent="0.2">
      <c r="C83" s="5" t="s">
        <v>511</v>
      </c>
      <c r="D83" s="5" t="s">
        <v>3275</v>
      </c>
      <c r="E83" s="13">
        <v>676</v>
      </c>
      <c r="F83" s="113">
        <f t="shared" si="2"/>
        <v>5.4441491503583794</v>
      </c>
      <c r="G83" s="13"/>
      <c r="H83" s="113"/>
    </row>
    <row r="84" spans="1:8" s="5" customFormat="1" ht="11.25" customHeight="1" x14ac:dyDescent="0.2">
      <c r="C84" s="14" t="s">
        <v>3319</v>
      </c>
      <c r="D84" s="28" t="s">
        <v>1736</v>
      </c>
      <c r="E84" s="13">
        <v>5415</v>
      </c>
      <c r="F84" s="113">
        <f t="shared" si="2"/>
        <v>43.609567528388496</v>
      </c>
      <c r="G84" s="13"/>
      <c r="H84" s="113"/>
    </row>
    <row r="85" spans="1:8" s="5" customFormat="1" ht="11.25" customHeight="1" x14ac:dyDescent="0.2">
      <c r="C85" s="5" t="s">
        <v>2658</v>
      </c>
      <c r="D85" s="152" t="s">
        <v>3623</v>
      </c>
      <c r="E85" s="13">
        <v>582</v>
      </c>
      <c r="F85" s="113">
        <f t="shared" si="2"/>
        <v>4.6871224933558828</v>
      </c>
      <c r="G85" s="13"/>
      <c r="H85" s="113"/>
    </row>
    <row r="86" spans="1:8" s="5" customFormat="1" ht="11.25" customHeight="1" x14ac:dyDescent="0.2">
      <c r="C86" s="5" t="s">
        <v>2175</v>
      </c>
      <c r="D86" s="28" t="s">
        <v>655</v>
      </c>
      <c r="E86" s="13">
        <v>447</v>
      </c>
      <c r="F86" s="113">
        <f t="shared" si="2"/>
        <v>3.5999033582991058</v>
      </c>
      <c r="G86" s="13"/>
      <c r="H86" s="113"/>
    </row>
    <row r="87" spans="1:8" s="5" customFormat="1" ht="11.25" customHeight="1" x14ac:dyDescent="0.2">
      <c r="C87" s="5" t="s">
        <v>3320</v>
      </c>
      <c r="D87" s="28" t="s">
        <v>1072</v>
      </c>
      <c r="E87" s="13">
        <v>3289</v>
      </c>
      <c r="F87" s="113">
        <f t="shared" si="2"/>
        <v>26.487879520012886</v>
      </c>
      <c r="G87" s="13"/>
      <c r="H87" s="113"/>
    </row>
    <row r="88" spans="1:8" s="5" customFormat="1" ht="11.25" customHeight="1" x14ac:dyDescent="0.2">
      <c r="D88" s="28"/>
      <c r="E88" s="162" t="s">
        <v>3321</v>
      </c>
      <c r="F88" s="165">
        <f>SUM(F82:F87)</f>
        <v>100</v>
      </c>
      <c r="G88" s="162">
        <v>30070</v>
      </c>
      <c r="H88" s="165">
        <v>41.5</v>
      </c>
    </row>
    <row r="89" spans="1:8" s="5" customFormat="1" ht="11.25" customHeight="1" x14ac:dyDescent="0.2">
      <c r="D89" s="28"/>
      <c r="E89" s="13"/>
      <c r="F89" s="113"/>
      <c r="G89" s="13"/>
      <c r="H89" s="113"/>
    </row>
    <row r="90" spans="1:8" s="5" customFormat="1" ht="11.25" customHeight="1" x14ac:dyDescent="0.2">
      <c r="A90" s="5" t="s">
        <v>1860</v>
      </c>
      <c r="C90" s="5" t="s">
        <v>3322</v>
      </c>
      <c r="D90" s="28" t="s">
        <v>1072</v>
      </c>
      <c r="E90" s="13">
        <v>5711</v>
      </c>
      <c r="F90" s="113">
        <f t="shared" ref="F90:F95" si="3">E90/14568*100</f>
        <v>39.202361339923122</v>
      </c>
      <c r="G90" s="13"/>
      <c r="H90" s="113"/>
    </row>
    <row r="91" spans="1:8" s="5" customFormat="1" ht="11.25" customHeight="1" x14ac:dyDescent="0.2">
      <c r="C91" s="5" t="s">
        <v>3323</v>
      </c>
      <c r="D91" s="5" t="s">
        <v>653</v>
      </c>
      <c r="E91" s="13">
        <v>948</v>
      </c>
      <c r="F91" s="113">
        <f t="shared" si="3"/>
        <v>6.5074135090609548</v>
      </c>
      <c r="G91" s="13"/>
      <c r="H91" s="113"/>
    </row>
    <row r="92" spans="1:8" s="5" customFormat="1" ht="11.25" customHeight="1" x14ac:dyDescent="0.2">
      <c r="C92" s="5" t="s">
        <v>3324</v>
      </c>
      <c r="D92" s="5" t="s">
        <v>3275</v>
      </c>
      <c r="E92" s="13">
        <v>963</v>
      </c>
      <c r="F92" s="113">
        <f t="shared" si="3"/>
        <v>6.6103789126853369</v>
      </c>
      <c r="G92" s="13"/>
      <c r="H92" s="113"/>
    </row>
    <row r="93" spans="1:8" s="5" customFormat="1" ht="11.25" customHeight="1" x14ac:dyDescent="0.2">
      <c r="C93" s="14" t="s">
        <v>3325</v>
      </c>
      <c r="D93" s="28" t="s">
        <v>1736</v>
      </c>
      <c r="E93" s="13">
        <v>6130</v>
      </c>
      <c r="F93" s="113">
        <f t="shared" si="3"/>
        <v>42.078528281164196</v>
      </c>
      <c r="G93" s="13"/>
      <c r="H93" s="113"/>
    </row>
    <row r="94" spans="1:8" s="5" customFormat="1" ht="11.25" customHeight="1" x14ac:dyDescent="0.2">
      <c r="C94" s="5" t="s">
        <v>3326</v>
      </c>
      <c r="D94" s="152" t="s">
        <v>3623</v>
      </c>
      <c r="E94" s="13">
        <v>526</v>
      </c>
      <c r="F94" s="113">
        <f t="shared" si="3"/>
        <v>3.6106534870950031</v>
      </c>
      <c r="G94" s="13"/>
      <c r="H94" s="113"/>
    </row>
    <row r="95" spans="1:8" s="5" customFormat="1" ht="11.25" customHeight="1" x14ac:dyDescent="0.2">
      <c r="C95" s="5" t="s">
        <v>3327</v>
      </c>
      <c r="D95" s="28" t="s">
        <v>655</v>
      </c>
      <c r="E95" s="13">
        <v>290</v>
      </c>
      <c r="F95" s="113">
        <f t="shared" si="3"/>
        <v>1.9906644700713894</v>
      </c>
      <c r="G95" s="13"/>
      <c r="H95" s="113"/>
    </row>
    <row r="96" spans="1:8" s="5" customFormat="1" ht="11.25" customHeight="1" x14ac:dyDescent="0.2">
      <c r="D96" s="28"/>
      <c r="E96" s="162" t="s">
        <v>3329</v>
      </c>
      <c r="F96" s="165">
        <f>SUM(F90:F95)</f>
        <v>100</v>
      </c>
      <c r="G96" s="162">
        <v>30266</v>
      </c>
      <c r="H96" s="165">
        <v>48.2</v>
      </c>
    </row>
    <row r="97" spans="1:8" s="5" customFormat="1" ht="11.25" customHeight="1" x14ac:dyDescent="0.2">
      <c r="D97" s="28"/>
      <c r="E97" s="13"/>
      <c r="F97" s="113"/>
      <c r="G97" s="13"/>
      <c r="H97" s="113"/>
    </row>
    <row r="98" spans="1:8" s="5" customFormat="1" ht="11.25" customHeight="1" x14ac:dyDescent="0.2">
      <c r="A98" s="5" t="s">
        <v>1865</v>
      </c>
      <c r="C98" s="5" t="s">
        <v>3330</v>
      </c>
      <c r="D98" s="5" t="s">
        <v>3275</v>
      </c>
      <c r="E98" s="13">
        <v>1261</v>
      </c>
      <c r="F98" s="113">
        <f>E98/13162*100</f>
        <v>9.5806108494149811</v>
      </c>
      <c r="G98" s="13"/>
      <c r="H98" s="113"/>
    </row>
    <row r="99" spans="1:8" s="5" customFormat="1" ht="11.25" customHeight="1" x14ac:dyDescent="0.2">
      <c r="C99" s="14" t="s">
        <v>1867</v>
      </c>
      <c r="D99" s="28" t="s">
        <v>1736</v>
      </c>
      <c r="E99" s="13">
        <v>6884</v>
      </c>
      <c r="F99" s="113">
        <f>E99/13162*100</f>
        <v>52.302081750493848</v>
      </c>
      <c r="G99" s="13"/>
      <c r="H99" s="113"/>
    </row>
    <row r="100" spans="1:8" s="5" customFormat="1" ht="11.25" customHeight="1" x14ac:dyDescent="0.2">
      <c r="C100" s="5" t="s">
        <v>3331</v>
      </c>
      <c r="D100" s="152" t="s">
        <v>3623</v>
      </c>
      <c r="E100" s="13">
        <v>556</v>
      </c>
      <c r="F100" s="113">
        <f>E100/13162*100</f>
        <v>4.2242820240085095</v>
      </c>
      <c r="G100" s="13"/>
      <c r="H100" s="113"/>
    </row>
    <row r="101" spans="1:8" s="5" customFormat="1" ht="11.25" customHeight="1" x14ac:dyDescent="0.2">
      <c r="C101" s="5" t="s">
        <v>2133</v>
      </c>
      <c r="D101" s="28" t="s">
        <v>655</v>
      </c>
      <c r="E101" s="13">
        <v>423</v>
      </c>
      <c r="F101" s="113">
        <f>E101/13162*100</f>
        <v>3.2137972952438836</v>
      </c>
      <c r="G101" s="13"/>
      <c r="H101" s="113"/>
    </row>
    <row r="102" spans="1:8" s="5" customFormat="1" ht="11.25" customHeight="1" x14ac:dyDescent="0.2">
      <c r="C102" s="5" t="s">
        <v>3332</v>
      </c>
      <c r="D102" s="28" t="s">
        <v>1072</v>
      </c>
      <c r="E102" s="13">
        <v>4038</v>
      </c>
      <c r="F102" s="113">
        <f>E102/13162*100</f>
        <v>30.679228080838776</v>
      </c>
      <c r="G102" s="13"/>
      <c r="H102" s="113"/>
    </row>
    <row r="103" spans="1:8" s="5" customFormat="1" ht="11.25" customHeight="1" x14ac:dyDescent="0.2">
      <c r="D103" s="28"/>
      <c r="E103" s="162" t="s">
        <v>3333</v>
      </c>
      <c r="F103" s="165">
        <f>SUM(F98:F102)</f>
        <v>100</v>
      </c>
      <c r="G103" s="162">
        <v>28203</v>
      </c>
      <c r="H103" s="165">
        <v>46.8</v>
      </c>
    </row>
    <row r="104" spans="1:8" s="5" customFormat="1" ht="11.25" customHeight="1" x14ac:dyDescent="0.2">
      <c r="D104" s="28"/>
      <c r="E104" s="13"/>
      <c r="F104" s="113"/>
      <c r="G104" s="13"/>
      <c r="H104" s="113"/>
    </row>
    <row r="105" spans="1:8" s="5" customFormat="1" ht="11.25" customHeight="1" x14ac:dyDescent="0.2">
      <c r="A105" s="5" t="s">
        <v>1869</v>
      </c>
      <c r="C105" s="5" t="s">
        <v>3334</v>
      </c>
      <c r="D105" s="152" t="s">
        <v>3623</v>
      </c>
      <c r="E105" s="13">
        <v>411</v>
      </c>
      <c r="F105" s="113">
        <f>E105/12631*100</f>
        <v>3.2538991370437809</v>
      </c>
      <c r="G105" s="13"/>
      <c r="H105" s="113"/>
    </row>
    <row r="106" spans="1:8" s="5" customFormat="1" ht="11.25" customHeight="1" x14ac:dyDescent="0.2">
      <c r="C106" s="5" t="s">
        <v>3335</v>
      </c>
      <c r="D106" s="5" t="s">
        <v>3275</v>
      </c>
      <c r="E106" s="13">
        <v>972</v>
      </c>
      <c r="F106" s="113">
        <f>E106/12631*100</f>
        <v>7.6953527036655851</v>
      </c>
      <c r="G106" s="13"/>
      <c r="H106" s="113"/>
    </row>
    <row r="107" spans="1:8" s="5" customFormat="1" ht="11.25" customHeight="1" x14ac:dyDescent="0.2">
      <c r="C107" s="5" t="s">
        <v>3336</v>
      </c>
      <c r="D107" s="28" t="s">
        <v>1072</v>
      </c>
      <c r="E107" s="13">
        <v>4909</v>
      </c>
      <c r="F107" s="113">
        <f>E107/12631*100</f>
        <v>38.864697965323408</v>
      </c>
      <c r="G107" s="13"/>
      <c r="H107" s="113"/>
    </row>
    <row r="108" spans="1:8" s="5" customFormat="1" ht="11.25" customHeight="1" x14ac:dyDescent="0.2">
      <c r="C108" s="5" t="s">
        <v>3337</v>
      </c>
      <c r="D108" s="28" t="s">
        <v>655</v>
      </c>
      <c r="E108" s="13">
        <v>251</v>
      </c>
      <c r="F108" s="113">
        <f>E108/12631*100</f>
        <v>1.9871744121605572</v>
      </c>
      <c r="G108" s="13"/>
      <c r="H108" s="113"/>
    </row>
    <row r="109" spans="1:8" s="5" customFormat="1" ht="11.25" customHeight="1" x14ac:dyDescent="0.2">
      <c r="C109" s="14" t="s">
        <v>2138</v>
      </c>
      <c r="D109" s="28" t="s">
        <v>1736</v>
      </c>
      <c r="E109" s="13">
        <v>6088</v>
      </c>
      <c r="F109" s="113">
        <f>E109/12631*100</f>
        <v>48.198875781806663</v>
      </c>
      <c r="G109" s="13"/>
      <c r="H109" s="113"/>
    </row>
    <row r="110" spans="1:8" s="5" customFormat="1" ht="11.25" customHeight="1" x14ac:dyDescent="0.2">
      <c r="D110" s="28"/>
      <c r="E110" s="162" t="s">
        <v>3620</v>
      </c>
      <c r="F110" s="165">
        <f>SUM(F105:F109)</f>
        <v>100</v>
      </c>
      <c r="G110" s="162">
        <v>33083</v>
      </c>
      <c r="H110" s="165">
        <v>38.299999999999997</v>
      </c>
    </row>
    <row r="111" spans="1:8" s="5" customFormat="1" ht="11.25" customHeight="1" x14ac:dyDescent="0.2">
      <c r="E111" s="13"/>
      <c r="F111" s="113"/>
      <c r="G111" s="13"/>
      <c r="H111" s="113"/>
    </row>
    <row r="112" spans="1:8" s="5" customFormat="1" ht="11.25" customHeight="1" x14ac:dyDescent="0.2">
      <c r="A112" s="5" t="s">
        <v>1873</v>
      </c>
      <c r="C112" s="14" t="s">
        <v>1875</v>
      </c>
      <c r="D112" s="28" t="s">
        <v>1736</v>
      </c>
      <c r="E112" s="13">
        <v>4123</v>
      </c>
      <c r="F112" s="113">
        <f>E112/8277*100</f>
        <v>49.812734082397</v>
      </c>
      <c r="G112" s="13"/>
      <c r="H112" s="113"/>
    </row>
    <row r="113" spans="1:8" s="5" customFormat="1" ht="11.25" customHeight="1" x14ac:dyDescent="0.2">
      <c r="C113" s="5" t="s">
        <v>3338</v>
      </c>
      <c r="D113" s="5" t="s">
        <v>3275</v>
      </c>
      <c r="E113" s="13">
        <v>715</v>
      </c>
      <c r="F113" s="113">
        <f>E113/8277*100</f>
        <v>8.6383955539446671</v>
      </c>
      <c r="G113" s="13"/>
      <c r="H113" s="113"/>
    </row>
    <row r="114" spans="1:8" s="5" customFormat="1" ht="11.25" customHeight="1" x14ac:dyDescent="0.2">
      <c r="C114" s="5" t="s">
        <v>3339</v>
      </c>
      <c r="D114" s="28" t="s">
        <v>655</v>
      </c>
      <c r="E114" s="13">
        <v>1178</v>
      </c>
      <c r="F114" s="113">
        <f>E114/8277*100</f>
        <v>14.232209737827715</v>
      </c>
      <c r="G114" s="13"/>
      <c r="H114" s="113"/>
    </row>
    <row r="115" spans="1:8" s="5" customFormat="1" ht="11.25" customHeight="1" x14ac:dyDescent="0.2">
      <c r="C115" s="5" t="s">
        <v>3340</v>
      </c>
      <c r="D115" s="28" t="s">
        <v>1072</v>
      </c>
      <c r="E115" s="13">
        <v>1770</v>
      </c>
      <c r="F115" s="113">
        <f>E115/8277*100</f>
        <v>21.384559623051828</v>
      </c>
      <c r="G115" s="13"/>
      <c r="H115" s="113"/>
    </row>
    <row r="116" spans="1:8" s="5" customFormat="1" ht="11.25" customHeight="1" x14ac:dyDescent="0.2">
      <c r="C116" s="5" t="s">
        <v>4039</v>
      </c>
      <c r="D116" s="152" t="s">
        <v>3623</v>
      </c>
      <c r="E116" s="13">
        <v>491</v>
      </c>
      <c r="F116" s="113">
        <f>E116/8277*100</f>
        <v>5.9321010027787846</v>
      </c>
      <c r="G116" s="13"/>
      <c r="H116" s="113"/>
    </row>
    <row r="117" spans="1:8" s="5" customFormat="1" ht="11.25" customHeight="1" x14ac:dyDescent="0.2">
      <c r="C117" s="5" t="s">
        <v>4040</v>
      </c>
      <c r="D117" s="28"/>
      <c r="E117" s="162" t="s">
        <v>3341</v>
      </c>
      <c r="F117" s="165">
        <f>SUM(F112:F116)</f>
        <v>99.999999999999986</v>
      </c>
      <c r="G117" s="162">
        <v>27035</v>
      </c>
      <c r="H117" s="165">
        <v>30.7</v>
      </c>
    </row>
    <row r="118" spans="1:8" s="5" customFormat="1" ht="11.25" customHeight="1" x14ac:dyDescent="0.2">
      <c r="D118" s="28"/>
      <c r="E118" s="13"/>
      <c r="F118" s="113"/>
      <c r="G118" s="13"/>
      <c r="H118" s="113"/>
    </row>
    <row r="119" spans="1:8" s="5" customFormat="1" ht="11.25" customHeight="1" x14ac:dyDescent="0.2">
      <c r="A119" s="5" t="s">
        <v>3211</v>
      </c>
      <c r="C119" s="5" t="s">
        <v>3342</v>
      </c>
      <c r="D119" s="152" t="s">
        <v>3623</v>
      </c>
      <c r="E119" s="13">
        <v>550</v>
      </c>
      <c r="F119" s="113">
        <f>E119/12701*100</f>
        <v>4.3303676875836548</v>
      </c>
      <c r="G119" s="13"/>
      <c r="H119" s="113"/>
    </row>
    <row r="120" spans="1:8" s="5" customFormat="1" ht="11.25" customHeight="1" x14ac:dyDescent="0.2">
      <c r="C120" s="5" t="s">
        <v>2148</v>
      </c>
      <c r="D120" s="28" t="s">
        <v>655</v>
      </c>
      <c r="E120" s="13">
        <v>477</v>
      </c>
      <c r="F120" s="113">
        <f>E120/12701*100</f>
        <v>3.75560979450437</v>
      </c>
      <c r="G120" s="13"/>
      <c r="H120" s="113"/>
    </row>
    <row r="121" spans="1:8" s="5" customFormat="1" ht="11.25" customHeight="1" x14ac:dyDescent="0.2">
      <c r="C121" s="5" t="s">
        <v>2150</v>
      </c>
      <c r="D121" s="28" t="s">
        <v>1072</v>
      </c>
      <c r="E121" s="13">
        <v>4213</v>
      </c>
      <c r="F121" s="113">
        <f>E121/12701*100</f>
        <v>33.1706164868908</v>
      </c>
      <c r="G121" s="13"/>
      <c r="H121" s="113"/>
    </row>
    <row r="122" spans="1:8" s="5" customFormat="1" ht="11.25" customHeight="1" x14ac:dyDescent="0.2">
      <c r="C122" s="5" t="s">
        <v>3343</v>
      </c>
      <c r="D122" s="5" t="s">
        <v>3275</v>
      </c>
      <c r="E122" s="13">
        <v>1025</v>
      </c>
      <c r="F122" s="113">
        <f>E122/12701*100</f>
        <v>8.0702306904968122</v>
      </c>
      <c r="G122" s="13"/>
      <c r="H122" s="113"/>
    </row>
    <row r="123" spans="1:8" s="5" customFormat="1" ht="11.25" customHeight="1" x14ac:dyDescent="0.2">
      <c r="C123" s="14" t="s">
        <v>3214</v>
      </c>
      <c r="D123" s="28" t="s">
        <v>1736</v>
      </c>
      <c r="E123" s="13">
        <v>6436</v>
      </c>
      <c r="F123" s="113">
        <f>E123/12701*100</f>
        <v>50.673175340524367</v>
      </c>
      <c r="G123" s="13"/>
      <c r="H123" s="113"/>
    </row>
    <row r="124" spans="1:8" s="5" customFormat="1" ht="11.25" customHeight="1" x14ac:dyDescent="0.2">
      <c r="D124" s="28"/>
      <c r="E124" s="162" t="s">
        <v>3344</v>
      </c>
      <c r="F124" s="165">
        <f>SUM(F119:F123)</f>
        <v>100</v>
      </c>
      <c r="G124" s="162">
        <v>27997</v>
      </c>
      <c r="H124" s="165">
        <v>45.5</v>
      </c>
    </row>
    <row r="125" spans="1:8" s="5" customFormat="1" ht="11.25" customHeight="1" x14ac:dyDescent="0.2">
      <c r="D125" s="28"/>
      <c r="E125" s="13"/>
      <c r="F125" s="113"/>
      <c r="G125" s="13"/>
      <c r="H125" s="113"/>
    </row>
    <row r="126" spans="1:8" s="5" customFormat="1" ht="11.25" customHeight="1" x14ac:dyDescent="0.2">
      <c r="A126" s="5" t="s">
        <v>2042</v>
      </c>
      <c r="C126" s="5" t="s">
        <v>3345</v>
      </c>
      <c r="D126" s="152" t="s">
        <v>3623</v>
      </c>
      <c r="E126" s="13">
        <v>564</v>
      </c>
      <c r="F126" s="113">
        <f>E126/12850*100</f>
        <v>4.3891050583657591</v>
      </c>
      <c r="G126" s="13"/>
      <c r="H126" s="113"/>
    </row>
    <row r="127" spans="1:8" s="5" customFormat="1" ht="11.25" customHeight="1" x14ac:dyDescent="0.2">
      <c r="C127" s="5" t="s">
        <v>3346</v>
      </c>
      <c r="D127" s="5" t="s">
        <v>3275</v>
      </c>
      <c r="E127" s="13">
        <v>1366</v>
      </c>
      <c r="F127" s="113">
        <f>E127/12850*100</f>
        <v>10.630350194552529</v>
      </c>
      <c r="G127" s="13"/>
      <c r="H127" s="113"/>
    </row>
    <row r="128" spans="1:8" s="5" customFormat="1" ht="11.25" customHeight="1" x14ac:dyDescent="0.2">
      <c r="C128" s="14" t="s">
        <v>2155</v>
      </c>
      <c r="D128" s="28" t="s">
        <v>1736</v>
      </c>
      <c r="E128" s="13">
        <v>6968</v>
      </c>
      <c r="F128" s="113">
        <f>E128/12850*100</f>
        <v>54.225680933852139</v>
      </c>
      <c r="G128" s="13"/>
      <c r="H128" s="113"/>
    </row>
    <row r="129" spans="1:8" s="5" customFormat="1" ht="11.25" customHeight="1" x14ac:dyDescent="0.2">
      <c r="C129" s="5" t="s">
        <v>3347</v>
      </c>
      <c r="D129" s="28" t="s">
        <v>655</v>
      </c>
      <c r="E129" s="13">
        <v>366</v>
      </c>
      <c r="F129" s="113">
        <f>E129/12850*100</f>
        <v>2.8482490272373537</v>
      </c>
      <c r="G129" s="13"/>
      <c r="H129" s="113"/>
    </row>
    <row r="130" spans="1:8" s="5" customFormat="1" ht="11.25" customHeight="1" x14ac:dyDescent="0.2">
      <c r="C130" s="5" t="s">
        <v>3348</v>
      </c>
      <c r="D130" s="28" t="s">
        <v>1072</v>
      </c>
      <c r="E130" s="13">
        <v>3586</v>
      </c>
      <c r="F130" s="113">
        <f>E130/12850*100</f>
        <v>27.906614785992218</v>
      </c>
      <c r="G130" s="13"/>
      <c r="H130" s="113"/>
    </row>
    <row r="131" spans="1:8" s="5" customFormat="1" ht="11.25" customHeight="1" x14ac:dyDescent="0.2">
      <c r="D131" s="28"/>
      <c r="E131" s="162" t="s">
        <v>3349</v>
      </c>
      <c r="F131" s="165">
        <f>SUM(F126:F130)</f>
        <v>100</v>
      </c>
      <c r="G131" s="162">
        <v>34364</v>
      </c>
      <c r="H131" s="165">
        <v>37.4</v>
      </c>
    </row>
    <row r="132" spans="1:8" s="5" customFormat="1" ht="11.25" customHeight="1" x14ac:dyDescent="0.2">
      <c r="D132" s="28"/>
      <c r="E132" s="13"/>
      <c r="F132" s="113"/>
      <c r="G132" s="13"/>
      <c r="H132" s="113"/>
    </row>
    <row r="133" spans="1:8" s="5" customFormat="1" ht="11.25" customHeight="1" x14ac:dyDescent="0.2">
      <c r="A133" s="5" t="s">
        <v>3216</v>
      </c>
      <c r="C133" s="5" t="s">
        <v>2153</v>
      </c>
      <c r="D133" s="152" t="s">
        <v>3623</v>
      </c>
      <c r="E133" s="13">
        <v>520</v>
      </c>
      <c r="F133" s="113">
        <f t="shared" ref="F133:F138" si="4">E133/13692*100</f>
        <v>3.7978381536663748</v>
      </c>
      <c r="G133" s="13"/>
      <c r="H133" s="113"/>
    </row>
    <row r="134" spans="1:8" s="5" customFormat="1" ht="11.25" customHeight="1" x14ac:dyDescent="0.2">
      <c r="C134" s="5" t="s">
        <v>2675</v>
      </c>
      <c r="D134" s="28" t="s">
        <v>1072</v>
      </c>
      <c r="E134" s="13">
        <v>3926</v>
      </c>
      <c r="F134" s="113">
        <f t="shared" si="4"/>
        <v>28.673678060181128</v>
      </c>
      <c r="G134" s="13"/>
      <c r="H134" s="113"/>
    </row>
    <row r="135" spans="1:8" s="5" customFormat="1" ht="11.25" customHeight="1" x14ac:dyDescent="0.2">
      <c r="C135" s="5" t="s">
        <v>3350</v>
      </c>
      <c r="D135" s="5" t="s">
        <v>3275</v>
      </c>
      <c r="E135" s="13">
        <v>1620</v>
      </c>
      <c r="F135" s="113">
        <f t="shared" si="4"/>
        <v>11.831726555652935</v>
      </c>
      <c r="G135" s="13"/>
      <c r="H135" s="113"/>
    </row>
    <row r="136" spans="1:8" s="5" customFormat="1" ht="11.25" customHeight="1" x14ac:dyDescent="0.2">
      <c r="C136" s="5" t="s">
        <v>3351</v>
      </c>
      <c r="D136" s="5" t="s">
        <v>653</v>
      </c>
      <c r="E136" s="13">
        <v>100</v>
      </c>
      <c r="F136" s="113">
        <f t="shared" si="4"/>
        <v>0.73035349108968739</v>
      </c>
      <c r="G136" s="13"/>
      <c r="H136" s="113"/>
    </row>
    <row r="137" spans="1:8" s="5" customFormat="1" ht="11.25" customHeight="1" x14ac:dyDescent="0.2">
      <c r="C137" s="5" t="s">
        <v>3352</v>
      </c>
      <c r="D137" s="28" t="s">
        <v>655</v>
      </c>
      <c r="E137" s="13">
        <v>336</v>
      </c>
      <c r="F137" s="113">
        <f t="shared" si="4"/>
        <v>2.4539877300613497</v>
      </c>
      <c r="G137" s="13"/>
      <c r="H137" s="113"/>
    </row>
    <row r="138" spans="1:8" s="5" customFormat="1" ht="11.25" customHeight="1" x14ac:dyDescent="0.2">
      <c r="C138" s="14" t="s">
        <v>2162</v>
      </c>
      <c r="D138" s="28" t="s">
        <v>1736</v>
      </c>
      <c r="E138" s="13">
        <v>7190</v>
      </c>
      <c r="F138" s="113">
        <f t="shared" si="4"/>
        <v>52.512416009348527</v>
      </c>
      <c r="G138" s="13"/>
      <c r="H138" s="113"/>
    </row>
    <row r="139" spans="1:8" s="5" customFormat="1" ht="11.25" customHeight="1" x14ac:dyDescent="0.2">
      <c r="D139" s="28"/>
      <c r="E139" s="162" t="s">
        <v>3353</v>
      </c>
      <c r="F139" s="165">
        <f>SUM(F133:F138)</f>
        <v>100</v>
      </c>
      <c r="G139" s="162">
        <v>34874</v>
      </c>
      <c r="H139" s="165">
        <v>39.299999999999997</v>
      </c>
    </row>
    <row r="140" spans="1:8" s="5" customFormat="1" ht="11.25" customHeight="1" x14ac:dyDescent="0.2">
      <c r="D140" s="28"/>
      <c r="E140" s="13"/>
      <c r="F140" s="113"/>
      <c r="G140" s="13"/>
      <c r="H140" s="113"/>
    </row>
    <row r="141" spans="1:8" s="5" customFormat="1" ht="11.25" customHeight="1" x14ac:dyDescent="0.2">
      <c r="A141" s="5" t="s">
        <v>2043</v>
      </c>
      <c r="C141" s="5" t="s">
        <v>3354</v>
      </c>
      <c r="D141" s="28" t="s">
        <v>655</v>
      </c>
      <c r="E141" s="13">
        <v>426</v>
      </c>
      <c r="F141" s="113">
        <f>E141/12908*100</f>
        <v>3.3002788968081807</v>
      </c>
      <c r="G141" s="13"/>
      <c r="H141" s="113"/>
    </row>
    <row r="142" spans="1:8" s="5" customFormat="1" ht="11.25" customHeight="1" x14ac:dyDescent="0.2">
      <c r="C142" s="5" t="s">
        <v>3355</v>
      </c>
      <c r="D142" s="5" t="s">
        <v>3275</v>
      </c>
      <c r="E142" s="13">
        <v>1609</v>
      </c>
      <c r="F142" s="113">
        <f>E142/12908*100</f>
        <v>12.465137898977378</v>
      </c>
      <c r="G142" s="13"/>
      <c r="H142" s="113"/>
    </row>
    <row r="143" spans="1:8" s="5" customFormat="1" ht="11.25" customHeight="1" x14ac:dyDescent="0.2">
      <c r="C143" s="5" t="s">
        <v>3356</v>
      </c>
      <c r="D143" s="28" t="s">
        <v>1072</v>
      </c>
      <c r="E143" s="13">
        <v>4048</v>
      </c>
      <c r="F143" s="113">
        <f>E143/12908*100</f>
        <v>31.360396653238304</v>
      </c>
      <c r="G143" s="13"/>
      <c r="H143" s="113"/>
    </row>
    <row r="144" spans="1:8" s="5" customFormat="1" ht="11.25" customHeight="1" x14ac:dyDescent="0.2">
      <c r="C144" s="5" t="s">
        <v>3357</v>
      </c>
      <c r="D144" s="152" t="s">
        <v>3623</v>
      </c>
      <c r="E144" s="13">
        <v>578</v>
      </c>
      <c r="F144" s="113">
        <f>E144/12908*100</f>
        <v>4.4778431980167337</v>
      </c>
      <c r="G144" s="13"/>
      <c r="H144" s="113"/>
    </row>
    <row r="145" spans="1:8" s="5" customFormat="1" ht="11.25" customHeight="1" x14ac:dyDescent="0.2">
      <c r="C145" s="14" t="s">
        <v>3358</v>
      </c>
      <c r="D145" s="28" t="s">
        <v>1736</v>
      </c>
      <c r="E145" s="13">
        <v>6247</v>
      </c>
      <c r="F145" s="113">
        <f>E145/12908*100</f>
        <v>48.396343352959406</v>
      </c>
      <c r="G145" s="13"/>
      <c r="H145" s="113"/>
    </row>
    <row r="146" spans="1:8" s="5" customFormat="1" ht="11.25" customHeight="1" x14ac:dyDescent="0.2">
      <c r="D146" s="28"/>
      <c r="E146" s="162" t="s">
        <v>3359</v>
      </c>
      <c r="F146" s="165">
        <f>SUM(F141:F145)</f>
        <v>100</v>
      </c>
      <c r="G146" s="162">
        <v>37883</v>
      </c>
      <c r="H146" s="165">
        <v>34.200000000000003</v>
      </c>
    </row>
    <row r="147" spans="1:8" s="5" customFormat="1" ht="11.25" customHeight="1" x14ac:dyDescent="0.2">
      <c r="D147" s="28"/>
      <c r="E147" s="13"/>
      <c r="F147" s="113"/>
      <c r="G147" s="13"/>
      <c r="H147" s="113"/>
    </row>
    <row r="148" spans="1:8" s="5" customFormat="1" ht="11.25" customHeight="1" x14ac:dyDescent="0.2">
      <c r="A148" s="5" t="s">
        <v>3220</v>
      </c>
      <c r="C148" s="5" t="s">
        <v>3360</v>
      </c>
      <c r="D148" s="152" t="s">
        <v>3623</v>
      </c>
      <c r="E148" s="13">
        <v>385</v>
      </c>
      <c r="F148" s="113">
        <f>E148/9642*100</f>
        <v>3.9929475212611489</v>
      </c>
      <c r="G148" s="13"/>
      <c r="H148" s="113"/>
    </row>
    <row r="149" spans="1:8" s="5" customFormat="1" ht="11.25" customHeight="1" x14ac:dyDescent="0.2">
      <c r="C149" s="5" t="s">
        <v>3361</v>
      </c>
      <c r="D149" s="5" t="s">
        <v>3275</v>
      </c>
      <c r="E149" s="13">
        <v>542</v>
      </c>
      <c r="F149" s="113">
        <f>E149/9642*100</f>
        <v>5.6212404065546568</v>
      </c>
      <c r="G149" s="13"/>
      <c r="H149" s="113"/>
    </row>
    <row r="150" spans="1:8" s="5" customFormat="1" ht="11.25" customHeight="1" x14ac:dyDescent="0.2">
      <c r="C150" s="14" t="s">
        <v>2170</v>
      </c>
      <c r="D150" s="28" t="s">
        <v>1072</v>
      </c>
      <c r="E150" s="13">
        <v>4279</v>
      </c>
      <c r="F150" s="113">
        <f>E150/9642*100</f>
        <v>44.378759593445345</v>
      </c>
      <c r="G150" s="13"/>
      <c r="H150" s="113"/>
    </row>
    <row r="151" spans="1:8" s="5" customFormat="1" ht="11.25" customHeight="1" x14ac:dyDescent="0.2">
      <c r="C151" s="5" t="s">
        <v>3225</v>
      </c>
      <c r="D151" s="28" t="s">
        <v>1736</v>
      </c>
      <c r="E151" s="13">
        <v>4161</v>
      </c>
      <c r="F151" s="113">
        <f>E151/9642*100</f>
        <v>43.154947106409459</v>
      </c>
      <c r="G151" s="13"/>
      <c r="H151" s="113"/>
    </row>
    <row r="152" spans="1:8" s="5" customFormat="1" ht="11.25" customHeight="1" x14ac:dyDescent="0.2">
      <c r="C152" s="5" t="s">
        <v>3226</v>
      </c>
      <c r="D152" s="28" t="s">
        <v>655</v>
      </c>
      <c r="E152" s="13">
        <v>275</v>
      </c>
      <c r="F152" s="113">
        <f>E152/9642*100</f>
        <v>2.8521053723293921</v>
      </c>
      <c r="G152" s="13"/>
      <c r="H152" s="113"/>
    </row>
    <row r="153" spans="1:8" s="5" customFormat="1" ht="11.25" customHeight="1" x14ac:dyDescent="0.2">
      <c r="D153" s="28"/>
      <c r="E153" s="162" t="s">
        <v>3362</v>
      </c>
      <c r="F153" s="165">
        <f>SUM(F148:F152)</f>
        <v>100</v>
      </c>
      <c r="G153" s="162">
        <v>30669</v>
      </c>
      <c r="H153" s="165">
        <v>31.6</v>
      </c>
    </row>
    <row r="154" spans="1:8" s="5" customFormat="1" ht="11.25" customHeight="1" x14ac:dyDescent="0.2">
      <c r="D154" s="28"/>
      <c r="E154" s="13"/>
      <c r="F154" s="113"/>
      <c r="G154" s="13"/>
      <c r="H154" s="113"/>
    </row>
    <row r="155" spans="1:8" s="5" customFormat="1" ht="11.25" customHeight="1" x14ac:dyDescent="0.2">
      <c r="A155" s="5" t="s">
        <v>3227</v>
      </c>
      <c r="C155" s="5" t="s">
        <v>3363</v>
      </c>
      <c r="D155" s="5" t="s">
        <v>3275</v>
      </c>
      <c r="E155" s="13">
        <v>818</v>
      </c>
      <c r="F155" s="113">
        <f t="shared" ref="F155:F160" si="5">E155/7625*100</f>
        <v>10.727868852459016</v>
      </c>
      <c r="G155" s="13"/>
      <c r="H155" s="113"/>
    </row>
    <row r="156" spans="1:8" s="5" customFormat="1" ht="11.25" customHeight="1" x14ac:dyDescent="0.2">
      <c r="C156" s="14" t="s">
        <v>3364</v>
      </c>
      <c r="D156" s="28" t="s">
        <v>1736</v>
      </c>
      <c r="E156" s="13">
        <v>2627</v>
      </c>
      <c r="F156" s="113">
        <f t="shared" si="5"/>
        <v>34.452459016393448</v>
      </c>
      <c r="G156" s="13"/>
      <c r="H156" s="113"/>
    </row>
    <row r="157" spans="1:8" s="5" customFormat="1" ht="11.25" customHeight="1" x14ac:dyDescent="0.2">
      <c r="C157" s="5" t="s">
        <v>3365</v>
      </c>
      <c r="D157" s="28" t="s">
        <v>655</v>
      </c>
      <c r="E157" s="13">
        <v>512</v>
      </c>
      <c r="F157" s="113">
        <f t="shared" si="5"/>
        <v>6.7147540983606566</v>
      </c>
      <c r="G157" s="13"/>
      <c r="H157" s="113"/>
    </row>
    <row r="158" spans="1:8" s="5" customFormat="1" ht="11.25" customHeight="1" x14ac:dyDescent="0.2">
      <c r="C158" s="5" t="s">
        <v>3366</v>
      </c>
      <c r="D158" s="152" t="s">
        <v>3623</v>
      </c>
      <c r="E158" s="13">
        <v>262</v>
      </c>
      <c r="F158" s="113">
        <f t="shared" si="5"/>
        <v>3.4360655737704917</v>
      </c>
      <c r="G158" s="13"/>
      <c r="H158" s="113"/>
    </row>
    <row r="159" spans="1:8" s="5" customFormat="1" ht="11.25" customHeight="1" x14ac:dyDescent="0.2">
      <c r="C159" s="5" t="s">
        <v>3367</v>
      </c>
      <c r="D159" s="28" t="s">
        <v>1072</v>
      </c>
      <c r="E159" s="13">
        <v>1396</v>
      </c>
      <c r="F159" s="113">
        <f t="shared" si="5"/>
        <v>18.308196721311475</v>
      </c>
      <c r="G159" s="13"/>
      <c r="H159" s="113"/>
    </row>
    <row r="160" spans="1:8" s="5" customFormat="1" ht="11.25" customHeight="1" x14ac:dyDescent="0.2">
      <c r="C160" s="5" t="s">
        <v>3368</v>
      </c>
      <c r="D160" s="5" t="s">
        <v>653</v>
      </c>
      <c r="E160" s="13">
        <v>2010</v>
      </c>
      <c r="F160" s="113">
        <f t="shared" si="5"/>
        <v>26.360655737704917</v>
      </c>
      <c r="G160" s="13"/>
      <c r="H160" s="113"/>
    </row>
    <row r="161" spans="1:8" s="5" customFormat="1" ht="11.25" customHeight="1" x14ac:dyDescent="0.2">
      <c r="D161" s="28"/>
      <c r="E161" s="162" t="s">
        <v>3372</v>
      </c>
      <c r="F161" s="165">
        <f>SUM(F155:F160)</f>
        <v>100</v>
      </c>
      <c r="G161" s="162">
        <v>25175</v>
      </c>
      <c r="H161" s="165">
        <v>30.5</v>
      </c>
    </row>
    <row r="162" spans="1:8" s="5" customFormat="1" ht="11.25" customHeight="1" x14ac:dyDescent="0.2">
      <c r="D162" s="28"/>
      <c r="E162" s="13"/>
      <c r="F162" s="113"/>
      <c r="G162" s="13"/>
      <c r="H162" s="113"/>
    </row>
    <row r="163" spans="1:8" s="5" customFormat="1" ht="11.25" customHeight="1" x14ac:dyDescent="0.2">
      <c r="A163" s="5" t="s">
        <v>3231</v>
      </c>
      <c r="C163" s="5" t="s">
        <v>3369</v>
      </c>
      <c r="D163" s="152" t="s">
        <v>3623</v>
      </c>
      <c r="E163" s="13">
        <v>865</v>
      </c>
      <c r="F163" s="113">
        <f>E163/13756*100</f>
        <v>6.2881651642919447</v>
      </c>
      <c r="G163" s="13"/>
      <c r="H163" s="113"/>
    </row>
    <row r="164" spans="1:8" s="5" customFormat="1" ht="11.25" customHeight="1" x14ac:dyDescent="0.2">
      <c r="C164" s="5" t="s">
        <v>2178</v>
      </c>
      <c r="D164" s="28" t="s">
        <v>655</v>
      </c>
      <c r="E164" s="13">
        <v>661</v>
      </c>
      <c r="F164" s="113">
        <f>E164/13756*100</f>
        <v>4.8051759232334987</v>
      </c>
      <c r="G164" s="13"/>
      <c r="H164" s="113"/>
    </row>
    <row r="165" spans="1:8" s="5" customFormat="1" ht="11.25" customHeight="1" x14ac:dyDescent="0.2">
      <c r="C165" s="5" t="s">
        <v>3370</v>
      </c>
      <c r="D165" s="28" t="s">
        <v>1736</v>
      </c>
      <c r="E165" s="13">
        <v>4252</v>
      </c>
      <c r="F165" s="113">
        <f>E165/13756*100</f>
        <v>30.910148298924106</v>
      </c>
      <c r="G165" s="13"/>
      <c r="H165" s="113"/>
    </row>
    <row r="166" spans="1:8" s="5" customFormat="1" ht="11.25" customHeight="1" x14ac:dyDescent="0.2">
      <c r="C166" s="5" t="s">
        <v>1011</v>
      </c>
      <c r="D166" s="5" t="s">
        <v>3275</v>
      </c>
      <c r="E166" s="13">
        <v>892</v>
      </c>
      <c r="F166" s="113">
        <f>E166/13756*100</f>
        <v>6.4844431520790931</v>
      </c>
      <c r="G166" s="13"/>
      <c r="H166" s="113"/>
    </row>
    <row r="167" spans="1:8" s="5" customFormat="1" ht="11.25" customHeight="1" x14ac:dyDescent="0.2">
      <c r="C167" s="14" t="s">
        <v>2179</v>
      </c>
      <c r="D167" s="28" t="s">
        <v>1072</v>
      </c>
      <c r="E167" s="13">
        <v>7086</v>
      </c>
      <c r="F167" s="113">
        <f>E167/13756*100</f>
        <v>51.512067461471354</v>
      </c>
      <c r="G167" s="13"/>
      <c r="H167" s="113"/>
    </row>
    <row r="168" spans="1:8" s="5" customFormat="1" ht="11.25" customHeight="1" x14ac:dyDescent="0.2">
      <c r="D168" s="28"/>
      <c r="E168" s="162" t="s">
        <v>3371</v>
      </c>
      <c r="F168" s="165">
        <f>SUM(F163:F167)</f>
        <v>100</v>
      </c>
      <c r="G168" s="162">
        <v>33311</v>
      </c>
      <c r="H168" s="165">
        <v>41.5</v>
      </c>
    </row>
    <row r="169" spans="1:8" s="5" customFormat="1" ht="11.25" customHeight="1" x14ac:dyDescent="0.2">
      <c r="D169" s="28"/>
      <c r="E169" s="13"/>
      <c r="F169" s="113"/>
      <c r="G169" s="13"/>
      <c r="H169" s="113"/>
    </row>
    <row r="170" spans="1:8" s="5" customFormat="1" ht="11.25" customHeight="1" x14ac:dyDescent="0.2">
      <c r="A170" s="5" t="s">
        <v>3235</v>
      </c>
      <c r="C170" s="5" t="s">
        <v>3373</v>
      </c>
      <c r="D170" s="28" t="s">
        <v>655</v>
      </c>
      <c r="E170" s="13">
        <v>1381</v>
      </c>
      <c r="F170" s="113">
        <f t="shared" ref="F170:F175" si="6">E170/11171*100</f>
        <v>12.362366842717751</v>
      </c>
      <c r="G170" s="13"/>
      <c r="H170" s="113"/>
    </row>
    <row r="171" spans="1:8" s="5" customFormat="1" ht="11.25" customHeight="1" x14ac:dyDescent="0.2">
      <c r="C171" s="14" t="s">
        <v>3374</v>
      </c>
      <c r="D171" s="28" t="s">
        <v>1736</v>
      </c>
      <c r="E171" s="13">
        <v>4281</v>
      </c>
      <c r="F171" s="113">
        <f t="shared" si="6"/>
        <v>38.322442037418313</v>
      </c>
      <c r="G171" s="13"/>
      <c r="H171" s="113"/>
    </row>
    <row r="172" spans="1:8" s="5" customFormat="1" ht="11.25" customHeight="1" x14ac:dyDescent="0.2">
      <c r="C172" s="5" t="s">
        <v>3375</v>
      </c>
      <c r="D172" s="152" t="s">
        <v>3623</v>
      </c>
      <c r="E172" s="13">
        <v>732</v>
      </c>
      <c r="F172" s="113">
        <f t="shared" si="6"/>
        <v>6.5526810491451082</v>
      </c>
      <c r="G172" s="13"/>
      <c r="H172" s="113"/>
    </row>
    <row r="173" spans="1:8" s="5" customFormat="1" ht="11.25" customHeight="1" x14ac:dyDescent="0.2">
      <c r="C173" s="5" t="s">
        <v>3376</v>
      </c>
      <c r="D173" s="5" t="s">
        <v>3275</v>
      </c>
      <c r="E173" s="13">
        <v>976</v>
      </c>
      <c r="F173" s="113">
        <f t="shared" si="6"/>
        <v>8.7369080655268103</v>
      </c>
      <c r="G173" s="13"/>
      <c r="H173" s="113"/>
    </row>
    <row r="174" spans="1:8" s="5" customFormat="1" ht="11.25" customHeight="1" x14ac:dyDescent="0.2">
      <c r="C174" s="5" t="s">
        <v>1966</v>
      </c>
      <c r="D174" s="28" t="s">
        <v>1072</v>
      </c>
      <c r="E174" s="13">
        <v>3573</v>
      </c>
      <c r="F174" s="113">
        <f t="shared" si="6"/>
        <v>31.984602989884518</v>
      </c>
      <c r="G174" s="13"/>
      <c r="H174" s="113"/>
    </row>
    <row r="175" spans="1:8" s="5" customFormat="1" ht="11.25" customHeight="1" x14ac:dyDescent="0.2">
      <c r="C175" s="5" t="s">
        <v>3377</v>
      </c>
      <c r="D175" s="28" t="s">
        <v>1071</v>
      </c>
      <c r="E175" s="13">
        <v>228</v>
      </c>
      <c r="F175" s="113">
        <f t="shared" si="6"/>
        <v>2.0409990153074928</v>
      </c>
      <c r="G175" s="13"/>
      <c r="H175" s="113"/>
    </row>
    <row r="176" spans="1:8" s="5" customFormat="1" ht="11.25" customHeight="1" x14ac:dyDescent="0.2">
      <c r="D176" s="28"/>
      <c r="E176" s="162" t="s">
        <v>3378</v>
      </c>
      <c r="F176" s="165">
        <f>SUM(F170:F175)</f>
        <v>99.999999999999986</v>
      </c>
      <c r="G176" s="162">
        <v>27219</v>
      </c>
      <c r="H176" s="165">
        <v>41.2</v>
      </c>
    </row>
    <row r="177" spans="1:8" s="5" customFormat="1" ht="11.25" customHeight="1" x14ac:dyDescent="0.2">
      <c r="D177" s="28"/>
      <c r="E177" s="13"/>
      <c r="F177" s="113"/>
      <c r="G177" s="13"/>
      <c r="H177" s="113"/>
    </row>
    <row r="178" spans="1:8" s="5" customFormat="1" ht="11.25" customHeight="1" x14ac:dyDescent="0.2">
      <c r="A178" s="5" t="s">
        <v>3240</v>
      </c>
      <c r="C178" s="5" t="s">
        <v>3379</v>
      </c>
      <c r="D178" s="28" t="s">
        <v>655</v>
      </c>
      <c r="E178" s="13">
        <v>637</v>
      </c>
      <c r="F178" s="113">
        <f>E178/18209*100</f>
        <v>3.4982700862210994</v>
      </c>
      <c r="G178" s="13"/>
      <c r="H178" s="113"/>
    </row>
    <row r="179" spans="1:8" s="5" customFormat="1" ht="11.25" customHeight="1" x14ac:dyDescent="0.2">
      <c r="C179" s="14" t="s">
        <v>3380</v>
      </c>
      <c r="D179" s="28" t="s">
        <v>1736</v>
      </c>
      <c r="E179" s="13">
        <v>8415</v>
      </c>
      <c r="F179" s="113">
        <f>E179/18209*100</f>
        <v>46.213410950628806</v>
      </c>
      <c r="G179" s="13"/>
      <c r="H179" s="113"/>
    </row>
    <row r="180" spans="1:8" s="5" customFormat="1" ht="11.25" customHeight="1" x14ac:dyDescent="0.2">
      <c r="C180" s="5" t="s">
        <v>3381</v>
      </c>
      <c r="D180" s="28" t="s">
        <v>1072</v>
      </c>
      <c r="E180" s="13">
        <v>5552</v>
      </c>
      <c r="F180" s="113">
        <f>E180/18209*100</f>
        <v>30.49041682684387</v>
      </c>
      <c r="G180" s="13"/>
      <c r="H180" s="113"/>
    </row>
    <row r="181" spans="1:8" s="5" customFormat="1" ht="11.25" customHeight="1" x14ac:dyDescent="0.2">
      <c r="C181" s="5" t="s">
        <v>3382</v>
      </c>
      <c r="D181" s="5" t="s">
        <v>3275</v>
      </c>
      <c r="E181" s="13">
        <v>2703</v>
      </c>
      <c r="F181" s="113">
        <f>E181/18209*100</f>
        <v>14.84430775989895</v>
      </c>
      <c r="G181" s="13"/>
      <c r="H181" s="113"/>
    </row>
    <row r="182" spans="1:8" s="5" customFormat="1" ht="11.25" customHeight="1" x14ac:dyDescent="0.2">
      <c r="C182" s="5" t="s">
        <v>2122</v>
      </c>
      <c r="D182" s="152" t="s">
        <v>3623</v>
      </c>
      <c r="E182" s="13">
        <v>902</v>
      </c>
      <c r="F182" s="113">
        <f>E182/18209*100</f>
        <v>4.9535943764072714</v>
      </c>
      <c r="G182" s="13"/>
      <c r="H182" s="113"/>
    </row>
    <row r="183" spans="1:8" s="5" customFormat="1" ht="11.25" customHeight="1" x14ac:dyDescent="0.2">
      <c r="D183" s="28"/>
      <c r="E183" s="162" t="s">
        <v>3383</v>
      </c>
      <c r="F183" s="165">
        <f>SUM(F178:F182)</f>
        <v>100</v>
      </c>
      <c r="G183" s="169">
        <v>41837</v>
      </c>
      <c r="H183" s="165">
        <v>43.6</v>
      </c>
    </row>
    <row r="184" spans="1:8" s="5" customFormat="1" ht="11.25" customHeight="1" x14ac:dyDescent="0.2">
      <c r="D184" s="28"/>
      <c r="E184" s="13"/>
      <c r="F184" s="113"/>
      <c r="G184" s="13"/>
      <c r="H184" s="113"/>
    </row>
    <row r="185" spans="1:8" s="5" customFormat="1" ht="11.25" customHeight="1" x14ac:dyDescent="0.2">
      <c r="A185" s="5" t="s">
        <v>2044</v>
      </c>
      <c r="C185" s="5" t="s">
        <v>505</v>
      </c>
      <c r="D185" s="28" t="s">
        <v>1072</v>
      </c>
      <c r="E185" s="13">
        <v>2761</v>
      </c>
      <c r="F185" s="113">
        <f>E185/9313*100</f>
        <v>29.646730376892517</v>
      </c>
      <c r="G185" s="13"/>
      <c r="H185" s="113"/>
    </row>
    <row r="186" spans="1:8" s="5" customFormat="1" ht="11.25" customHeight="1" x14ac:dyDescent="0.2">
      <c r="C186" s="14" t="s">
        <v>506</v>
      </c>
      <c r="D186" s="28" t="s">
        <v>1736</v>
      </c>
      <c r="E186" s="13">
        <v>4586</v>
      </c>
      <c r="F186" s="113">
        <f>E186/9313*100</f>
        <v>49.242993664769671</v>
      </c>
      <c r="G186" s="13"/>
      <c r="H186" s="113"/>
    </row>
    <row r="187" spans="1:8" s="5" customFormat="1" ht="11.25" customHeight="1" x14ac:dyDescent="0.2">
      <c r="C187" s="5" t="s">
        <v>3384</v>
      </c>
      <c r="D187" s="152" t="s">
        <v>3623</v>
      </c>
      <c r="E187" s="13">
        <v>624</v>
      </c>
      <c r="F187" s="113">
        <f>E187/9313*100</f>
        <v>6.7003113926769027</v>
      </c>
      <c r="G187" s="13"/>
      <c r="H187" s="113"/>
    </row>
    <row r="188" spans="1:8" s="5" customFormat="1" ht="11.25" customHeight="1" x14ac:dyDescent="0.2">
      <c r="C188" s="5" t="s">
        <v>3385</v>
      </c>
      <c r="D188" s="5" t="s">
        <v>3275</v>
      </c>
      <c r="E188" s="13">
        <v>954</v>
      </c>
      <c r="F188" s="113">
        <f>E188/9313*100</f>
        <v>10.243745302265649</v>
      </c>
      <c r="G188" s="13"/>
      <c r="H188" s="113"/>
    </row>
    <row r="189" spans="1:8" s="5" customFormat="1" ht="11.25" customHeight="1" x14ac:dyDescent="0.2">
      <c r="C189" s="5" t="s">
        <v>3386</v>
      </c>
      <c r="D189" s="28" t="s">
        <v>655</v>
      </c>
      <c r="E189" s="13">
        <v>388</v>
      </c>
      <c r="F189" s="113">
        <f>E189/9313*100</f>
        <v>4.1662192633952539</v>
      </c>
      <c r="G189" s="13"/>
      <c r="H189" s="113"/>
    </row>
    <row r="190" spans="1:8" s="5" customFormat="1" ht="11.25" customHeight="1" x14ac:dyDescent="0.2">
      <c r="D190" s="28"/>
      <c r="E190" s="162" t="s">
        <v>3387</v>
      </c>
      <c r="F190" s="165">
        <f>SUM(F185:F189)</f>
        <v>100</v>
      </c>
      <c r="G190" s="162">
        <v>26387</v>
      </c>
      <c r="H190" s="165">
        <v>35.4</v>
      </c>
    </row>
    <row r="191" spans="1:8" s="5" customFormat="1" ht="11.25" customHeight="1" x14ac:dyDescent="0.2">
      <c r="D191" s="28"/>
      <c r="E191" s="13"/>
      <c r="F191" s="113"/>
      <c r="G191" s="13"/>
      <c r="H191" s="113"/>
    </row>
    <row r="192" spans="1:8" s="5" customFormat="1" ht="11.25" customHeight="1" x14ac:dyDescent="0.2">
      <c r="A192" s="5" t="s">
        <v>1176</v>
      </c>
      <c r="C192" s="14" t="s">
        <v>1177</v>
      </c>
      <c r="D192" s="28" t="s">
        <v>1736</v>
      </c>
      <c r="E192" s="13">
        <v>7010</v>
      </c>
      <c r="F192" s="113">
        <f>E192/12061*100</f>
        <v>58.12121714617362</v>
      </c>
      <c r="G192" s="13"/>
      <c r="H192" s="113"/>
    </row>
    <row r="193" spans="1:8" s="5" customFormat="1" ht="11.25" customHeight="1" x14ac:dyDescent="0.2">
      <c r="C193" s="5" t="s">
        <v>3388</v>
      </c>
      <c r="D193" s="28" t="s">
        <v>655</v>
      </c>
      <c r="E193" s="13">
        <v>334</v>
      </c>
      <c r="F193" s="113">
        <f>E193/12061*100</f>
        <v>2.76925628057375</v>
      </c>
      <c r="G193" s="13"/>
      <c r="H193" s="113"/>
    </row>
    <row r="194" spans="1:8" s="5" customFormat="1" ht="11.25" customHeight="1" x14ac:dyDescent="0.2">
      <c r="C194" s="5" t="s">
        <v>3389</v>
      </c>
      <c r="D194" s="5" t="s">
        <v>3275</v>
      </c>
      <c r="E194" s="13">
        <v>1268</v>
      </c>
      <c r="F194" s="113">
        <f>E194/12061*100</f>
        <v>10.513224442417709</v>
      </c>
      <c r="G194" s="13"/>
      <c r="H194" s="113"/>
    </row>
    <row r="195" spans="1:8" s="5" customFormat="1" ht="11.25" customHeight="1" x14ac:dyDescent="0.2">
      <c r="C195" s="5" t="s">
        <v>514</v>
      </c>
      <c r="D195" s="28" t="s">
        <v>1072</v>
      </c>
      <c r="E195" s="13">
        <v>2958</v>
      </c>
      <c r="F195" s="113">
        <f>E195/12061*100</f>
        <v>24.525329574662134</v>
      </c>
      <c r="G195" s="13"/>
      <c r="H195" s="113"/>
    </row>
    <row r="196" spans="1:8" s="5" customFormat="1" ht="11.25" customHeight="1" x14ac:dyDescent="0.2">
      <c r="C196" s="5" t="s">
        <v>3390</v>
      </c>
      <c r="D196" s="152" t="s">
        <v>3623</v>
      </c>
      <c r="E196" s="13">
        <v>491</v>
      </c>
      <c r="F196" s="113">
        <f>E196/12061*100</f>
        <v>4.0709725561727881</v>
      </c>
      <c r="G196" s="13"/>
      <c r="H196" s="113"/>
    </row>
    <row r="197" spans="1:8" s="5" customFormat="1" ht="11.25" customHeight="1" x14ac:dyDescent="0.2">
      <c r="D197" s="28"/>
      <c r="E197" s="162" t="s">
        <v>3391</v>
      </c>
      <c r="F197" s="165">
        <f>SUM(F192:F196)</f>
        <v>100.00000000000001</v>
      </c>
      <c r="G197" s="162">
        <v>30409</v>
      </c>
      <c r="H197" s="165">
        <v>39.799999999999997</v>
      </c>
    </row>
    <row r="198" spans="1:8" s="5" customFormat="1" ht="11.25" customHeight="1" x14ac:dyDescent="0.2">
      <c r="D198" s="28"/>
      <c r="E198" s="13"/>
      <c r="F198" s="113"/>
      <c r="G198" s="13"/>
      <c r="H198" s="113"/>
    </row>
    <row r="199" spans="1:8" s="5" customFormat="1" ht="11.25" customHeight="1" x14ac:dyDescent="0.2">
      <c r="A199" s="5" t="s">
        <v>1183</v>
      </c>
      <c r="C199" s="14" t="s">
        <v>3396</v>
      </c>
      <c r="D199" s="28" t="s">
        <v>1072</v>
      </c>
      <c r="E199" s="13">
        <v>6907</v>
      </c>
      <c r="F199" s="113">
        <f>E199/14591*100</f>
        <v>47.337399766979644</v>
      </c>
      <c r="G199" s="13"/>
      <c r="H199" s="113"/>
    </row>
    <row r="200" spans="1:8" s="5" customFormat="1" ht="11.25" customHeight="1" x14ac:dyDescent="0.2">
      <c r="C200" s="5" t="s">
        <v>3392</v>
      </c>
      <c r="D200" s="28" t="s">
        <v>1736</v>
      </c>
      <c r="E200" s="13">
        <v>5353</v>
      </c>
      <c r="F200" s="113">
        <f>E200/14591*100</f>
        <v>36.686998834898226</v>
      </c>
      <c r="G200" s="13"/>
      <c r="H200" s="113"/>
    </row>
    <row r="201" spans="1:8" s="5" customFormat="1" ht="11.25" customHeight="1" x14ac:dyDescent="0.2">
      <c r="C201" s="5" t="s">
        <v>3393</v>
      </c>
      <c r="D201" s="5" t="s">
        <v>3275</v>
      </c>
      <c r="E201" s="13">
        <v>1043</v>
      </c>
      <c r="F201" s="113">
        <f>E201/14591*100</f>
        <v>7.1482420670276197</v>
      </c>
      <c r="G201" s="13"/>
      <c r="H201" s="113"/>
    </row>
    <row r="202" spans="1:8" s="5" customFormat="1" ht="11.25" customHeight="1" x14ac:dyDescent="0.2">
      <c r="C202" s="5" t="s">
        <v>3394</v>
      </c>
      <c r="D202" s="152" t="s">
        <v>3623</v>
      </c>
      <c r="E202" s="13">
        <v>758</v>
      </c>
      <c r="F202" s="113">
        <f>E202/14591*100</f>
        <v>5.1949832088273595</v>
      </c>
      <c r="G202" s="13"/>
      <c r="H202" s="113"/>
    </row>
    <row r="203" spans="1:8" s="5" customFormat="1" ht="11.25" customHeight="1" x14ac:dyDescent="0.2">
      <c r="C203" s="5" t="s">
        <v>3395</v>
      </c>
      <c r="D203" s="28" t="s">
        <v>655</v>
      </c>
      <c r="E203" s="13">
        <v>530</v>
      </c>
      <c r="F203" s="113">
        <f>E203/14591*100</f>
        <v>3.6323761222671509</v>
      </c>
      <c r="G203" s="13"/>
      <c r="H203" s="113"/>
    </row>
    <row r="204" spans="1:8" s="5" customFormat="1" ht="11.25" customHeight="1" x14ac:dyDescent="0.2">
      <c r="D204" s="28"/>
      <c r="E204" s="162" t="s">
        <v>3397</v>
      </c>
      <c r="F204" s="165">
        <f>SUM(F199:F203)</f>
        <v>100</v>
      </c>
      <c r="G204" s="162">
        <v>29481</v>
      </c>
      <c r="H204" s="165">
        <v>49.7</v>
      </c>
    </row>
    <row r="205" spans="1:8" s="5" customFormat="1" ht="11.25" customHeight="1" x14ac:dyDescent="0.2">
      <c r="D205" s="28"/>
      <c r="E205" s="13"/>
      <c r="F205" s="113"/>
      <c r="G205" s="13"/>
      <c r="H205" s="113"/>
    </row>
    <row r="206" spans="1:8" s="5" customFormat="1" ht="11.25" customHeight="1" x14ac:dyDescent="0.2">
      <c r="A206" s="5" t="s">
        <v>1188</v>
      </c>
      <c r="C206" s="5" t="s">
        <v>3398</v>
      </c>
      <c r="D206" s="5" t="s">
        <v>3275</v>
      </c>
      <c r="E206" s="13">
        <v>2273</v>
      </c>
      <c r="F206" s="113">
        <f>E206/17568*100</f>
        <v>12.938296903460838</v>
      </c>
      <c r="G206" s="13"/>
      <c r="H206" s="113"/>
    </row>
    <row r="207" spans="1:8" s="5" customFormat="1" ht="11.25" customHeight="1" x14ac:dyDescent="0.2">
      <c r="C207" s="5" t="s">
        <v>523</v>
      </c>
      <c r="D207" s="28" t="s">
        <v>655</v>
      </c>
      <c r="E207" s="13">
        <v>401</v>
      </c>
      <c r="F207" s="113">
        <f>E207/17568*100</f>
        <v>2.2825591985428053</v>
      </c>
      <c r="G207" s="13"/>
      <c r="H207" s="113"/>
    </row>
    <row r="208" spans="1:8" s="5" customFormat="1" ht="11.25" customHeight="1" x14ac:dyDescent="0.2">
      <c r="C208" s="5" t="s">
        <v>3399</v>
      </c>
      <c r="D208" s="28" t="s">
        <v>1072</v>
      </c>
      <c r="E208" s="13">
        <v>5693</v>
      </c>
      <c r="F208" s="113">
        <f>E208/17568*100</f>
        <v>32.405510018214933</v>
      </c>
      <c r="G208" s="13"/>
      <c r="H208" s="113"/>
    </row>
    <row r="209" spans="1:8" s="5" customFormat="1" ht="11.25" customHeight="1" x14ac:dyDescent="0.2">
      <c r="C209" s="5" t="s">
        <v>525</v>
      </c>
      <c r="D209" s="152" t="s">
        <v>3623</v>
      </c>
      <c r="E209" s="13">
        <v>773</v>
      </c>
      <c r="F209" s="113">
        <f>E209/17568*100</f>
        <v>4.4000455373406195</v>
      </c>
      <c r="G209" s="13"/>
      <c r="H209" s="113"/>
    </row>
    <row r="210" spans="1:8" s="5" customFormat="1" ht="11.25" customHeight="1" x14ac:dyDescent="0.2">
      <c r="C210" s="14" t="s">
        <v>526</v>
      </c>
      <c r="D210" s="28" t="s">
        <v>1736</v>
      </c>
      <c r="E210" s="13">
        <v>8428</v>
      </c>
      <c r="F210" s="113">
        <f>E210/17568*100</f>
        <v>47.973588342440806</v>
      </c>
      <c r="G210" s="13"/>
      <c r="H210" s="113"/>
    </row>
    <row r="211" spans="1:8" s="5" customFormat="1" ht="11.25" customHeight="1" x14ac:dyDescent="0.2">
      <c r="D211" s="28"/>
      <c r="E211" s="162" t="s">
        <v>3400</v>
      </c>
      <c r="F211" s="165">
        <f>SUM(F206:F210)</f>
        <v>100</v>
      </c>
      <c r="G211" s="162">
        <v>40146</v>
      </c>
      <c r="H211" s="165">
        <v>43.8</v>
      </c>
    </row>
    <row r="212" spans="1:8" s="5" customFormat="1" ht="11.25" customHeight="1" x14ac:dyDescent="0.2">
      <c r="D212" s="28"/>
      <c r="E212" s="13"/>
      <c r="F212" s="113"/>
      <c r="G212" s="13"/>
      <c r="H212" s="113"/>
    </row>
    <row r="213" spans="1:8" s="5" customFormat="1" ht="11.25" customHeight="1" x14ac:dyDescent="0.2">
      <c r="A213" s="5" t="s">
        <v>1023</v>
      </c>
      <c r="C213" s="5" t="s">
        <v>1024</v>
      </c>
      <c r="D213" s="28" t="s">
        <v>1072</v>
      </c>
      <c r="E213" s="13">
        <v>436</v>
      </c>
      <c r="F213" s="113">
        <f>E213/9505*100</f>
        <v>4.5870594423987372</v>
      </c>
      <c r="G213" s="13"/>
      <c r="H213" s="113"/>
    </row>
    <row r="214" spans="1:8" s="5" customFormat="1" ht="11.25" customHeight="1" x14ac:dyDescent="0.2">
      <c r="C214" s="5" t="s">
        <v>531</v>
      </c>
      <c r="D214" s="5" t="s">
        <v>3275</v>
      </c>
      <c r="E214" s="13">
        <v>4325</v>
      </c>
      <c r="F214" s="113">
        <f>E214/9505*100</f>
        <v>45.50236717517096</v>
      </c>
      <c r="G214" s="13"/>
      <c r="H214" s="113"/>
    </row>
    <row r="215" spans="1:8" s="5" customFormat="1" ht="11.25" customHeight="1" x14ac:dyDescent="0.2">
      <c r="C215" s="14" t="s">
        <v>1025</v>
      </c>
      <c r="D215" s="28" t="s">
        <v>1736</v>
      </c>
      <c r="E215" s="13">
        <v>4374</v>
      </c>
      <c r="F215" s="113">
        <f>E215/9505*100</f>
        <v>46.017885323513937</v>
      </c>
      <c r="G215" s="13"/>
      <c r="H215" s="113"/>
    </row>
    <row r="216" spans="1:8" s="5" customFormat="1" ht="11.25" customHeight="1" x14ac:dyDescent="0.2">
      <c r="C216" s="5" t="s">
        <v>1330</v>
      </c>
      <c r="D216" s="28" t="s">
        <v>655</v>
      </c>
      <c r="E216" s="13">
        <v>190</v>
      </c>
      <c r="F216" s="113">
        <f>E216/9505*100</f>
        <v>1.9989479221462387</v>
      </c>
      <c r="G216" s="13"/>
      <c r="H216" s="113"/>
    </row>
    <row r="217" spans="1:8" s="5" customFormat="1" ht="11.25" customHeight="1" x14ac:dyDescent="0.2">
      <c r="C217" s="5" t="s">
        <v>3401</v>
      </c>
      <c r="D217" s="152" t="s">
        <v>3623</v>
      </c>
      <c r="E217" s="13">
        <v>180</v>
      </c>
      <c r="F217" s="113">
        <f>E217/9505*100</f>
        <v>1.893740136770121</v>
      </c>
      <c r="G217" s="13"/>
      <c r="H217" s="113"/>
    </row>
    <row r="218" spans="1:8" s="5" customFormat="1" ht="11.25" customHeight="1" x14ac:dyDescent="0.2">
      <c r="D218" s="28"/>
      <c r="E218" s="162" t="s">
        <v>3402</v>
      </c>
      <c r="F218" s="165">
        <f>SUM(F213:F217)</f>
        <v>100</v>
      </c>
      <c r="G218" s="162">
        <v>19905</v>
      </c>
      <c r="H218" s="165">
        <v>47.8</v>
      </c>
    </row>
    <row r="219" spans="1:8" s="5" customFormat="1" ht="11.25" customHeight="1" x14ac:dyDescent="0.2">
      <c r="E219" s="13"/>
      <c r="F219" s="113"/>
      <c r="G219" s="13"/>
      <c r="H219" s="113"/>
    </row>
    <row r="220" spans="1:8" s="5" customFormat="1" ht="11.25" customHeight="1" x14ac:dyDescent="0.2">
      <c r="A220" s="5" t="s">
        <v>1335</v>
      </c>
      <c r="C220" s="5" t="s">
        <v>3403</v>
      </c>
      <c r="D220" s="28" t="s">
        <v>655</v>
      </c>
      <c r="E220" s="13">
        <v>347</v>
      </c>
      <c r="F220" s="113">
        <f>E220/8904*100</f>
        <v>3.8971248876909255</v>
      </c>
      <c r="G220" s="13"/>
      <c r="H220" s="113"/>
    </row>
    <row r="221" spans="1:8" s="5" customFormat="1" ht="11.25" customHeight="1" x14ac:dyDescent="0.2">
      <c r="C221" s="5" t="s">
        <v>3404</v>
      </c>
      <c r="D221" s="28" t="s">
        <v>1072</v>
      </c>
      <c r="E221" s="13">
        <v>2023</v>
      </c>
      <c r="F221" s="113">
        <f>E221/8904*100</f>
        <v>22.720125786163521</v>
      </c>
      <c r="G221" s="13"/>
      <c r="H221" s="113"/>
    </row>
    <row r="222" spans="1:8" s="5" customFormat="1" ht="11.25" customHeight="1" x14ac:dyDescent="0.2">
      <c r="C222" s="14" t="s">
        <v>3405</v>
      </c>
      <c r="D222" s="28" t="s">
        <v>1736</v>
      </c>
      <c r="E222" s="13">
        <v>5640</v>
      </c>
      <c r="F222" s="113">
        <f>E222/8904*100</f>
        <v>63.342318059299195</v>
      </c>
      <c r="G222" s="13"/>
      <c r="H222" s="113"/>
    </row>
    <row r="223" spans="1:8" s="5" customFormat="1" ht="11.25" customHeight="1" x14ac:dyDescent="0.2">
      <c r="C223" s="5" t="s">
        <v>536</v>
      </c>
      <c r="D223" s="5" t="s">
        <v>3275</v>
      </c>
      <c r="E223" s="13">
        <v>679</v>
      </c>
      <c r="F223" s="113">
        <f>E223/8904*100</f>
        <v>7.6257861635220126</v>
      </c>
      <c r="G223" s="13"/>
      <c r="H223" s="113"/>
    </row>
    <row r="224" spans="1:8" s="5" customFormat="1" ht="11.25" customHeight="1" x14ac:dyDescent="0.2">
      <c r="C224" s="5" t="s">
        <v>3406</v>
      </c>
      <c r="D224" s="152" t="s">
        <v>3623</v>
      </c>
      <c r="E224" s="13">
        <v>215</v>
      </c>
      <c r="F224" s="113">
        <f>E224/8904*100</f>
        <v>2.4146451033243488</v>
      </c>
      <c r="G224" s="13"/>
      <c r="H224" s="113"/>
    </row>
    <row r="225" spans="1:8" s="5" customFormat="1" ht="11.25" customHeight="1" x14ac:dyDescent="0.2">
      <c r="D225" s="28"/>
      <c r="E225" s="162" t="s">
        <v>3407</v>
      </c>
      <c r="F225" s="165">
        <f>SUM(F220:F224)</f>
        <v>100</v>
      </c>
      <c r="G225" s="162">
        <v>25035</v>
      </c>
      <c r="H225" s="165">
        <v>35.700000000000003</v>
      </c>
    </row>
    <row r="226" spans="1:8" s="5" customFormat="1" ht="11.25" customHeight="1" x14ac:dyDescent="0.2">
      <c r="D226" s="28"/>
      <c r="E226" s="13"/>
      <c r="F226" s="113"/>
      <c r="G226" s="13"/>
      <c r="H226" s="113"/>
    </row>
    <row r="227" spans="1:8" s="5" customFormat="1" ht="11.25" customHeight="1" x14ac:dyDescent="0.2">
      <c r="A227" s="5" t="s">
        <v>1339</v>
      </c>
      <c r="C227" s="5" t="s">
        <v>529</v>
      </c>
      <c r="D227" s="28" t="s">
        <v>655</v>
      </c>
      <c r="E227" s="13">
        <v>390</v>
      </c>
      <c r="F227" s="113">
        <f>E227/10097*100</f>
        <v>3.8625334257700308</v>
      </c>
      <c r="G227" s="13"/>
      <c r="H227" s="113"/>
    </row>
    <row r="228" spans="1:8" s="5" customFormat="1" ht="11.25" customHeight="1" x14ac:dyDescent="0.2">
      <c r="C228" s="5" t="s">
        <v>3408</v>
      </c>
      <c r="D228" s="28" t="s">
        <v>1072</v>
      </c>
      <c r="E228" s="13">
        <v>846</v>
      </c>
      <c r="F228" s="113">
        <f>E228/10097*100</f>
        <v>8.3787263543626818</v>
      </c>
      <c r="G228" s="13"/>
      <c r="H228" s="113"/>
    </row>
    <row r="229" spans="1:8" s="5" customFormat="1" ht="11.25" customHeight="1" x14ac:dyDescent="0.2">
      <c r="C229" s="5" t="s">
        <v>541</v>
      </c>
      <c r="D229" s="152" t="s">
        <v>3623</v>
      </c>
      <c r="E229" s="13">
        <v>1877</v>
      </c>
      <c r="F229" s="113">
        <f>E229/10097*100</f>
        <v>18.589680103000891</v>
      </c>
      <c r="G229" s="13"/>
      <c r="H229" s="113"/>
    </row>
    <row r="230" spans="1:8" s="5" customFormat="1" ht="11.25" customHeight="1" x14ac:dyDescent="0.2">
      <c r="C230" s="14" t="s">
        <v>3409</v>
      </c>
      <c r="D230" s="28" t="s">
        <v>1736</v>
      </c>
      <c r="E230" s="13">
        <v>5931</v>
      </c>
      <c r="F230" s="113">
        <f>E230/10097*100</f>
        <v>58.740219867287315</v>
      </c>
      <c r="G230" s="13"/>
      <c r="H230" s="113"/>
    </row>
    <row r="231" spans="1:8" s="5" customFormat="1" ht="11.25" customHeight="1" x14ac:dyDescent="0.2">
      <c r="C231" s="5" t="s">
        <v>3410</v>
      </c>
      <c r="D231" s="5" t="s">
        <v>3275</v>
      </c>
      <c r="E231" s="13">
        <v>1053</v>
      </c>
      <c r="F231" s="113">
        <f>E231/10097*100</f>
        <v>10.428840249579082</v>
      </c>
      <c r="G231" s="13"/>
      <c r="H231" s="113"/>
    </row>
    <row r="232" spans="1:8" s="5" customFormat="1" ht="11.25" customHeight="1" x14ac:dyDescent="0.2">
      <c r="D232" s="28"/>
      <c r="E232" s="162" t="s">
        <v>3411</v>
      </c>
      <c r="F232" s="165">
        <f>SUM(F227:F231)</f>
        <v>100</v>
      </c>
      <c r="G232" s="162">
        <v>20923</v>
      </c>
      <c r="H232" s="165">
        <v>48.4</v>
      </c>
    </row>
    <row r="233" spans="1:8" s="5" customFormat="1" ht="11.25" customHeight="1" x14ac:dyDescent="0.2">
      <c r="D233" s="28"/>
      <c r="E233" s="13"/>
      <c r="F233" s="113"/>
      <c r="G233" s="13"/>
      <c r="H233" s="113"/>
    </row>
    <row r="234" spans="1:8" s="5" customFormat="1" ht="11.25" customHeight="1" x14ac:dyDescent="0.2">
      <c r="A234" s="5" t="s">
        <v>2045</v>
      </c>
      <c r="C234" s="5" t="s">
        <v>3412</v>
      </c>
      <c r="D234" s="152" t="s">
        <v>3623</v>
      </c>
      <c r="E234" s="5">
        <v>353</v>
      </c>
      <c r="F234" s="113">
        <f>E234/10140*100</f>
        <v>3.4812623274161734</v>
      </c>
      <c r="G234" s="13"/>
      <c r="H234" s="113"/>
    </row>
    <row r="235" spans="1:8" s="5" customFormat="1" ht="11.25" customHeight="1" x14ac:dyDescent="0.2">
      <c r="C235" s="5" t="s">
        <v>546</v>
      </c>
      <c r="D235" s="5" t="s">
        <v>655</v>
      </c>
      <c r="E235" s="13">
        <v>276</v>
      </c>
      <c r="F235" s="113">
        <f>E235/10140*100</f>
        <v>2.72189349112426</v>
      </c>
      <c r="G235" s="13"/>
      <c r="H235" s="113"/>
    </row>
    <row r="236" spans="1:8" s="5" customFormat="1" ht="11.25" customHeight="1" x14ac:dyDescent="0.2">
      <c r="C236" s="5" t="s">
        <v>3413</v>
      </c>
      <c r="D236" s="28" t="s">
        <v>1072</v>
      </c>
      <c r="E236" s="13">
        <v>1463</v>
      </c>
      <c r="F236" s="113">
        <f>E236/10140*100</f>
        <v>14.428007889546352</v>
      </c>
      <c r="G236" s="13"/>
      <c r="H236" s="113"/>
    </row>
    <row r="237" spans="1:8" s="5" customFormat="1" ht="11.25" customHeight="1" x14ac:dyDescent="0.2">
      <c r="C237" s="5" t="s">
        <v>548</v>
      </c>
      <c r="D237" s="5" t="s">
        <v>3275</v>
      </c>
      <c r="E237" s="13">
        <v>1062</v>
      </c>
      <c r="F237" s="113">
        <f>E237/10140*100</f>
        <v>10.473372781065089</v>
      </c>
      <c r="G237" s="13"/>
      <c r="H237" s="113"/>
    </row>
    <row r="238" spans="1:8" s="5" customFormat="1" ht="11.25" customHeight="1" x14ac:dyDescent="0.2">
      <c r="C238" s="14" t="s">
        <v>3414</v>
      </c>
      <c r="D238" s="28" t="s">
        <v>1736</v>
      </c>
      <c r="E238" s="13">
        <v>6986</v>
      </c>
      <c r="F238" s="113">
        <f>E238/10140*100</f>
        <v>68.895463510848131</v>
      </c>
      <c r="G238" s="13"/>
      <c r="H238" s="113"/>
    </row>
    <row r="239" spans="1:8" s="5" customFormat="1" ht="11.25" customHeight="1" x14ac:dyDescent="0.2">
      <c r="D239" s="28"/>
      <c r="E239" s="162" t="s">
        <v>3415</v>
      </c>
      <c r="F239" s="165">
        <f>SUM(F234:F238)</f>
        <v>100</v>
      </c>
      <c r="G239" s="162">
        <v>21694</v>
      </c>
      <c r="H239" s="165">
        <v>46.9</v>
      </c>
    </row>
    <row r="240" spans="1:8" s="5" customFormat="1" ht="11.25" customHeight="1" x14ac:dyDescent="0.2">
      <c r="D240" s="28"/>
      <c r="E240" s="13"/>
      <c r="F240" s="113"/>
      <c r="G240" s="13"/>
      <c r="H240" s="113"/>
    </row>
    <row r="241" spans="1:8" s="5" customFormat="1" ht="11.25" customHeight="1" x14ac:dyDescent="0.2">
      <c r="A241" s="5" t="s">
        <v>2046</v>
      </c>
      <c r="C241" s="14" t="s">
        <v>1352</v>
      </c>
      <c r="D241" s="28" t="s">
        <v>1736</v>
      </c>
      <c r="E241" s="13">
        <v>4147</v>
      </c>
      <c r="F241" s="113">
        <f>E241/7976*100</f>
        <v>51.993480441323968</v>
      </c>
      <c r="G241" s="13"/>
      <c r="H241" s="113"/>
    </row>
    <row r="242" spans="1:8" s="5" customFormat="1" ht="11.25" customHeight="1" x14ac:dyDescent="0.2">
      <c r="C242" s="5" t="s">
        <v>2056</v>
      </c>
      <c r="D242" s="5" t="s">
        <v>3275</v>
      </c>
      <c r="E242" s="13">
        <v>2339</v>
      </c>
      <c r="F242" s="113">
        <f>E242/7976*100</f>
        <v>29.32547642928786</v>
      </c>
      <c r="G242" s="13"/>
      <c r="H242" s="113"/>
    </row>
    <row r="243" spans="1:8" s="5" customFormat="1" ht="11.25" customHeight="1" x14ac:dyDescent="0.2">
      <c r="C243" s="5" t="s">
        <v>3416</v>
      </c>
      <c r="D243" s="28" t="s">
        <v>655</v>
      </c>
      <c r="E243" s="13">
        <v>1202</v>
      </c>
      <c r="F243" s="113">
        <f>E243/7976*100</f>
        <v>15.070210631895687</v>
      </c>
      <c r="G243" s="13"/>
      <c r="H243" s="113"/>
    </row>
    <row r="244" spans="1:8" s="5" customFormat="1" ht="11.25" customHeight="1" x14ac:dyDescent="0.2">
      <c r="C244" s="5" t="s">
        <v>3417</v>
      </c>
      <c r="D244" s="28" t="s">
        <v>1072</v>
      </c>
      <c r="E244" s="13">
        <v>288</v>
      </c>
      <c r="F244" s="113">
        <f>E244/7976*100</f>
        <v>3.6108324974924777</v>
      </c>
      <c r="G244" s="13"/>
      <c r="H244" s="113"/>
    </row>
    <row r="245" spans="1:8" s="5" customFormat="1" ht="11.25" customHeight="1" x14ac:dyDescent="0.2">
      <c r="D245" s="28"/>
      <c r="E245" s="162" t="s">
        <v>3418</v>
      </c>
      <c r="F245" s="165">
        <f>SUM(F241:F244)</f>
        <v>100</v>
      </c>
      <c r="G245" s="162">
        <v>15300</v>
      </c>
      <c r="H245" s="165">
        <v>52.4</v>
      </c>
    </row>
    <row r="246" spans="1:8" s="5" customFormat="1" ht="11.25" customHeight="1" x14ac:dyDescent="0.2">
      <c r="D246" s="28"/>
      <c r="E246" s="13"/>
      <c r="F246" s="113"/>
      <c r="G246" s="13"/>
      <c r="H246" s="113"/>
    </row>
    <row r="247" spans="1:8" s="5" customFormat="1" ht="11.25" customHeight="1" x14ac:dyDescent="0.2">
      <c r="A247" s="5" t="s">
        <v>1192</v>
      </c>
      <c r="C247" s="5" t="s">
        <v>3419</v>
      </c>
      <c r="D247" s="5" t="s">
        <v>3275</v>
      </c>
      <c r="E247" s="13">
        <v>289</v>
      </c>
      <c r="F247" s="113">
        <f t="shared" ref="F247:F252" si="7">E247/10552*100</f>
        <v>2.7388172858225932</v>
      </c>
      <c r="G247" s="13"/>
      <c r="H247" s="113"/>
    </row>
    <row r="248" spans="1:8" s="5" customFormat="1" ht="11.25" customHeight="1" x14ac:dyDescent="0.2">
      <c r="C248" s="5" t="s">
        <v>3420</v>
      </c>
      <c r="D248" s="28" t="s">
        <v>1072</v>
      </c>
      <c r="E248" s="13">
        <v>1996</v>
      </c>
      <c r="F248" s="113">
        <f t="shared" si="7"/>
        <v>18.915845337376798</v>
      </c>
      <c r="G248" s="13"/>
      <c r="H248" s="113"/>
    </row>
    <row r="249" spans="1:8" s="5" customFormat="1" ht="11.25" customHeight="1" x14ac:dyDescent="0.2">
      <c r="C249" s="5" t="s">
        <v>1196</v>
      </c>
      <c r="D249" s="28" t="s">
        <v>655</v>
      </c>
      <c r="E249" s="13">
        <v>3845</v>
      </c>
      <c r="F249" s="113">
        <f t="shared" si="7"/>
        <v>36.438589840788474</v>
      </c>
      <c r="G249" s="13"/>
      <c r="H249" s="113"/>
    </row>
    <row r="250" spans="1:8" s="5" customFormat="1" ht="11.25" customHeight="1" x14ac:dyDescent="0.2">
      <c r="C250" s="5" t="s">
        <v>3422</v>
      </c>
      <c r="D250" s="152" t="s">
        <v>3623</v>
      </c>
      <c r="E250" s="13">
        <v>183</v>
      </c>
      <c r="F250" s="113">
        <f t="shared" si="7"/>
        <v>1.7342683851402578</v>
      </c>
      <c r="G250" s="13"/>
      <c r="H250" s="113"/>
    </row>
    <row r="251" spans="1:8" s="5" customFormat="1" ht="11.25" customHeight="1" x14ac:dyDescent="0.2">
      <c r="C251" s="5" t="s">
        <v>3421</v>
      </c>
      <c r="D251" s="5" t="s">
        <v>1071</v>
      </c>
      <c r="E251" s="13">
        <v>57</v>
      </c>
      <c r="F251" s="113">
        <f t="shared" si="7"/>
        <v>0.54018195602729346</v>
      </c>
      <c r="G251" s="13"/>
      <c r="H251" s="113"/>
    </row>
    <row r="252" spans="1:8" s="5" customFormat="1" ht="11.25" customHeight="1" x14ac:dyDescent="0.2">
      <c r="C252" s="14" t="s">
        <v>1112</v>
      </c>
      <c r="D252" s="28" t="s">
        <v>1736</v>
      </c>
      <c r="E252" s="13">
        <v>4182</v>
      </c>
      <c r="F252" s="113">
        <f t="shared" si="7"/>
        <v>39.632297194844583</v>
      </c>
      <c r="G252" s="13"/>
      <c r="H252" s="113"/>
    </row>
    <row r="253" spans="1:8" s="5" customFormat="1" ht="11.25" customHeight="1" x14ac:dyDescent="0.2">
      <c r="D253" s="28"/>
      <c r="E253" s="162" t="s">
        <v>3423</v>
      </c>
      <c r="F253" s="165">
        <f>SUM(F247:F252)</f>
        <v>100</v>
      </c>
      <c r="G253" s="162">
        <v>28057</v>
      </c>
      <c r="H253" s="165">
        <v>37.700000000000003</v>
      </c>
    </row>
    <row r="254" spans="1:8" s="5" customFormat="1" ht="11.25" customHeight="1" x14ac:dyDescent="0.2">
      <c r="D254" s="28"/>
      <c r="E254" s="13"/>
      <c r="F254" s="113"/>
      <c r="G254" s="13"/>
      <c r="H254" s="113"/>
    </row>
    <row r="255" spans="1:8" s="5" customFormat="1" ht="11.25" customHeight="1" x14ac:dyDescent="0.2">
      <c r="A255" s="5" t="s">
        <v>469</v>
      </c>
      <c r="C255" s="5" t="s">
        <v>3424</v>
      </c>
      <c r="D255" s="152" t="s">
        <v>3623</v>
      </c>
      <c r="E255" s="13">
        <v>402</v>
      </c>
      <c r="F255" s="113">
        <f>E255/11154*100</f>
        <v>3.604088219472835</v>
      </c>
      <c r="G255" s="13"/>
      <c r="H255" s="113"/>
    </row>
    <row r="256" spans="1:8" s="5" customFormat="1" ht="11.25" customHeight="1" x14ac:dyDescent="0.2">
      <c r="C256" s="5" t="s">
        <v>479</v>
      </c>
      <c r="D256" s="28" t="s">
        <v>655</v>
      </c>
      <c r="E256" s="13">
        <v>4356</v>
      </c>
      <c r="F256" s="113">
        <f>E256/11154*100</f>
        <v>39.053254437869825</v>
      </c>
      <c r="G256" s="13"/>
      <c r="H256" s="113"/>
    </row>
    <row r="257" spans="1:8" s="5" customFormat="1" ht="11.25" customHeight="1" x14ac:dyDescent="0.2">
      <c r="C257" s="14" t="s">
        <v>3425</v>
      </c>
      <c r="D257" s="28" t="s">
        <v>1736</v>
      </c>
      <c r="E257" s="13">
        <v>4557</v>
      </c>
      <c r="F257" s="113">
        <f>E257/11154*100</f>
        <v>40.855298547606239</v>
      </c>
      <c r="G257" s="13"/>
      <c r="H257" s="113"/>
    </row>
    <row r="258" spans="1:8" s="5" customFormat="1" ht="11.25" customHeight="1" x14ac:dyDescent="0.2">
      <c r="C258" s="5" t="s">
        <v>3426</v>
      </c>
      <c r="D258" s="28" t="s">
        <v>1072</v>
      </c>
      <c r="E258" s="13">
        <v>1839</v>
      </c>
      <c r="F258" s="113">
        <f>E258/11154*100</f>
        <v>16.487358795051101</v>
      </c>
      <c r="G258" s="13"/>
      <c r="H258" s="113"/>
    </row>
    <row r="259" spans="1:8" s="5" customFormat="1" ht="11.25" customHeight="1" x14ac:dyDescent="0.2">
      <c r="D259" s="28"/>
      <c r="E259" s="162" t="s">
        <v>3427</v>
      </c>
      <c r="F259" s="165">
        <f>SUM(F255:F258)</f>
        <v>100</v>
      </c>
      <c r="G259" s="162">
        <v>27420</v>
      </c>
      <c r="H259" s="165">
        <v>40.799999999999997</v>
      </c>
    </row>
    <row r="260" spans="1:8" s="5" customFormat="1" ht="11.25" customHeight="1" x14ac:dyDescent="0.2">
      <c r="D260" s="28"/>
      <c r="E260" s="13"/>
      <c r="F260" s="113"/>
      <c r="G260" s="13"/>
      <c r="H260" s="113"/>
    </row>
    <row r="261" spans="1:8" s="77" customFormat="1" ht="11.25" customHeight="1" x14ac:dyDescent="0.2">
      <c r="A261" s="77" t="s">
        <v>473</v>
      </c>
      <c r="C261" s="77" t="s">
        <v>3428</v>
      </c>
      <c r="D261" s="152" t="s">
        <v>655</v>
      </c>
      <c r="E261" s="153">
        <v>1341</v>
      </c>
      <c r="F261" s="154">
        <f>E261/13887*100</f>
        <v>9.6565132858068701</v>
      </c>
      <c r="G261" s="153"/>
      <c r="H261" s="154"/>
    </row>
    <row r="262" spans="1:8" s="77" customFormat="1" ht="11.25" customHeight="1" x14ac:dyDescent="0.2">
      <c r="C262" s="77" t="s">
        <v>1153</v>
      </c>
      <c r="D262" s="152" t="s">
        <v>1072</v>
      </c>
      <c r="E262" s="153">
        <v>5090</v>
      </c>
      <c r="F262" s="154">
        <f>E262/13887*100</f>
        <v>36.652984805933606</v>
      </c>
      <c r="G262" s="153"/>
      <c r="H262" s="154"/>
    </row>
    <row r="263" spans="1:8" s="77" customFormat="1" ht="11.25" customHeight="1" x14ac:dyDescent="0.2">
      <c r="C263" s="127" t="s">
        <v>1155</v>
      </c>
      <c r="D263" s="152" t="s">
        <v>1736</v>
      </c>
      <c r="E263" s="153">
        <v>7159</v>
      </c>
      <c r="F263" s="154">
        <f>E263/13887*100</f>
        <v>51.551811046302298</v>
      </c>
      <c r="G263" s="153"/>
      <c r="H263" s="154"/>
    </row>
    <row r="264" spans="1:8" s="77" customFormat="1" ht="11.25" customHeight="1" x14ac:dyDescent="0.2">
      <c r="C264" s="77" t="s">
        <v>3429</v>
      </c>
      <c r="D264" s="152" t="s">
        <v>3623</v>
      </c>
      <c r="E264" s="153">
        <v>297</v>
      </c>
      <c r="F264" s="154">
        <f>E264/13887*100</f>
        <v>2.138690861957226</v>
      </c>
      <c r="G264" s="153"/>
      <c r="H264" s="154"/>
    </row>
    <row r="265" spans="1:8" s="77" customFormat="1" ht="11.25" customHeight="1" x14ac:dyDescent="0.2">
      <c r="D265" s="152"/>
      <c r="E265" s="169" t="s">
        <v>3430</v>
      </c>
      <c r="F265" s="171">
        <f>SUM(F261:F264)</f>
        <v>100</v>
      </c>
      <c r="G265" s="169">
        <v>34570</v>
      </c>
      <c r="H265" s="171">
        <v>40.299999999999997</v>
      </c>
    </row>
    <row r="266" spans="1:8" s="5" customFormat="1" ht="11.25" customHeight="1" x14ac:dyDescent="0.2">
      <c r="D266" s="28"/>
      <c r="E266" s="13"/>
      <c r="F266" s="113"/>
      <c r="G266" s="13"/>
      <c r="H266" s="113"/>
    </row>
    <row r="267" spans="1:8" s="5" customFormat="1" ht="11.25" customHeight="1" x14ac:dyDescent="0.2">
      <c r="A267" s="5" t="s">
        <v>477</v>
      </c>
      <c r="C267" s="5" t="s">
        <v>3431</v>
      </c>
      <c r="D267" s="28" t="s">
        <v>655</v>
      </c>
      <c r="E267" s="13">
        <v>2163</v>
      </c>
      <c r="F267" s="113">
        <f t="shared" ref="F267:F272" si="8">E267/11210*100</f>
        <v>19.295272078501338</v>
      </c>
      <c r="G267" s="13"/>
      <c r="H267" s="113"/>
    </row>
    <row r="268" spans="1:8" s="5" customFormat="1" ht="11.25" customHeight="1" x14ac:dyDescent="0.2">
      <c r="C268" s="14" t="s">
        <v>478</v>
      </c>
      <c r="D268" s="28" t="s">
        <v>1072</v>
      </c>
      <c r="E268" s="13">
        <v>5042</v>
      </c>
      <c r="F268" s="113">
        <f t="shared" si="8"/>
        <v>44.977698483496873</v>
      </c>
      <c r="G268" s="13"/>
      <c r="H268" s="113"/>
    </row>
    <row r="269" spans="1:8" s="5" customFormat="1" ht="11.25" customHeight="1" x14ac:dyDescent="0.2">
      <c r="C269" s="5" t="s">
        <v>3432</v>
      </c>
      <c r="D269" s="28" t="s">
        <v>1736</v>
      </c>
      <c r="E269" s="13">
        <v>3291</v>
      </c>
      <c r="F269" s="113">
        <f t="shared" si="8"/>
        <v>29.357716324710083</v>
      </c>
      <c r="G269" s="13"/>
      <c r="H269" s="113"/>
    </row>
    <row r="270" spans="1:8" s="5" customFormat="1" ht="11.25" customHeight="1" x14ac:dyDescent="0.2">
      <c r="C270" s="5" t="s">
        <v>3433</v>
      </c>
      <c r="D270" s="5" t="s">
        <v>3275</v>
      </c>
      <c r="E270" s="13">
        <v>200</v>
      </c>
      <c r="F270" s="113">
        <f t="shared" si="8"/>
        <v>1.784121320249777</v>
      </c>
      <c r="G270" s="13"/>
      <c r="H270" s="113"/>
    </row>
    <row r="271" spans="1:8" s="5" customFormat="1" ht="11.25" customHeight="1" x14ac:dyDescent="0.2">
      <c r="C271" s="5" t="s">
        <v>676</v>
      </c>
      <c r="D271" s="152" t="s">
        <v>3623</v>
      </c>
      <c r="E271" s="13">
        <v>472</v>
      </c>
      <c r="F271" s="113">
        <f t="shared" si="8"/>
        <v>4.2105263157894735</v>
      </c>
      <c r="G271" s="13"/>
      <c r="H271" s="113"/>
    </row>
    <row r="272" spans="1:8" s="5" customFormat="1" ht="11.25" customHeight="1" x14ac:dyDescent="0.2">
      <c r="C272" s="5" t="s">
        <v>3434</v>
      </c>
      <c r="D272" s="5" t="s">
        <v>2103</v>
      </c>
      <c r="E272" s="13">
        <v>42</v>
      </c>
      <c r="F272" s="113">
        <f t="shared" si="8"/>
        <v>0.37466547725245314</v>
      </c>
      <c r="G272" s="13"/>
      <c r="H272" s="113"/>
    </row>
    <row r="273" spans="1:8" s="5" customFormat="1" ht="11.25" customHeight="1" x14ac:dyDescent="0.2">
      <c r="D273" s="28"/>
      <c r="E273" s="162" t="s">
        <v>3435</v>
      </c>
      <c r="F273" s="165">
        <f>SUM(F267:F272)</f>
        <v>100</v>
      </c>
      <c r="G273" s="162">
        <v>30335</v>
      </c>
      <c r="H273" s="165">
        <v>37.200000000000003</v>
      </c>
    </row>
    <row r="274" spans="1:8" s="5" customFormat="1" ht="11.25" customHeight="1" x14ac:dyDescent="0.2">
      <c r="D274" s="28"/>
      <c r="E274" s="13"/>
      <c r="F274" s="113"/>
      <c r="G274" s="13"/>
      <c r="H274" s="113"/>
    </row>
    <row r="275" spans="1:8" s="5" customFormat="1" ht="11.25" customHeight="1" x14ac:dyDescent="0.2">
      <c r="A275" s="5" t="s">
        <v>2047</v>
      </c>
      <c r="C275" s="5" t="s">
        <v>564</v>
      </c>
      <c r="D275" s="28" t="s">
        <v>1072</v>
      </c>
      <c r="E275" s="13">
        <v>3895</v>
      </c>
      <c r="F275" s="113">
        <f>E275/10014*100</f>
        <v>38.895546235270622</v>
      </c>
      <c r="G275" s="13"/>
      <c r="H275" s="113"/>
    </row>
    <row r="276" spans="1:8" s="5" customFormat="1" ht="11.25" customHeight="1" x14ac:dyDescent="0.2">
      <c r="C276" s="5" t="s">
        <v>3436</v>
      </c>
      <c r="D276" s="152" t="s">
        <v>3623</v>
      </c>
      <c r="E276" s="13">
        <v>241</v>
      </c>
      <c r="F276" s="113">
        <f>E276/10014*100</f>
        <v>2.4066307169962053</v>
      </c>
      <c r="G276" s="13"/>
      <c r="H276" s="113"/>
    </row>
    <row r="277" spans="1:8" s="5" customFormat="1" ht="11.25" customHeight="1" x14ac:dyDescent="0.2">
      <c r="C277" s="5" t="s">
        <v>3437</v>
      </c>
      <c r="D277" s="28" t="s">
        <v>655</v>
      </c>
      <c r="E277" s="13">
        <v>1301</v>
      </c>
      <c r="F277" s="113">
        <f>E277/10014*100</f>
        <v>12.991811463950469</v>
      </c>
      <c r="G277" s="13"/>
      <c r="H277" s="113"/>
    </row>
    <row r="278" spans="1:8" s="5" customFormat="1" ht="11.25" customHeight="1" x14ac:dyDescent="0.2">
      <c r="C278" s="14" t="s">
        <v>3438</v>
      </c>
      <c r="D278" s="28" t="s">
        <v>1736</v>
      </c>
      <c r="E278" s="13">
        <v>4577</v>
      </c>
      <c r="F278" s="113">
        <f>E278/10014*100</f>
        <v>45.706011583782704</v>
      </c>
      <c r="G278" s="13"/>
      <c r="H278" s="113"/>
    </row>
    <row r="279" spans="1:8" s="5" customFormat="1" ht="11.25" customHeight="1" x14ac:dyDescent="0.2">
      <c r="D279" s="28"/>
      <c r="E279" s="162" t="s">
        <v>3439</v>
      </c>
      <c r="F279" s="165">
        <f>SUM(F275:F278)</f>
        <v>100</v>
      </c>
      <c r="G279" s="162">
        <v>29184</v>
      </c>
      <c r="H279" s="165">
        <v>34.4</v>
      </c>
    </row>
    <row r="280" spans="1:8" s="5" customFormat="1" ht="11.25" customHeight="1" x14ac:dyDescent="0.2">
      <c r="D280" s="28"/>
      <c r="E280" s="13"/>
      <c r="F280" s="113"/>
      <c r="G280" s="13"/>
      <c r="H280" s="113"/>
    </row>
    <row r="281" spans="1:8" s="5" customFormat="1" ht="11.25" customHeight="1" x14ac:dyDescent="0.2">
      <c r="A281" s="5" t="s">
        <v>1088</v>
      </c>
      <c r="C281" s="5" t="s">
        <v>1124</v>
      </c>
      <c r="D281" s="28" t="s">
        <v>1072</v>
      </c>
      <c r="E281" s="13">
        <v>3592</v>
      </c>
      <c r="F281" s="113">
        <f t="shared" ref="F281:F286" si="9">E281/10932*100</f>
        <v>32.857665568971825</v>
      </c>
      <c r="G281" s="13"/>
      <c r="H281" s="113"/>
    </row>
    <row r="282" spans="1:8" s="5" customFormat="1" ht="11.25" customHeight="1" x14ac:dyDescent="0.2">
      <c r="C282" s="5" t="s">
        <v>568</v>
      </c>
      <c r="D282" s="28" t="s">
        <v>655</v>
      </c>
      <c r="E282" s="13">
        <v>1891</v>
      </c>
      <c r="F282" s="113">
        <f t="shared" si="9"/>
        <v>17.297841200146362</v>
      </c>
      <c r="G282" s="13"/>
      <c r="H282" s="113"/>
    </row>
    <row r="283" spans="1:8" s="5" customFormat="1" ht="11.25" customHeight="1" x14ac:dyDescent="0.2">
      <c r="C283" s="14" t="s">
        <v>1839</v>
      </c>
      <c r="D283" s="28" t="s">
        <v>1736</v>
      </c>
      <c r="E283" s="13">
        <v>4581</v>
      </c>
      <c r="F283" s="113">
        <f t="shared" si="9"/>
        <v>41.904500548847423</v>
      </c>
      <c r="G283" s="13"/>
      <c r="H283" s="113"/>
    </row>
    <row r="284" spans="1:8" s="5" customFormat="1" ht="11.25" customHeight="1" x14ac:dyDescent="0.2">
      <c r="C284" s="5" t="s">
        <v>3440</v>
      </c>
      <c r="D284" s="152" t="s">
        <v>3623</v>
      </c>
      <c r="E284" s="13">
        <v>335</v>
      </c>
      <c r="F284" s="113">
        <f t="shared" si="9"/>
        <v>3.0643980973289424</v>
      </c>
      <c r="G284" s="13"/>
      <c r="H284" s="113"/>
    </row>
    <row r="285" spans="1:8" s="5" customFormat="1" ht="11.25" customHeight="1" x14ac:dyDescent="0.2">
      <c r="C285" s="5" t="s">
        <v>3441</v>
      </c>
      <c r="D285" s="5" t="s">
        <v>3275</v>
      </c>
      <c r="E285" s="13">
        <v>471</v>
      </c>
      <c r="F285" s="113">
        <f t="shared" si="9"/>
        <v>4.3084522502744234</v>
      </c>
      <c r="G285" s="13"/>
      <c r="H285" s="113"/>
    </row>
    <row r="286" spans="1:8" s="5" customFormat="1" ht="11.25" customHeight="1" x14ac:dyDescent="0.2">
      <c r="C286" s="5" t="s">
        <v>3442</v>
      </c>
      <c r="D286" s="28" t="s">
        <v>1071</v>
      </c>
      <c r="E286" s="13">
        <v>62</v>
      </c>
      <c r="F286" s="113">
        <f t="shared" si="9"/>
        <v>0.56714233443102813</v>
      </c>
      <c r="G286" s="13"/>
      <c r="H286" s="113"/>
    </row>
    <row r="287" spans="1:8" s="5" customFormat="1" ht="11.25" customHeight="1" x14ac:dyDescent="0.2">
      <c r="D287" s="28"/>
      <c r="E287" s="162" t="s">
        <v>3443</v>
      </c>
      <c r="F287" s="165">
        <f>SUM(F281:F286)</f>
        <v>100.00000000000001</v>
      </c>
      <c r="G287" s="162">
        <v>28944</v>
      </c>
      <c r="H287" s="165">
        <v>38</v>
      </c>
    </row>
    <row r="288" spans="1:8" s="5" customFormat="1" ht="11.25" customHeight="1" x14ac:dyDescent="0.2">
      <c r="D288" s="28"/>
      <c r="E288" s="13"/>
      <c r="F288" s="113"/>
      <c r="G288" s="13"/>
      <c r="H288" s="113"/>
    </row>
    <row r="289" spans="1:8" s="5" customFormat="1" ht="11.25" customHeight="1" x14ac:dyDescent="0.2">
      <c r="A289" s="5" t="s">
        <v>1096</v>
      </c>
      <c r="C289" s="5" t="s">
        <v>3444</v>
      </c>
      <c r="D289" s="28" t="s">
        <v>655</v>
      </c>
      <c r="E289" s="13">
        <v>1743</v>
      </c>
      <c r="F289" s="113">
        <f>E289/11538*100</f>
        <v>15.106604264170567</v>
      </c>
      <c r="G289" s="13"/>
      <c r="H289" s="113"/>
    </row>
    <row r="290" spans="1:8" s="5" customFormat="1" ht="11.25" customHeight="1" x14ac:dyDescent="0.2">
      <c r="C290" s="5" t="s">
        <v>575</v>
      </c>
      <c r="D290" s="152" t="s">
        <v>3623</v>
      </c>
      <c r="E290" s="13">
        <v>408</v>
      </c>
      <c r="F290" s="113">
        <f>E290/11538*100</f>
        <v>3.5361414456578264</v>
      </c>
      <c r="G290" s="13"/>
      <c r="H290" s="113"/>
    </row>
    <row r="291" spans="1:8" s="5" customFormat="1" ht="11.25" customHeight="1" x14ac:dyDescent="0.2">
      <c r="C291" s="14" t="s">
        <v>3445</v>
      </c>
      <c r="D291" s="28" t="s">
        <v>1736</v>
      </c>
      <c r="E291" s="13">
        <v>4604</v>
      </c>
      <c r="F291" s="113">
        <f>E291/11538*100</f>
        <v>39.902929450511351</v>
      </c>
      <c r="G291" s="13"/>
      <c r="H291" s="113"/>
    </row>
    <row r="292" spans="1:8" s="5" customFormat="1" ht="11.25" customHeight="1" x14ac:dyDescent="0.2">
      <c r="C292" s="5" t="s">
        <v>2213</v>
      </c>
      <c r="D292" s="28" t="s">
        <v>1072</v>
      </c>
      <c r="E292" s="13">
        <v>4508</v>
      </c>
      <c r="F292" s="113">
        <f>E292/11538*100</f>
        <v>39.070896169180102</v>
      </c>
      <c r="G292" s="13"/>
      <c r="H292" s="113"/>
    </row>
    <row r="293" spans="1:8" s="5" customFormat="1" ht="11.25" customHeight="1" x14ac:dyDescent="0.2">
      <c r="C293" s="5" t="s">
        <v>3446</v>
      </c>
      <c r="D293" s="5" t="s">
        <v>3275</v>
      </c>
      <c r="E293" s="13">
        <v>275</v>
      </c>
      <c r="F293" s="113">
        <f>E293/11538*100</f>
        <v>2.3834286704801526</v>
      </c>
      <c r="G293" s="13"/>
      <c r="H293" s="113"/>
    </row>
    <row r="294" spans="1:8" s="5" customFormat="1" ht="11.25" customHeight="1" x14ac:dyDescent="0.2">
      <c r="D294" s="28"/>
      <c r="E294" s="162" t="s">
        <v>3447</v>
      </c>
      <c r="F294" s="165">
        <f>SUM(F289:F293)</f>
        <v>100</v>
      </c>
      <c r="G294" s="162">
        <v>27266</v>
      </c>
      <c r="H294" s="165">
        <v>42.5</v>
      </c>
    </row>
    <row r="295" spans="1:8" s="5" customFormat="1" ht="11.25" customHeight="1" x14ac:dyDescent="0.2">
      <c r="D295" s="28"/>
      <c r="E295" s="13"/>
      <c r="F295" s="113"/>
      <c r="G295" s="13"/>
      <c r="H295" s="113"/>
    </row>
    <row r="296" spans="1:8" s="5" customFormat="1" ht="11.25" customHeight="1" x14ac:dyDescent="0.2">
      <c r="A296" s="5" t="s">
        <v>1100</v>
      </c>
      <c r="C296" s="5" t="s">
        <v>3448</v>
      </c>
      <c r="D296" s="28" t="s">
        <v>1736</v>
      </c>
      <c r="E296" s="13">
        <v>5261</v>
      </c>
      <c r="F296" s="113">
        <f>E296/13988*100</f>
        <v>37.610809265084363</v>
      </c>
      <c r="G296" s="13"/>
      <c r="H296" s="113"/>
    </row>
    <row r="297" spans="1:8" s="5" customFormat="1" ht="11.25" customHeight="1" x14ac:dyDescent="0.2">
      <c r="C297" s="14" t="s">
        <v>1103</v>
      </c>
      <c r="D297" s="28" t="s">
        <v>1072</v>
      </c>
      <c r="E297" s="13">
        <v>6279</v>
      </c>
      <c r="F297" s="113">
        <f>E297/13988*100</f>
        <v>44.888475836431226</v>
      </c>
      <c r="G297" s="13"/>
      <c r="H297" s="113"/>
    </row>
    <row r="298" spans="1:8" s="5" customFormat="1" ht="11.25" customHeight="1" x14ac:dyDescent="0.2">
      <c r="C298" s="5" t="s">
        <v>1082</v>
      </c>
      <c r="D298" s="28" t="s">
        <v>655</v>
      </c>
      <c r="E298" s="13">
        <v>1923</v>
      </c>
      <c r="F298" s="113">
        <f>E298/13988*100</f>
        <v>13.747497855304546</v>
      </c>
      <c r="G298" s="13"/>
      <c r="H298" s="113"/>
    </row>
    <row r="299" spans="1:8" s="5" customFormat="1" ht="11.25" customHeight="1" x14ac:dyDescent="0.2">
      <c r="C299" s="5" t="s">
        <v>3449</v>
      </c>
      <c r="D299" s="152" t="s">
        <v>3623</v>
      </c>
      <c r="E299" s="13">
        <v>525</v>
      </c>
      <c r="F299" s="113">
        <f>E299/13988*100</f>
        <v>3.7532170431798684</v>
      </c>
      <c r="G299" s="13"/>
      <c r="H299" s="113"/>
    </row>
    <row r="300" spans="1:8" s="5" customFormat="1" ht="11.25" customHeight="1" x14ac:dyDescent="0.2">
      <c r="D300" s="28"/>
      <c r="E300" s="162" t="s">
        <v>3450</v>
      </c>
      <c r="F300" s="165">
        <f>SUM(F296:F299)</f>
        <v>100.00000000000001</v>
      </c>
      <c r="G300" s="162">
        <v>29343</v>
      </c>
      <c r="H300" s="165">
        <v>47.9</v>
      </c>
    </row>
    <row r="301" spans="1:8" s="5" customFormat="1" ht="11.25" customHeight="1" x14ac:dyDescent="0.2">
      <c r="D301" s="28"/>
      <c r="E301" s="13"/>
      <c r="F301" s="113"/>
      <c r="G301" s="13"/>
      <c r="H301" s="113"/>
    </row>
    <row r="302" spans="1:8" s="5" customFormat="1" ht="11.25" customHeight="1" x14ac:dyDescent="0.2">
      <c r="A302" s="5" t="s">
        <v>2048</v>
      </c>
      <c r="C302" s="5" t="s">
        <v>1093</v>
      </c>
      <c r="D302" s="28" t="s">
        <v>1736</v>
      </c>
      <c r="E302" s="13">
        <v>2978</v>
      </c>
      <c r="F302" s="113">
        <f>E302/9330*100</f>
        <v>31.918542336548768</v>
      </c>
      <c r="G302" s="13"/>
      <c r="H302" s="113"/>
    </row>
    <row r="303" spans="1:8" s="5" customFormat="1" ht="11.25" customHeight="1" x14ac:dyDescent="0.2">
      <c r="C303" s="5" t="s">
        <v>3451</v>
      </c>
      <c r="D303" s="5" t="s">
        <v>3275</v>
      </c>
      <c r="E303" s="13">
        <v>245</v>
      </c>
      <c r="F303" s="113">
        <f>E303/9330*100</f>
        <v>2.6259378349410505</v>
      </c>
      <c r="G303" s="13"/>
      <c r="H303" s="113"/>
    </row>
    <row r="304" spans="1:8" s="5" customFormat="1" ht="11.25" customHeight="1" x14ac:dyDescent="0.2">
      <c r="C304" s="5" t="s">
        <v>3452</v>
      </c>
      <c r="D304" s="152" t="s">
        <v>3623</v>
      </c>
      <c r="E304" s="13">
        <v>221</v>
      </c>
      <c r="F304" s="113">
        <f>E304/9330*100</f>
        <v>2.3687031082529475</v>
      </c>
      <c r="G304" s="13"/>
      <c r="H304" s="113"/>
    </row>
    <row r="305" spans="1:8" s="5" customFormat="1" ht="11.25" customHeight="1" x14ac:dyDescent="0.2">
      <c r="C305" s="14" t="s">
        <v>1108</v>
      </c>
      <c r="D305" s="28" t="s">
        <v>655</v>
      </c>
      <c r="E305" s="13">
        <v>4754</v>
      </c>
      <c r="F305" s="113">
        <f>E305/9330*100</f>
        <v>50.953912111468384</v>
      </c>
      <c r="G305" s="13"/>
      <c r="H305" s="113"/>
    </row>
    <row r="306" spans="1:8" s="5" customFormat="1" ht="11.25" customHeight="1" x14ac:dyDescent="0.2">
      <c r="C306" s="5" t="s">
        <v>556</v>
      </c>
      <c r="D306" s="28" t="s">
        <v>1072</v>
      </c>
      <c r="E306" s="13">
        <v>1132</v>
      </c>
      <c r="F306" s="113">
        <f>E306/9330*100</f>
        <v>12.132904608788852</v>
      </c>
      <c r="G306" s="13"/>
      <c r="H306" s="113"/>
    </row>
    <row r="307" spans="1:8" s="5" customFormat="1" ht="11.25" customHeight="1" x14ac:dyDescent="0.2">
      <c r="D307" s="28"/>
      <c r="E307" s="162" t="s">
        <v>3453</v>
      </c>
      <c r="F307" s="165">
        <f>SUM(F302:F306)</f>
        <v>99.999999999999986</v>
      </c>
      <c r="G307" s="162">
        <v>27079</v>
      </c>
      <c r="H307" s="165">
        <v>34.5</v>
      </c>
    </row>
    <row r="308" spans="1:8" s="77" customFormat="1" ht="11.25" customHeight="1" x14ac:dyDescent="0.2">
      <c r="D308" s="152"/>
      <c r="E308" s="153"/>
      <c r="F308" s="154"/>
      <c r="G308" s="153"/>
      <c r="H308" s="154"/>
    </row>
    <row r="309" spans="1:8" s="5" customFormat="1" ht="11.25" customHeight="1" x14ac:dyDescent="0.2">
      <c r="A309" s="5" t="s">
        <v>1109</v>
      </c>
      <c r="C309" s="5" t="s">
        <v>2938</v>
      </c>
      <c r="D309" s="28" t="s">
        <v>653</v>
      </c>
      <c r="E309" s="13">
        <v>2275</v>
      </c>
      <c r="F309" s="113">
        <f t="shared" ref="F309:F314" si="10">E309/11473*100</f>
        <v>19.829164124466136</v>
      </c>
      <c r="G309" s="13"/>
      <c r="H309" s="113"/>
    </row>
    <row r="310" spans="1:8" s="5" customFormat="1" ht="11.25" customHeight="1" x14ac:dyDescent="0.2">
      <c r="C310" s="5" t="s">
        <v>3454</v>
      </c>
      <c r="D310" s="152" t="s">
        <v>3623</v>
      </c>
      <c r="E310" s="13">
        <v>235</v>
      </c>
      <c r="F310" s="113">
        <f t="shared" si="10"/>
        <v>2.0482872831866121</v>
      </c>
      <c r="G310" s="13"/>
      <c r="H310" s="113"/>
    </row>
    <row r="311" spans="1:8" s="5" customFormat="1" ht="11.25" customHeight="1" x14ac:dyDescent="0.2">
      <c r="C311" s="5" t="s">
        <v>3455</v>
      </c>
      <c r="D311" s="28" t="s">
        <v>1072</v>
      </c>
      <c r="E311" s="13">
        <v>2260</v>
      </c>
      <c r="F311" s="113">
        <f t="shared" si="10"/>
        <v>19.698422382986141</v>
      </c>
      <c r="G311" s="13"/>
      <c r="H311" s="113"/>
    </row>
    <row r="312" spans="1:8" s="5" customFormat="1" ht="11.25" customHeight="1" x14ac:dyDescent="0.2">
      <c r="C312" s="5" t="s">
        <v>3456</v>
      </c>
      <c r="D312" s="5" t="s">
        <v>3275</v>
      </c>
      <c r="E312" s="13">
        <v>289</v>
      </c>
      <c r="F312" s="113">
        <f t="shared" si="10"/>
        <v>2.5189575525145993</v>
      </c>
      <c r="G312" s="13"/>
      <c r="H312" s="113"/>
    </row>
    <row r="313" spans="1:8" s="5" customFormat="1" ht="11.25" customHeight="1" x14ac:dyDescent="0.2">
      <c r="C313" s="5" t="s">
        <v>3457</v>
      </c>
      <c r="D313" s="28" t="s">
        <v>655</v>
      </c>
      <c r="E313" s="13">
        <v>2307</v>
      </c>
      <c r="F313" s="113">
        <f t="shared" si="10"/>
        <v>20.108079839623464</v>
      </c>
      <c r="G313" s="13"/>
      <c r="H313" s="113"/>
    </row>
    <row r="314" spans="1:8" s="5" customFormat="1" ht="11.25" customHeight="1" x14ac:dyDescent="0.2">
      <c r="C314" s="14" t="s">
        <v>3458</v>
      </c>
      <c r="D314" s="28" t="s">
        <v>1736</v>
      </c>
      <c r="E314" s="13">
        <v>4107</v>
      </c>
      <c r="F314" s="113">
        <f t="shared" si="10"/>
        <v>35.797088817223042</v>
      </c>
      <c r="G314" s="13"/>
      <c r="H314" s="113"/>
    </row>
    <row r="315" spans="1:8" s="5" customFormat="1" ht="11.25" customHeight="1" x14ac:dyDescent="0.2">
      <c r="D315" s="28"/>
      <c r="E315" s="162" t="s">
        <v>3459</v>
      </c>
      <c r="F315" s="165">
        <f>SUM(F309:F314)</f>
        <v>100</v>
      </c>
      <c r="G315" s="162">
        <v>29724</v>
      </c>
      <c r="H315" s="165">
        <v>38.700000000000003</v>
      </c>
    </row>
    <row r="316" spans="1:8" s="5" customFormat="1" ht="11.25" customHeight="1" x14ac:dyDescent="0.2">
      <c r="D316" s="28"/>
      <c r="E316" s="13"/>
      <c r="F316" s="113"/>
      <c r="G316" s="13"/>
      <c r="H316" s="113"/>
    </row>
    <row r="317" spans="1:8" s="5" customFormat="1" ht="11.25" customHeight="1" x14ac:dyDescent="0.2">
      <c r="A317" s="5" t="s">
        <v>1113</v>
      </c>
      <c r="C317" s="5" t="s">
        <v>1826</v>
      </c>
      <c r="D317" s="28" t="s">
        <v>1072</v>
      </c>
      <c r="E317" s="13">
        <v>5947</v>
      </c>
      <c r="F317" s="113">
        <f>E317/14658*100</f>
        <v>40.571701459953609</v>
      </c>
      <c r="G317" s="13"/>
      <c r="H317" s="113"/>
    </row>
    <row r="318" spans="1:8" s="5" customFormat="1" ht="11.25" customHeight="1" x14ac:dyDescent="0.2">
      <c r="C318" s="5" t="s">
        <v>3460</v>
      </c>
      <c r="D318" s="5" t="s">
        <v>3275</v>
      </c>
      <c r="E318" s="13">
        <v>272</v>
      </c>
      <c r="F318" s="113">
        <f>E318/14658*100</f>
        <v>1.8556419702551508</v>
      </c>
      <c r="G318" s="13"/>
      <c r="H318" s="113"/>
    </row>
    <row r="319" spans="1:8" s="5" customFormat="1" ht="11.25" customHeight="1" x14ac:dyDescent="0.2">
      <c r="C319" s="5" t="s">
        <v>3461</v>
      </c>
      <c r="D319" s="28" t="s">
        <v>655</v>
      </c>
      <c r="E319" s="13">
        <v>924</v>
      </c>
      <c r="F319" s="113">
        <f>E319/14658*100</f>
        <v>6.303724928366762</v>
      </c>
      <c r="G319" s="13"/>
      <c r="H319" s="113"/>
    </row>
    <row r="320" spans="1:8" s="5" customFormat="1" ht="11.25" customHeight="1" x14ac:dyDescent="0.2">
      <c r="C320" s="5" t="s">
        <v>3462</v>
      </c>
      <c r="D320" s="152" t="s">
        <v>3623</v>
      </c>
      <c r="E320" s="13">
        <v>342</v>
      </c>
      <c r="F320" s="113">
        <f>E320/14658*100</f>
        <v>2.3331968890708144</v>
      </c>
      <c r="G320" s="13"/>
      <c r="H320" s="113"/>
    </row>
    <row r="321" spans="1:8" s="5" customFormat="1" ht="11.25" customHeight="1" x14ac:dyDescent="0.2">
      <c r="C321" s="14" t="s">
        <v>3463</v>
      </c>
      <c r="D321" s="28" t="s">
        <v>1736</v>
      </c>
      <c r="E321" s="13">
        <v>7173</v>
      </c>
      <c r="F321" s="113">
        <f>E321/14658*100</f>
        <v>48.935734752353667</v>
      </c>
      <c r="G321" s="13"/>
      <c r="H321" s="113"/>
    </row>
    <row r="322" spans="1:8" s="5" customFormat="1" ht="11.25" customHeight="1" x14ac:dyDescent="0.2">
      <c r="D322" s="28"/>
      <c r="E322" s="162" t="s">
        <v>3464</v>
      </c>
      <c r="F322" s="165">
        <f>SUM(F317:F321)</f>
        <v>100</v>
      </c>
      <c r="G322" s="162">
        <v>32587</v>
      </c>
      <c r="H322" s="165">
        <v>45</v>
      </c>
    </row>
    <row r="323" spans="1:8" s="5" customFormat="1" ht="11.25" customHeight="1" x14ac:dyDescent="0.2">
      <c r="D323" s="28"/>
      <c r="E323" s="13"/>
      <c r="F323" s="113"/>
      <c r="G323" s="13"/>
      <c r="H323" s="113"/>
    </row>
    <row r="324" spans="1:8" s="5" customFormat="1" ht="11.25" customHeight="1" x14ac:dyDescent="0.2">
      <c r="A324" s="5" t="s">
        <v>1118</v>
      </c>
      <c r="C324" s="5" t="s">
        <v>3465</v>
      </c>
      <c r="D324" s="28" t="s">
        <v>1072</v>
      </c>
      <c r="E324" s="13">
        <v>3423</v>
      </c>
      <c r="F324" s="113">
        <f>E324/11260*100</f>
        <v>30.399644760213146</v>
      </c>
      <c r="G324" s="13"/>
      <c r="H324" s="113"/>
    </row>
    <row r="325" spans="1:8" s="5" customFormat="1" ht="11.25" customHeight="1" x14ac:dyDescent="0.2">
      <c r="C325" s="5" t="s">
        <v>1831</v>
      </c>
      <c r="D325" s="152" t="s">
        <v>3623</v>
      </c>
      <c r="E325" s="13">
        <v>347</v>
      </c>
      <c r="F325" s="113">
        <f>E325/11260*100</f>
        <v>3.0817051509769091</v>
      </c>
      <c r="G325" s="13"/>
      <c r="H325" s="113"/>
    </row>
    <row r="326" spans="1:8" s="5" customFormat="1" ht="11.25" customHeight="1" x14ac:dyDescent="0.2">
      <c r="C326" s="5" t="s">
        <v>3466</v>
      </c>
      <c r="D326" s="5" t="s">
        <v>3275</v>
      </c>
      <c r="E326" s="13">
        <v>306</v>
      </c>
      <c r="F326" s="113">
        <f>E326/11260*100</f>
        <v>2.7175843694493782</v>
      </c>
      <c r="G326" s="13"/>
      <c r="H326" s="113"/>
    </row>
    <row r="327" spans="1:8" s="5" customFormat="1" ht="11.25" customHeight="1" x14ac:dyDescent="0.2">
      <c r="C327" s="5" t="s">
        <v>3467</v>
      </c>
      <c r="D327" s="28" t="s">
        <v>655</v>
      </c>
      <c r="E327" s="13">
        <v>1010</v>
      </c>
      <c r="F327" s="113">
        <f>E327/11260*100</f>
        <v>8.9698046181172284</v>
      </c>
      <c r="G327" s="13"/>
      <c r="H327" s="113"/>
    </row>
    <row r="328" spans="1:8" s="5" customFormat="1" ht="11.25" customHeight="1" x14ac:dyDescent="0.2">
      <c r="C328" s="14" t="s">
        <v>3468</v>
      </c>
      <c r="D328" s="28" t="s">
        <v>1736</v>
      </c>
      <c r="E328" s="13">
        <v>6174</v>
      </c>
      <c r="F328" s="113">
        <f>E328/11260*100</f>
        <v>54.831261101243335</v>
      </c>
      <c r="G328" s="13"/>
      <c r="H328" s="113"/>
    </row>
    <row r="329" spans="1:8" s="5" customFormat="1" ht="11.25" customHeight="1" x14ac:dyDescent="0.2">
      <c r="D329" s="28"/>
      <c r="E329" s="162" t="s">
        <v>3469</v>
      </c>
      <c r="F329" s="165">
        <f>SUM(F324:F328)</f>
        <v>100</v>
      </c>
      <c r="G329" s="162">
        <v>28602</v>
      </c>
      <c r="H329" s="165">
        <v>39.5</v>
      </c>
    </row>
    <row r="330" spans="1:8" s="5" customFormat="1" ht="11.25" customHeight="1" x14ac:dyDescent="0.2">
      <c r="D330" s="28"/>
      <c r="E330" s="13"/>
      <c r="F330" s="113"/>
      <c r="G330" s="13"/>
      <c r="H330" s="113"/>
    </row>
    <row r="331" spans="1:8" s="5" customFormat="1" ht="11.25" customHeight="1" x14ac:dyDescent="0.2">
      <c r="A331" s="5" t="s">
        <v>1123</v>
      </c>
      <c r="C331" s="5" t="s">
        <v>3470</v>
      </c>
      <c r="D331" s="28" t="s">
        <v>655</v>
      </c>
      <c r="E331" s="13">
        <v>1822</v>
      </c>
      <c r="F331" s="113">
        <f>E331/13504*100</f>
        <v>13.492298578199053</v>
      </c>
      <c r="G331" s="13"/>
      <c r="H331" s="113"/>
    </row>
    <row r="332" spans="1:8" s="5" customFormat="1" ht="11.25" customHeight="1" x14ac:dyDescent="0.2">
      <c r="C332" s="5" t="s">
        <v>3471</v>
      </c>
      <c r="D332" s="152" t="s">
        <v>3623</v>
      </c>
      <c r="E332" s="13">
        <v>726</v>
      </c>
      <c r="F332" s="113">
        <f>E332/13504*100</f>
        <v>5.3761848341232232</v>
      </c>
      <c r="G332" s="13"/>
      <c r="H332" s="113"/>
    </row>
    <row r="333" spans="1:8" s="5" customFormat="1" ht="11.25" customHeight="1" x14ac:dyDescent="0.2">
      <c r="C333" s="5" t="s">
        <v>1834</v>
      </c>
      <c r="D333" s="28" t="s">
        <v>1072</v>
      </c>
      <c r="E333" s="13">
        <v>4058</v>
      </c>
      <c r="F333" s="113">
        <f>E333/13504*100</f>
        <v>30.050355450236964</v>
      </c>
      <c r="G333" s="13"/>
      <c r="H333" s="113"/>
    </row>
    <row r="334" spans="1:8" s="5" customFormat="1" ht="11.25" customHeight="1" x14ac:dyDescent="0.2">
      <c r="C334" s="5" t="s">
        <v>480</v>
      </c>
      <c r="D334" s="28" t="s">
        <v>486</v>
      </c>
      <c r="E334" s="13">
        <v>41</v>
      </c>
      <c r="F334" s="113">
        <f>E334/13504*100</f>
        <v>0.30361374407582942</v>
      </c>
      <c r="G334" s="13"/>
      <c r="H334" s="113"/>
    </row>
    <row r="335" spans="1:8" s="5" customFormat="1" ht="11.25" customHeight="1" x14ac:dyDescent="0.2">
      <c r="C335" s="14" t="s">
        <v>976</v>
      </c>
      <c r="D335" s="28" t="s">
        <v>1736</v>
      </c>
      <c r="E335" s="13">
        <v>6857</v>
      </c>
      <c r="F335" s="113">
        <f>E335/13504*100</f>
        <v>50.777547393364927</v>
      </c>
      <c r="G335" s="13"/>
      <c r="H335" s="113"/>
    </row>
    <row r="336" spans="1:8" s="5" customFormat="1" ht="11.25" customHeight="1" x14ac:dyDescent="0.2">
      <c r="D336" s="28"/>
      <c r="E336" s="162" t="s">
        <v>3472</v>
      </c>
      <c r="F336" s="165">
        <f>SUM(F331:F335)</f>
        <v>100</v>
      </c>
      <c r="G336" s="162">
        <v>29773</v>
      </c>
      <c r="H336" s="165">
        <v>45.7</v>
      </c>
    </row>
    <row r="337" spans="1:8" s="5" customFormat="1" ht="11.25" customHeight="1" x14ac:dyDescent="0.2">
      <c r="D337" s="28"/>
      <c r="E337" s="13"/>
      <c r="F337" s="113"/>
      <c r="G337" s="13"/>
      <c r="H337" s="113"/>
    </row>
    <row r="338" spans="1:8" s="5" customFormat="1" ht="11.25" customHeight="1" x14ac:dyDescent="0.2">
      <c r="A338" s="5" t="s">
        <v>977</v>
      </c>
      <c r="C338" s="14" t="s">
        <v>978</v>
      </c>
      <c r="D338" s="28" t="s">
        <v>1736</v>
      </c>
      <c r="E338" s="13">
        <v>4752</v>
      </c>
      <c r="F338" s="113">
        <f>E338/10832*100</f>
        <v>43.870014771048744</v>
      </c>
      <c r="G338" s="13"/>
      <c r="H338" s="113"/>
    </row>
    <row r="339" spans="1:8" s="5" customFormat="1" ht="11.25" customHeight="1" x14ac:dyDescent="0.2">
      <c r="C339" s="5" t="s">
        <v>3473</v>
      </c>
      <c r="D339" s="28" t="s">
        <v>655</v>
      </c>
      <c r="E339" s="13">
        <v>1474</v>
      </c>
      <c r="F339" s="113">
        <f>E339/10832*100</f>
        <v>13.607828655834563</v>
      </c>
      <c r="G339" s="13"/>
      <c r="H339" s="113"/>
    </row>
    <row r="340" spans="1:8" s="5" customFormat="1" ht="11.25" customHeight="1" x14ac:dyDescent="0.2">
      <c r="C340" s="5" t="s">
        <v>3474</v>
      </c>
      <c r="D340" s="152" t="s">
        <v>3623</v>
      </c>
      <c r="E340" s="13">
        <v>289</v>
      </c>
      <c r="F340" s="113">
        <f>E340/10832*100</f>
        <v>2.6680206794682424</v>
      </c>
      <c r="G340" s="13"/>
      <c r="H340" s="113"/>
    </row>
    <row r="341" spans="1:8" s="5" customFormat="1" ht="11.25" customHeight="1" x14ac:dyDescent="0.2">
      <c r="C341" s="5" t="s">
        <v>3475</v>
      </c>
      <c r="D341" s="5" t="s">
        <v>3275</v>
      </c>
      <c r="E341" s="13">
        <v>321</v>
      </c>
      <c r="F341" s="113">
        <f>E341/10832*100</f>
        <v>2.9634416543574593</v>
      </c>
      <c r="G341" s="13"/>
      <c r="H341" s="113"/>
    </row>
    <row r="342" spans="1:8" s="5" customFormat="1" ht="11.25" customHeight="1" x14ac:dyDescent="0.2">
      <c r="C342" s="5" t="s">
        <v>1840</v>
      </c>
      <c r="D342" s="28" t="s">
        <v>1072</v>
      </c>
      <c r="E342" s="13">
        <v>3996</v>
      </c>
      <c r="F342" s="113">
        <f>E342/10832*100</f>
        <v>36.890694239290987</v>
      </c>
      <c r="G342" s="13"/>
      <c r="H342" s="113"/>
    </row>
    <row r="343" spans="1:8" s="5" customFormat="1" ht="11.25" customHeight="1" x14ac:dyDescent="0.2">
      <c r="D343" s="28"/>
      <c r="E343" s="162" t="s">
        <v>3476</v>
      </c>
      <c r="F343" s="165">
        <f>SUM(F338:F342)</f>
        <v>100</v>
      </c>
      <c r="G343" s="162">
        <v>27755</v>
      </c>
      <c r="H343" s="165">
        <v>39.1</v>
      </c>
    </row>
    <row r="344" spans="1:8" s="5" customFormat="1" ht="11.25" customHeight="1" x14ac:dyDescent="0.2">
      <c r="D344" s="28"/>
      <c r="E344" s="13"/>
      <c r="F344" s="113"/>
      <c r="G344" s="13"/>
      <c r="H344" s="113"/>
    </row>
    <row r="345" spans="1:8" s="5" customFormat="1" ht="11.25" customHeight="1" x14ac:dyDescent="0.2">
      <c r="A345" s="5" t="s">
        <v>985</v>
      </c>
      <c r="C345" s="5" t="s">
        <v>3477</v>
      </c>
      <c r="D345" s="28" t="s">
        <v>1736</v>
      </c>
      <c r="E345" s="13">
        <v>5171</v>
      </c>
      <c r="F345" s="113">
        <f>E345/14761*100</f>
        <v>35.031501930763497</v>
      </c>
      <c r="G345" s="13"/>
      <c r="H345" s="113"/>
    </row>
    <row r="346" spans="1:8" s="5" customFormat="1" ht="11.25" customHeight="1" x14ac:dyDescent="0.2">
      <c r="C346" s="5" t="s">
        <v>3478</v>
      </c>
      <c r="D346" s="28" t="s">
        <v>655</v>
      </c>
      <c r="E346" s="13">
        <v>1284</v>
      </c>
      <c r="F346" s="113">
        <f>E346/14761*100</f>
        <v>8.6985976559853668</v>
      </c>
      <c r="G346" s="13"/>
      <c r="H346" s="113"/>
    </row>
    <row r="347" spans="1:8" s="5" customFormat="1" ht="11.25" customHeight="1" x14ac:dyDescent="0.2">
      <c r="C347" s="14" t="s">
        <v>989</v>
      </c>
      <c r="D347" s="28" t="s">
        <v>1072</v>
      </c>
      <c r="E347" s="13">
        <v>7471</v>
      </c>
      <c r="F347" s="113">
        <f>E347/14761*100</f>
        <v>50.613102093354115</v>
      </c>
      <c r="G347" s="13"/>
      <c r="H347" s="113"/>
    </row>
    <row r="348" spans="1:8" s="5" customFormat="1" ht="11.25" customHeight="1" x14ac:dyDescent="0.2">
      <c r="C348" s="5" t="s">
        <v>3479</v>
      </c>
      <c r="D348" s="5" t="s">
        <v>3275</v>
      </c>
      <c r="E348" s="13">
        <v>329</v>
      </c>
      <c r="F348" s="113">
        <f>E348/14761*100</f>
        <v>2.2288462841270915</v>
      </c>
      <c r="G348" s="13"/>
      <c r="H348" s="113"/>
    </row>
    <row r="349" spans="1:8" s="5" customFormat="1" ht="11.25" customHeight="1" x14ac:dyDescent="0.2">
      <c r="C349" s="5" t="s">
        <v>3480</v>
      </c>
      <c r="D349" s="152" t="s">
        <v>3623</v>
      </c>
      <c r="E349" s="13">
        <v>506</v>
      </c>
      <c r="F349" s="113">
        <f>E349/14761*100</f>
        <v>3.4279520357699345</v>
      </c>
      <c r="G349" s="13"/>
      <c r="H349" s="113"/>
    </row>
    <row r="350" spans="1:8" s="5" customFormat="1" ht="11.25" customHeight="1" x14ac:dyDescent="0.2">
      <c r="D350" s="28"/>
      <c r="E350" s="162" t="s">
        <v>3481</v>
      </c>
      <c r="F350" s="165">
        <f>SUM(F345:F349)</f>
        <v>100</v>
      </c>
      <c r="G350" s="162">
        <v>28132</v>
      </c>
      <c r="H350" s="165">
        <v>52.5</v>
      </c>
    </row>
    <row r="351" spans="1:8" s="5" customFormat="1" ht="11.25" customHeight="1" x14ac:dyDescent="0.2">
      <c r="D351" s="28"/>
      <c r="E351" s="13"/>
      <c r="F351" s="113"/>
      <c r="G351" s="13"/>
      <c r="H351" s="113"/>
    </row>
    <row r="352" spans="1:8" s="5" customFormat="1" ht="11.25" customHeight="1" x14ac:dyDescent="0.2">
      <c r="A352" s="5" t="s">
        <v>990</v>
      </c>
      <c r="C352" s="5" t="s">
        <v>4041</v>
      </c>
      <c r="D352" s="5" t="s">
        <v>3275</v>
      </c>
      <c r="E352" s="13">
        <v>379</v>
      </c>
      <c r="F352" s="113">
        <f>E352/12297*100</f>
        <v>3.0820525331381639</v>
      </c>
      <c r="G352" s="13"/>
      <c r="H352" s="113"/>
    </row>
    <row r="353" spans="1:8" s="5" customFormat="1" ht="11.25" customHeight="1" x14ac:dyDescent="0.2">
      <c r="C353" s="5" t="s">
        <v>3482</v>
      </c>
      <c r="D353" s="28" t="s">
        <v>655</v>
      </c>
      <c r="E353" s="13">
        <v>1178</v>
      </c>
      <c r="F353" s="113">
        <f>E353/12297*100</f>
        <v>9.5795722533951366</v>
      </c>
      <c r="G353" s="13"/>
      <c r="H353" s="113"/>
    </row>
    <row r="354" spans="1:8" s="5" customFormat="1" ht="11.25" customHeight="1" x14ac:dyDescent="0.2">
      <c r="C354" s="14" t="s">
        <v>1845</v>
      </c>
      <c r="D354" s="28" t="s">
        <v>1736</v>
      </c>
      <c r="E354" s="13">
        <v>5225</v>
      </c>
      <c r="F354" s="113">
        <f>E354/12297*100</f>
        <v>42.490038220704236</v>
      </c>
      <c r="G354" s="13"/>
      <c r="H354" s="113"/>
    </row>
    <row r="355" spans="1:8" s="5" customFormat="1" ht="11.25" customHeight="1" x14ac:dyDescent="0.2">
      <c r="C355" s="5" t="s">
        <v>993</v>
      </c>
      <c r="D355" s="28" t="s">
        <v>1072</v>
      </c>
      <c r="E355" s="13">
        <v>5167</v>
      </c>
      <c r="F355" s="113">
        <f>E355/12297*100</f>
        <v>42.018378466292596</v>
      </c>
      <c r="G355" s="13"/>
      <c r="H355" s="113"/>
    </row>
    <row r="356" spans="1:8" s="5" customFormat="1" ht="11.25" customHeight="1" x14ac:dyDescent="0.2">
      <c r="C356" s="5" t="s">
        <v>3483</v>
      </c>
      <c r="D356" s="152" t="s">
        <v>3623</v>
      </c>
      <c r="E356" s="13">
        <v>348</v>
      </c>
      <c r="F356" s="113">
        <f>E356/12297*100</f>
        <v>2.8299585264698708</v>
      </c>
      <c r="G356" s="13"/>
      <c r="H356" s="113"/>
    </row>
    <row r="357" spans="1:8" s="5" customFormat="1" ht="11.25" customHeight="1" x14ac:dyDescent="0.2">
      <c r="D357" s="28"/>
      <c r="E357" s="162" t="s">
        <v>3484</v>
      </c>
      <c r="F357" s="165">
        <f>SUM(F352:F356)</f>
        <v>100</v>
      </c>
      <c r="G357" s="162">
        <v>26939</v>
      </c>
      <c r="H357" s="165">
        <v>45.8</v>
      </c>
    </row>
    <row r="358" spans="1:8" s="5" customFormat="1" ht="11.25" customHeight="1" x14ac:dyDescent="0.2">
      <c r="D358" s="28"/>
      <c r="E358" s="13"/>
      <c r="F358" s="113"/>
      <c r="G358" s="13"/>
      <c r="H358" s="113"/>
    </row>
    <row r="359" spans="1:8" s="5" customFormat="1" ht="11.25" customHeight="1" x14ac:dyDescent="0.2">
      <c r="A359" s="5" t="s">
        <v>994</v>
      </c>
      <c r="C359" s="5" t="s">
        <v>14</v>
      </c>
      <c r="D359" s="152" t="s">
        <v>3623</v>
      </c>
      <c r="E359" s="13">
        <v>540</v>
      </c>
      <c r="F359" s="176">
        <f>E359/11885*100</f>
        <v>4.5435422801851075</v>
      </c>
      <c r="G359" s="13"/>
      <c r="H359" s="113"/>
    </row>
    <row r="360" spans="1:8" s="5" customFormat="1" ht="11.25" customHeight="1" x14ac:dyDescent="0.2">
      <c r="C360" s="5" t="s">
        <v>3485</v>
      </c>
      <c r="D360" s="28" t="s">
        <v>1736</v>
      </c>
      <c r="E360" s="13">
        <v>3031</v>
      </c>
      <c r="F360" s="176">
        <f>E360/11885*100</f>
        <v>25.502734539335297</v>
      </c>
      <c r="G360" s="13"/>
      <c r="H360" s="113"/>
    </row>
    <row r="361" spans="1:8" s="5" customFormat="1" ht="11.25" customHeight="1" x14ac:dyDescent="0.2">
      <c r="C361" s="14" t="s">
        <v>3486</v>
      </c>
      <c r="D361" s="28" t="s">
        <v>655</v>
      </c>
      <c r="E361" s="13">
        <v>5862</v>
      </c>
      <c r="F361" s="176">
        <f>E361/11885*100</f>
        <v>49.322675641564999</v>
      </c>
      <c r="G361" s="13"/>
      <c r="H361" s="113"/>
    </row>
    <row r="362" spans="1:8" s="5" customFormat="1" ht="11.25" customHeight="1" x14ac:dyDescent="0.2">
      <c r="C362" s="5" t="s">
        <v>3487</v>
      </c>
      <c r="D362" s="28" t="s">
        <v>1072</v>
      </c>
      <c r="E362" s="13">
        <v>2452</v>
      </c>
      <c r="F362" s="176">
        <f>E362/11885*100</f>
        <v>20.631047538914597</v>
      </c>
      <c r="G362" s="13"/>
      <c r="H362" s="113"/>
    </row>
    <row r="363" spans="1:8" s="5" customFormat="1" ht="11.25" customHeight="1" x14ac:dyDescent="0.2">
      <c r="D363" s="28"/>
      <c r="E363" s="162" t="s">
        <v>3488</v>
      </c>
      <c r="F363" s="165">
        <f>SUM(F359:F362)</f>
        <v>100</v>
      </c>
      <c r="G363" s="162">
        <v>30390</v>
      </c>
      <c r="H363" s="165">
        <v>39.299999999999997</v>
      </c>
    </row>
    <row r="364" spans="1:8" s="5" customFormat="1" ht="11.25" customHeight="1" x14ac:dyDescent="0.2">
      <c r="D364" s="28"/>
      <c r="E364" s="13"/>
      <c r="F364" s="113"/>
      <c r="G364" s="13"/>
      <c r="H364" s="113"/>
    </row>
    <row r="365" spans="1:8" s="5" customFormat="1" ht="11.25" customHeight="1" x14ac:dyDescent="0.2">
      <c r="A365" s="5" t="s">
        <v>999</v>
      </c>
      <c r="C365" s="5" t="s">
        <v>3489</v>
      </c>
      <c r="D365" s="28" t="s">
        <v>1072</v>
      </c>
      <c r="E365" s="13">
        <v>6997</v>
      </c>
      <c r="F365" s="113">
        <f>E365/20617*100</f>
        <v>33.938012319930152</v>
      </c>
      <c r="G365" s="13"/>
      <c r="H365" s="113"/>
    </row>
    <row r="366" spans="1:8" s="5" customFormat="1" ht="11.25" customHeight="1" x14ac:dyDescent="0.2">
      <c r="C366" s="14" t="s">
        <v>21</v>
      </c>
      <c r="D366" s="28" t="s">
        <v>1736</v>
      </c>
      <c r="E366" s="13">
        <v>12054</v>
      </c>
      <c r="F366" s="113">
        <f>E366/20617*100</f>
        <v>58.4663142067226</v>
      </c>
      <c r="G366" s="13"/>
      <c r="H366" s="113"/>
    </row>
    <row r="367" spans="1:8" s="5" customFormat="1" ht="11.25" customHeight="1" x14ac:dyDescent="0.2">
      <c r="C367" s="5" t="s">
        <v>3490</v>
      </c>
      <c r="D367" s="152" t="s">
        <v>3623</v>
      </c>
      <c r="E367" s="13">
        <v>543</v>
      </c>
      <c r="F367" s="113">
        <f>E367/20617*100</f>
        <v>2.6337488480380271</v>
      </c>
      <c r="G367" s="13"/>
      <c r="H367" s="113"/>
    </row>
    <row r="368" spans="1:8" s="5" customFormat="1" ht="11.25" customHeight="1" x14ac:dyDescent="0.2">
      <c r="C368" s="5" t="s">
        <v>916</v>
      </c>
      <c r="D368" s="28" t="s">
        <v>655</v>
      </c>
      <c r="E368" s="13">
        <v>1023</v>
      </c>
      <c r="F368" s="113">
        <f>E368/20617*100</f>
        <v>4.9619246253092104</v>
      </c>
      <c r="G368" s="13"/>
      <c r="H368" s="113"/>
    </row>
    <row r="369" spans="1:8" s="5" customFormat="1" ht="11.25" customHeight="1" x14ac:dyDescent="0.2">
      <c r="D369" s="28"/>
      <c r="E369" s="162" t="s">
        <v>3491</v>
      </c>
      <c r="F369" s="165">
        <f>SUM(F365:F368)</f>
        <v>99.999999999999986</v>
      </c>
      <c r="G369" s="162">
        <v>42793</v>
      </c>
      <c r="H369" s="165">
        <v>48.4</v>
      </c>
    </row>
    <row r="370" spans="1:8" s="5" customFormat="1" ht="11.25" customHeight="1" x14ac:dyDescent="0.2">
      <c r="D370" s="28"/>
      <c r="E370" s="13"/>
      <c r="F370" s="113"/>
      <c r="G370" s="13"/>
      <c r="H370" s="113"/>
    </row>
    <row r="371" spans="1:8" s="5" customFormat="1" ht="11.25" customHeight="1" x14ac:dyDescent="0.2">
      <c r="A371" s="5" t="s">
        <v>2049</v>
      </c>
      <c r="C371" s="5" t="s">
        <v>3492</v>
      </c>
      <c r="D371" s="152" t="s">
        <v>3623</v>
      </c>
      <c r="E371" s="13">
        <v>937</v>
      </c>
      <c r="F371" s="113">
        <f>E371/12046*100</f>
        <v>7.7785156898555545</v>
      </c>
      <c r="G371" s="13"/>
      <c r="H371" s="113"/>
    </row>
    <row r="372" spans="1:8" s="5" customFormat="1" ht="11.25" customHeight="1" x14ac:dyDescent="0.2">
      <c r="C372" s="5" t="s">
        <v>25</v>
      </c>
      <c r="D372" s="28" t="s">
        <v>1072</v>
      </c>
      <c r="E372" s="13">
        <v>2200</v>
      </c>
      <c r="F372" s="113">
        <f>E372/12046*100</f>
        <v>18.263323924954342</v>
      </c>
      <c r="G372" s="13"/>
      <c r="H372" s="113"/>
    </row>
    <row r="373" spans="1:8" s="5" customFormat="1" ht="11.25" customHeight="1" x14ac:dyDescent="0.2">
      <c r="C373" s="5" t="s">
        <v>3494</v>
      </c>
      <c r="D373" s="28" t="s">
        <v>655</v>
      </c>
      <c r="E373" s="13">
        <v>196</v>
      </c>
      <c r="F373" s="113">
        <f>E373/12046*100</f>
        <v>1.6270961314959322</v>
      </c>
      <c r="G373" s="13"/>
      <c r="H373" s="113"/>
    </row>
    <row r="374" spans="1:8" s="5" customFormat="1" ht="11.25" customHeight="1" x14ac:dyDescent="0.2">
      <c r="C374" s="5" t="s">
        <v>3495</v>
      </c>
      <c r="D374" s="5" t="s">
        <v>3275</v>
      </c>
      <c r="E374" s="13">
        <v>1797</v>
      </c>
      <c r="F374" s="113">
        <f>E374/12046*100</f>
        <v>14.917815042337706</v>
      </c>
      <c r="G374" s="13"/>
      <c r="H374" s="113"/>
    </row>
    <row r="375" spans="1:8" s="5" customFormat="1" ht="11.25" customHeight="1" x14ac:dyDescent="0.2">
      <c r="C375" s="14" t="s">
        <v>3493</v>
      </c>
      <c r="D375" s="28" t="s">
        <v>1736</v>
      </c>
      <c r="E375" s="13">
        <v>6916</v>
      </c>
      <c r="F375" s="113">
        <f>E375/12046*100</f>
        <v>57.413249211356465</v>
      </c>
      <c r="G375" s="13"/>
      <c r="H375" s="113"/>
    </row>
    <row r="376" spans="1:8" s="5" customFormat="1" ht="11.25" customHeight="1" x14ac:dyDescent="0.2">
      <c r="D376" s="28"/>
      <c r="E376" s="162" t="s">
        <v>3621</v>
      </c>
      <c r="F376" s="165">
        <f>SUM(F371:F375)</f>
        <v>100</v>
      </c>
      <c r="G376" s="162">
        <v>25223</v>
      </c>
      <c r="H376" s="165">
        <v>48</v>
      </c>
    </row>
    <row r="377" spans="1:8" s="5" customFormat="1" ht="11.25" customHeight="1" x14ac:dyDescent="0.2">
      <c r="D377" s="28"/>
      <c r="E377" s="13"/>
      <c r="F377" s="113"/>
      <c r="G377" s="13"/>
      <c r="H377" s="113"/>
    </row>
    <row r="378" spans="1:8" s="5" customFormat="1" ht="11.25" customHeight="1" x14ac:dyDescent="0.2">
      <c r="A378" s="5" t="s">
        <v>2050</v>
      </c>
      <c r="C378" s="14" t="s">
        <v>1357</v>
      </c>
      <c r="D378" s="28" t="s">
        <v>1736</v>
      </c>
      <c r="E378" s="13">
        <v>4519</v>
      </c>
      <c r="F378" s="113">
        <f>E378/7127*100</f>
        <v>63.406763013890831</v>
      </c>
      <c r="G378" s="13"/>
      <c r="H378" s="113"/>
    </row>
    <row r="379" spans="1:8" s="5" customFormat="1" ht="11.25" customHeight="1" x14ac:dyDescent="0.2">
      <c r="C379" s="5" t="s">
        <v>3496</v>
      </c>
      <c r="D379" s="28" t="s">
        <v>1072</v>
      </c>
      <c r="E379" s="13">
        <v>1758</v>
      </c>
      <c r="F379" s="113">
        <f>E379/7127*100</f>
        <v>24.666760207661007</v>
      </c>
      <c r="G379" s="13"/>
      <c r="H379" s="113"/>
    </row>
    <row r="380" spans="1:8" s="5" customFormat="1" ht="11.25" customHeight="1" x14ac:dyDescent="0.2">
      <c r="C380" s="5" t="s">
        <v>3497</v>
      </c>
      <c r="D380" s="28" t="s">
        <v>655</v>
      </c>
      <c r="E380" s="13">
        <v>550</v>
      </c>
      <c r="F380" s="113">
        <f>E380/7127*100</f>
        <v>7.7171320331135123</v>
      </c>
      <c r="G380" s="13"/>
      <c r="H380" s="113"/>
    </row>
    <row r="381" spans="1:8" s="5" customFormat="1" ht="11.25" customHeight="1" x14ac:dyDescent="0.2">
      <c r="C381" s="5" t="s">
        <v>3498</v>
      </c>
      <c r="D381" s="152" t="s">
        <v>3623</v>
      </c>
      <c r="E381" s="13">
        <v>300</v>
      </c>
      <c r="F381" s="113">
        <f>E381/7127*100</f>
        <v>4.2093447453346426</v>
      </c>
      <c r="G381" s="13"/>
      <c r="H381" s="113"/>
    </row>
    <row r="382" spans="1:8" s="5" customFormat="1" ht="11.25" customHeight="1" x14ac:dyDescent="0.2">
      <c r="D382" s="28"/>
      <c r="E382" s="162" t="s">
        <v>3499</v>
      </c>
      <c r="F382" s="165">
        <f>SUM(F378:F381)</f>
        <v>100</v>
      </c>
      <c r="G382" s="162">
        <v>33245</v>
      </c>
      <c r="H382" s="165">
        <v>21.5</v>
      </c>
    </row>
    <row r="383" spans="1:8" s="5" customFormat="1" ht="11.25" customHeight="1" x14ac:dyDescent="0.2">
      <c r="D383" s="28"/>
      <c r="E383" s="13"/>
      <c r="F383" s="113"/>
      <c r="G383" s="13"/>
      <c r="H383" s="113"/>
    </row>
    <row r="384" spans="1:8" s="5" customFormat="1" ht="11.25" customHeight="1" x14ac:dyDescent="0.2">
      <c r="A384" s="5" t="s">
        <v>2051</v>
      </c>
      <c r="C384" s="5" t="s">
        <v>3500</v>
      </c>
      <c r="D384" s="28" t="s">
        <v>655</v>
      </c>
      <c r="E384" s="13">
        <v>1233</v>
      </c>
      <c r="F384" s="113">
        <f>E384/14296*100</f>
        <v>8.6247901510912151</v>
      </c>
      <c r="G384" s="13"/>
      <c r="H384" s="113"/>
    </row>
    <row r="385" spans="1:8" s="5" customFormat="1" ht="11.25" customHeight="1" x14ac:dyDescent="0.2">
      <c r="C385" s="5" t="s">
        <v>3501</v>
      </c>
      <c r="D385" s="152" t="s">
        <v>3623</v>
      </c>
      <c r="E385" s="13">
        <v>551</v>
      </c>
      <c r="F385" s="113">
        <f>E385/14296*100</f>
        <v>3.8542249580302181</v>
      </c>
      <c r="G385" s="13"/>
      <c r="H385" s="113"/>
    </row>
    <row r="386" spans="1:8" s="5" customFormat="1" ht="11.25" customHeight="1" x14ac:dyDescent="0.2">
      <c r="C386" s="14" t="s">
        <v>2558</v>
      </c>
      <c r="D386" s="28" t="s">
        <v>1736</v>
      </c>
      <c r="E386" s="13">
        <v>11169</v>
      </c>
      <c r="F386" s="113">
        <f>E386/14296*100</f>
        <v>78.12674874090655</v>
      </c>
      <c r="G386" s="13"/>
      <c r="H386" s="113"/>
    </row>
    <row r="387" spans="1:8" s="5" customFormat="1" ht="11.25" customHeight="1" x14ac:dyDescent="0.2">
      <c r="C387" s="5" t="s">
        <v>3502</v>
      </c>
      <c r="D387" s="28" t="s">
        <v>1072</v>
      </c>
      <c r="E387" s="13">
        <v>1343</v>
      </c>
      <c r="F387" s="113">
        <f>E387/14296*100</f>
        <v>9.3942361499720199</v>
      </c>
      <c r="G387" s="13"/>
      <c r="H387" s="113"/>
    </row>
    <row r="388" spans="1:8" s="5" customFormat="1" ht="11.25" customHeight="1" x14ac:dyDescent="0.2">
      <c r="D388" s="28"/>
      <c r="E388" s="162" t="s">
        <v>3503</v>
      </c>
      <c r="F388" s="165">
        <f>SUM(F384:F387)</f>
        <v>100</v>
      </c>
      <c r="G388" s="162">
        <v>27655</v>
      </c>
      <c r="H388" s="165">
        <v>51.9</v>
      </c>
    </row>
    <row r="389" spans="1:8" s="5" customFormat="1" ht="11.25" customHeight="1" x14ac:dyDescent="0.2">
      <c r="D389" s="28"/>
      <c r="E389" s="13"/>
      <c r="F389" s="113"/>
      <c r="G389" s="13"/>
      <c r="H389" s="113"/>
    </row>
    <row r="390" spans="1:8" s="5" customFormat="1" ht="11.25" customHeight="1" x14ac:dyDescent="0.2">
      <c r="A390" s="5" t="s">
        <v>1360</v>
      </c>
      <c r="C390" s="5" t="s">
        <v>861</v>
      </c>
      <c r="D390" s="28" t="s">
        <v>1072</v>
      </c>
      <c r="E390" s="13">
        <v>1089</v>
      </c>
      <c r="F390" s="113">
        <f>E390/8024*100</f>
        <v>13.571784646061817</v>
      </c>
      <c r="G390" s="13"/>
      <c r="H390" s="113"/>
    </row>
    <row r="391" spans="1:8" s="5" customFormat="1" ht="11.25" customHeight="1" x14ac:dyDescent="0.2">
      <c r="C391" s="14" t="s">
        <v>1361</v>
      </c>
      <c r="D391" s="28" t="s">
        <v>1736</v>
      </c>
      <c r="E391" s="13">
        <v>4769</v>
      </c>
      <c r="F391" s="113">
        <f>E391/8024*100</f>
        <v>59.434197407776665</v>
      </c>
      <c r="G391" s="13"/>
      <c r="H391" s="113"/>
    </row>
    <row r="392" spans="1:8" s="5" customFormat="1" ht="11.25" customHeight="1" x14ac:dyDescent="0.2">
      <c r="C392" s="5" t="s">
        <v>3504</v>
      </c>
      <c r="D392" s="5" t="s">
        <v>3275</v>
      </c>
      <c r="E392" s="13">
        <v>1049</v>
      </c>
      <c r="F392" s="113">
        <f>E392/8024*100</f>
        <v>13.073280159521437</v>
      </c>
      <c r="G392" s="13"/>
      <c r="H392" s="113"/>
    </row>
    <row r="393" spans="1:8" s="5" customFormat="1" ht="11.25" customHeight="1" x14ac:dyDescent="0.2">
      <c r="C393" s="5" t="s">
        <v>3505</v>
      </c>
      <c r="D393" s="28" t="s">
        <v>655</v>
      </c>
      <c r="E393" s="13">
        <v>832</v>
      </c>
      <c r="F393" s="113">
        <f>E393/8024*100</f>
        <v>10.368893320039881</v>
      </c>
      <c r="G393" s="13"/>
      <c r="H393" s="113"/>
    </row>
    <row r="394" spans="1:8" s="5" customFormat="1" ht="11.25" customHeight="1" x14ac:dyDescent="0.2">
      <c r="C394" s="5" t="s">
        <v>3506</v>
      </c>
      <c r="D394" s="152" t="s">
        <v>3623</v>
      </c>
      <c r="E394" s="13">
        <v>285</v>
      </c>
      <c r="F394" s="113">
        <f>E394/8024*100</f>
        <v>3.5518444666001994</v>
      </c>
      <c r="G394" s="13"/>
      <c r="H394" s="113"/>
    </row>
    <row r="395" spans="1:8" s="5" customFormat="1" ht="11.25" customHeight="1" x14ac:dyDescent="0.2">
      <c r="D395" s="28"/>
      <c r="E395" s="162" t="s">
        <v>3507</v>
      </c>
      <c r="F395" s="165">
        <f>SUM(F390:F394)</f>
        <v>99.999999999999986</v>
      </c>
      <c r="G395" s="162">
        <v>27058</v>
      </c>
      <c r="H395" s="165">
        <v>29.8</v>
      </c>
    </row>
    <row r="396" spans="1:8" s="5" customFormat="1" ht="11.25" customHeight="1" x14ac:dyDescent="0.2">
      <c r="D396" s="28"/>
      <c r="E396" s="13"/>
      <c r="F396" s="113"/>
      <c r="G396" s="13"/>
      <c r="H396" s="113"/>
    </row>
    <row r="397" spans="1:8" s="5" customFormat="1" ht="11.25" customHeight="1" x14ac:dyDescent="0.2">
      <c r="A397" s="5" t="s">
        <v>1365</v>
      </c>
      <c r="C397" s="5" t="s">
        <v>3508</v>
      </c>
      <c r="D397" s="28" t="s">
        <v>655</v>
      </c>
      <c r="E397" s="13">
        <v>829</v>
      </c>
      <c r="F397" s="113">
        <f>E397/7714*100</f>
        <v>10.746694322011926</v>
      </c>
      <c r="G397" s="13"/>
      <c r="H397" s="113"/>
    </row>
    <row r="398" spans="1:8" s="5" customFormat="1" ht="11.25" customHeight="1" x14ac:dyDescent="0.2">
      <c r="C398" s="14" t="s">
        <v>3509</v>
      </c>
      <c r="D398" s="28" t="s">
        <v>1736</v>
      </c>
      <c r="E398" s="13">
        <v>5145</v>
      </c>
      <c r="F398" s="113">
        <f>E398/7714*100</f>
        <v>66.696914700544468</v>
      </c>
      <c r="G398" s="13"/>
      <c r="H398" s="113"/>
    </row>
    <row r="399" spans="1:8" s="5" customFormat="1" ht="11.25" customHeight="1" x14ac:dyDescent="0.2">
      <c r="C399" s="5" t="s">
        <v>3510</v>
      </c>
      <c r="D399" s="28" t="s">
        <v>1072</v>
      </c>
      <c r="E399" s="13">
        <v>1304</v>
      </c>
      <c r="F399" s="113">
        <f>E399/7714*100</f>
        <v>16.904329789992222</v>
      </c>
      <c r="G399" s="13"/>
      <c r="H399" s="113"/>
    </row>
    <row r="400" spans="1:8" s="5" customFormat="1" ht="11.25" customHeight="1" x14ac:dyDescent="0.2">
      <c r="C400" s="5" t="s">
        <v>3511</v>
      </c>
      <c r="D400" s="152" t="s">
        <v>3623</v>
      </c>
      <c r="E400" s="13">
        <v>436</v>
      </c>
      <c r="F400" s="113">
        <f>E400/7714*100</f>
        <v>5.6520611874513866</v>
      </c>
      <c r="G400" s="13"/>
      <c r="H400" s="113"/>
    </row>
    <row r="401" spans="1:8" s="5" customFormat="1" ht="11.25" customHeight="1" x14ac:dyDescent="0.2">
      <c r="D401" s="28"/>
      <c r="E401" s="162" t="s">
        <v>3512</v>
      </c>
      <c r="F401" s="165">
        <f>SUM(F397:F400)</f>
        <v>99.999999999999986</v>
      </c>
      <c r="G401" s="162">
        <v>27595</v>
      </c>
      <c r="H401" s="165">
        <v>28</v>
      </c>
    </row>
    <row r="402" spans="1:8" s="5" customFormat="1" ht="11.25" customHeight="1" x14ac:dyDescent="0.2">
      <c r="D402" s="28"/>
      <c r="E402" s="13"/>
      <c r="F402" s="113"/>
      <c r="G402" s="13"/>
      <c r="H402" s="113"/>
    </row>
    <row r="403" spans="1:8" s="5" customFormat="1" ht="11.25" customHeight="1" x14ac:dyDescent="0.2">
      <c r="A403" s="5" t="s">
        <v>1372</v>
      </c>
      <c r="C403" s="5" t="s">
        <v>3513</v>
      </c>
      <c r="D403" s="152" t="s">
        <v>3623</v>
      </c>
      <c r="E403" s="13">
        <v>691</v>
      </c>
      <c r="F403" s="113">
        <f>E403/11849*100</f>
        <v>5.8317157566039324</v>
      </c>
      <c r="G403" s="13"/>
      <c r="H403" s="113"/>
    </row>
    <row r="404" spans="1:8" s="5" customFormat="1" ht="11.25" customHeight="1" x14ac:dyDescent="0.2">
      <c r="C404" s="5" t="s">
        <v>3514</v>
      </c>
      <c r="D404" s="28" t="s">
        <v>655</v>
      </c>
      <c r="E404" s="13">
        <v>391</v>
      </c>
      <c r="F404" s="113">
        <f>E404/11849*100</f>
        <v>3.2998565279770444</v>
      </c>
      <c r="G404" s="13"/>
      <c r="H404" s="113"/>
    </row>
    <row r="405" spans="1:8" s="5" customFormat="1" ht="11.25" customHeight="1" x14ac:dyDescent="0.2">
      <c r="C405" s="5" t="s">
        <v>3515</v>
      </c>
      <c r="D405" s="5" t="s">
        <v>3275</v>
      </c>
      <c r="E405" s="13">
        <v>1405</v>
      </c>
      <c r="F405" s="113">
        <f>E405/11849*100</f>
        <v>11.857540720735928</v>
      </c>
      <c r="G405" s="13"/>
      <c r="H405" s="113"/>
    </row>
    <row r="406" spans="1:8" s="5" customFormat="1" ht="11.25" customHeight="1" x14ac:dyDescent="0.2">
      <c r="C406" s="14" t="s">
        <v>2676</v>
      </c>
      <c r="D406" s="28" t="s">
        <v>1736</v>
      </c>
      <c r="E406" s="13">
        <v>7715</v>
      </c>
      <c r="F406" s="113">
        <f>E406/11849*100</f>
        <v>65.110979829521483</v>
      </c>
      <c r="G406" s="13"/>
      <c r="H406" s="113"/>
    </row>
    <row r="407" spans="1:8" s="5" customFormat="1" ht="11.25" customHeight="1" x14ac:dyDescent="0.2">
      <c r="C407" s="5" t="s">
        <v>3516</v>
      </c>
      <c r="D407" s="28" t="s">
        <v>1072</v>
      </c>
      <c r="E407" s="13">
        <v>1647</v>
      </c>
      <c r="F407" s="113">
        <f>E407/11849*100</f>
        <v>13.899907165161618</v>
      </c>
      <c r="G407" s="13"/>
      <c r="H407" s="113"/>
    </row>
    <row r="408" spans="1:8" s="5" customFormat="1" ht="11.25" customHeight="1" x14ac:dyDescent="0.2">
      <c r="D408" s="28"/>
      <c r="E408" s="162" t="s">
        <v>3517</v>
      </c>
      <c r="F408" s="165">
        <f>SUM(F403:F407)</f>
        <v>100.00000000000001</v>
      </c>
      <c r="G408" s="162">
        <v>28922</v>
      </c>
      <c r="H408" s="165">
        <v>41.1</v>
      </c>
    </row>
    <row r="409" spans="1:8" s="5" customFormat="1" ht="11.25" customHeight="1" x14ac:dyDescent="0.2">
      <c r="D409" s="28"/>
      <c r="E409" s="13"/>
      <c r="F409" s="113"/>
      <c r="G409" s="13"/>
      <c r="H409" s="113"/>
    </row>
    <row r="410" spans="1:8" s="5" customFormat="1" ht="11.25" customHeight="1" x14ac:dyDescent="0.2">
      <c r="A410" s="5" t="s">
        <v>1377</v>
      </c>
      <c r="C410" s="5" t="s">
        <v>3518</v>
      </c>
      <c r="D410" s="28" t="s">
        <v>655</v>
      </c>
      <c r="E410" s="13">
        <v>702</v>
      </c>
      <c r="F410" s="113">
        <f t="shared" ref="F410:F415" si="11">E410/11090*100</f>
        <v>6.3300270513976562</v>
      </c>
      <c r="G410" s="13"/>
      <c r="H410" s="113"/>
    </row>
    <row r="411" spans="1:8" s="5" customFormat="1" ht="11.25" customHeight="1" x14ac:dyDescent="0.2">
      <c r="C411" s="5" t="s">
        <v>1379</v>
      </c>
      <c r="D411" s="28" t="s">
        <v>1072</v>
      </c>
      <c r="E411" s="13">
        <v>1539</v>
      </c>
      <c r="F411" s="113">
        <f t="shared" si="11"/>
        <v>13.87736699729486</v>
      </c>
      <c r="G411" s="13"/>
      <c r="H411" s="113"/>
    </row>
    <row r="412" spans="1:8" s="5" customFormat="1" ht="11.25" customHeight="1" x14ac:dyDescent="0.2">
      <c r="C412" s="5" t="s">
        <v>3519</v>
      </c>
      <c r="D412" s="5" t="s">
        <v>3275</v>
      </c>
      <c r="E412" s="13">
        <v>1215</v>
      </c>
      <c r="F412" s="113">
        <f t="shared" si="11"/>
        <v>10.955816050495942</v>
      </c>
      <c r="G412" s="13"/>
      <c r="H412" s="113"/>
    </row>
    <row r="413" spans="1:8" s="5" customFormat="1" ht="11.25" customHeight="1" x14ac:dyDescent="0.2">
      <c r="C413" s="5" t="s">
        <v>3520</v>
      </c>
      <c r="D413" s="152" t="s">
        <v>3623</v>
      </c>
      <c r="E413" s="13">
        <v>545</v>
      </c>
      <c r="F413" s="113">
        <f t="shared" si="11"/>
        <v>4.9143372407574386</v>
      </c>
      <c r="G413" s="13"/>
      <c r="H413" s="113"/>
    </row>
    <row r="414" spans="1:8" x14ac:dyDescent="0.2">
      <c r="C414" s="1" t="s">
        <v>3521</v>
      </c>
      <c r="D414" s="4" t="s">
        <v>653</v>
      </c>
      <c r="E414" s="19">
        <v>122</v>
      </c>
      <c r="F414" s="113">
        <f t="shared" si="11"/>
        <v>1.1000901713255185</v>
      </c>
    </row>
    <row r="415" spans="1:8" x14ac:dyDescent="0.2">
      <c r="C415" s="14" t="s">
        <v>1380</v>
      </c>
      <c r="D415" s="28" t="s">
        <v>1736</v>
      </c>
      <c r="E415" s="19">
        <v>6967</v>
      </c>
      <c r="F415" s="113">
        <f t="shared" si="11"/>
        <v>62.822362488728587</v>
      </c>
    </row>
    <row r="416" spans="1:8" s="5" customFormat="1" ht="11.25" customHeight="1" x14ac:dyDescent="0.2">
      <c r="D416" s="28"/>
      <c r="E416" s="162" t="s">
        <v>3522</v>
      </c>
      <c r="F416" s="165">
        <f>SUM(F410:F415)</f>
        <v>100</v>
      </c>
      <c r="G416" s="162">
        <v>27233</v>
      </c>
      <c r="H416" s="165">
        <v>40.9</v>
      </c>
    </row>
    <row r="417" spans="1:8" s="5" customFormat="1" ht="11.25" customHeight="1" x14ac:dyDescent="0.2">
      <c r="D417" s="28"/>
      <c r="E417" s="13"/>
      <c r="F417" s="113"/>
      <c r="G417" s="13"/>
      <c r="H417" s="113"/>
    </row>
    <row r="418" spans="1:8" s="5" customFormat="1" ht="11.25" customHeight="1" x14ac:dyDescent="0.2">
      <c r="A418" s="5" t="s">
        <v>1381</v>
      </c>
      <c r="C418" s="5" t="s">
        <v>3523</v>
      </c>
      <c r="D418" s="28" t="s">
        <v>1072</v>
      </c>
      <c r="E418" s="13">
        <v>1627</v>
      </c>
      <c r="F418" s="113">
        <f>E418/9157*100</f>
        <v>17.767827891230752</v>
      </c>
      <c r="G418" s="13"/>
      <c r="H418" s="113"/>
    </row>
    <row r="419" spans="1:8" s="5" customFormat="1" ht="11.25" customHeight="1" x14ac:dyDescent="0.2">
      <c r="C419" s="14" t="s">
        <v>1382</v>
      </c>
      <c r="D419" s="28" t="s">
        <v>1736</v>
      </c>
      <c r="E419" s="13">
        <v>6527</v>
      </c>
      <c r="F419" s="113">
        <f>E419/9157*100</f>
        <v>71.278803101452439</v>
      </c>
      <c r="G419" s="13"/>
      <c r="H419" s="113"/>
    </row>
    <row r="420" spans="1:8" s="5" customFormat="1" ht="11.25" customHeight="1" x14ac:dyDescent="0.2">
      <c r="C420" s="5" t="s">
        <v>3524</v>
      </c>
      <c r="D420" s="28" t="s">
        <v>655</v>
      </c>
      <c r="E420" s="13">
        <v>1003</v>
      </c>
      <c r="F420" s="113">
        <f>E420/9157*100</f>
        <v>10.953369007316807</v>
      </c>
      <c r="G420" s="13"/>
      <c r="H420" s="113"/>
    </row>
    <row r="421" spans="1:8" s="5" customFormat="1" ht="11.25" customHeight="1" x14ac:dyDescent="0.2">
      <c r="D421" s="28"/>
      <c r="E421" s="162" t="s">
        <v>3525</v>
      </c>
      <c r="F421" s="165">
        <f>SUM(F418:F420)</f>
        <v>100</v>
      </c>
      <c r="G421" s="162">
        <v>19019</v>
      </c>
      <c r="H421" s="165">
        <v>48.5</v>
      </c>
    </row>
    <row r="422" spans="1:8" s="5" customFormat="1" ht="11.25" customHeight="1" x14ac:dyDescent="0.2">
      <c r="D422" s="28"/>
      <c r="E422" s="13"/>
      <c r="F422" s="113"/>
      <c r="G422" s="13"/>
      <c r="H422" s="113"/>
    </row>
    <row r="423" spans="1:8" s="5" customFormat="1" ht="11.25" customHeight="1" x14ac:dyDescent="0.2">
      <c r="A423" s="5" t="s">
        <v>2052</v>
      </c>
      <c r="C423" s="5" t="s">
        <v>3526</v>
      </c>
      <c r="D423" s="152" t="s">
        <v>3623</v>
      </c>
      <c r="E423" s="13">
        <v>3226</v>
      </c>
      <c r="F423" s="113">
        <f>E423/14099*100</f>
        <v>22.881055393999574</v>
      </c>
      <c r="G423" s="13"/>
      <c r="H423" s="113"/>
    </row>
    <row r="424" spans="1:8" s="5" customFormat="1" ht="11.25" customHeight="1" x14ac:dyDescent="0.2">
      <c r="C424" s="5" t="s">
        <v>3527</v>
      </c>
      <c r="D424" s="28" t="s">
        <v>655</v>
      </c>
      <c r="E424" s="13">
        <v>560</v>
      </c>
      <c r="F424" s="113">
        <f>E424/14099*100</f>
        <v>3.9719129016242283</v>
      </c>
      <c r="G424" s="13"/>
      <c r="H424" s="113"/>
    </row>
    <row r="425" spans="1:8" s="5" customFormat="1" ht="11.25" customHeight="1" x14ac:dyDescent="0.2">
      <c r="C425" s="5" t="s">
        <v>3528</v>
      </c>
      <c r="D425" s="5" t="s">
        <v>3275</v>
      </c>
      <c r="E425" s="13">
        <v>911</v>
      </c>
      <c r="F425" s="113">
        <f>E425/14099*100</f>
        <v>6.4614511667494146</v>
      </c>
      <c r="G425" s="13"/>
      <c r="H425" s="113"/>
    </row>
    <row r="426" spans="1:8" s="5" customFormat="1" ht="11.25" customHeight="1" x14ac:dyDescent="0.2">
      <c r="C426" s="5" t="s">
        <v>3529</v>
      </c>
      <c r="D426" s="28" t="s">
        <v>1072</v>
      </c>
      <c r="E426" s="13">
        <v>1200</v>
      </c>
      <c r="F426" s="113">
        <f>E426/14099*100</f>
        <v>8.5112419320519184</v>
      </c>
      <c r="G426" s="13"/>
      <c r="H426" s="113"/>
    </row>
    <row r="427" spans="1:8" s="5" customFormat="1" ht="11.25" customHeight="1" x14ac:dyDescent="0.2">
      <c r="C427" s="14" t="s">
        <v>2691</v>
      </c>
      <c r="D427" s="28" t="s">
        <v>1736</v>
      </c>
      <c r="E427" s="13">
        <v>8202</v>
      </c>
      <c r="F427" s="113">
        <f>E427/14099*100</f>
        <v>58.17433860557486</v>
      </c>
      <c r="G427" s="13"/>
      <c r="H427" s="113"/>
    </row>
    <row r="428" spans="1:8" s="5" customFormat="1" ht="11.25" customHeight="1" x14ac:dyDescent="0.2">
      <c r="D428" s="28"/>
      <c r="E428" s="162" t="s">
        <v>3530</v>
      </c>
      <c r="F428" s="165">
        <f>SUM(F423:F427)</f>
        <v>100</v>
      </c>
      <c r="G428" s="162">
        <v>29935</v>
      </c>
      <c r="H428" s="165">
        <v>47.2</v>
      </c>
    </row>
    <row r="429" spans="1:8" s="5" customFormat="1" ht="11.25" customHeight="1" x14ac:dyDescent="0.2">
      <c r="D429" s="28"/>
      <c r="E429" s="13"/>
      <c r="F429" s="113"/>
      <c r="G429" s="13"/>
      <c r="H429" s="113"/>
    </row>
    <row r="430" spans="1:8" s="5" customFormat="1" ht="11.25" customHeight="1" x14ac:dyDescent="0.2">
      <c r="A430" s="5" t="s">
        <v>2053</v>
      </c>
      <c r="C430" s="5" t="s">
        <v>1932</v>
      </c>
      <c r="D430" s="28" t="s">
        <v>1072</v>
      </c>
      <c r="E430" s="13">
        <v>2329</v>
      </c>
      <c r="F430" s="113">
        <f>E430/13934*100</f>
        <v>16.714511267403473</v>
      </c>
      <c r="G430" s="13"/>
      <c r="H430" s="113"/>
    </row>
    <row r="431" spans="1:8" s="5" customFormat="1" ht="11.25" customHeight="1" x14ac:dyDescent="0.2">
      <c r="C431" s="5" t="s">
        <v>2173</v>
      </c>
      <c r="D431" s="152" t="s">
        <v>3623</v>
      </c>
      <c r="E431" s="13">
        <v>495</v>
      </c>
      <c r="F431" s="113">
        <f>E431/13934*100</f>
        <v>3.5524616047079087</v>
      </c>
      <c r="G431" s="13"/>
      <c r="H431" s="113"/>
    </row>
    <row r="432" spans="1:8" s="5" customFormat="1" ht="11.25" customHeight="1" x14ac:dyDescent="0.2">
      <c r="C432" s="5" t="s">
        <v>3531</v>
      </c>
      <c r="D432" s="28" t="s">
        <v>655</v>
      </c>
      <c r="E432" s="13">
        <v>1057</v>
      </c>
      <c r="F432" s="113">
        <f>E432/13934*100</f>
        <v>7.5857614468207268</v>
      </c>
      <c r="G432" s="13"/>
      <c r="H432" s="113"/>
    </row>
    <row r="433" spans="1:8" s="5" customFormat="1" ht="11.25" customHeight="1" x14ac:dyDescent="0.2">
      <c r="C433" s="5" t="s">
        <v>3532</v>
      </c>
      <c r="D433" s="5" t="s">
        <v>3275</v>
      </c>
      <c r="E433" s="13">
        <v>1008</v>
      </c>
      <c r="F433" s="113">
        <f>E433/13934*100</f>
        <v>7.2341036314051959</v>
      </c>
      <c r="G433" s="13"/>
      <c r="H433" s="113"/>
    </row>
    <row r="434" spans="1:8" s="5" customFormat="1" ht="11.25" customHeight="1" x14ac:dyDescent="0.2">
      <c r="C434" s="14" t="s">
        <v>2695</v>
      </c>
      <c r="D434" s="28" t="s">
        <v>1736</v>
      </c>
      <c r="E434" s="13">
        <v>9045</v>
      </c>
      <c r="F434" s="113">
        <f>E434/13934*100</f>
        <v>64.913162049662702</v>
      </c>
      <c r="G434" s="13"/>
      <c r="H434" s="113"/>
    </row>
    <row r="435" spans="1:8" s="5" customFormat="1" ht="11.25" customHeight="1" x14ac:dyDescent="0.2">
      <c r="D435" s="28"/>
      <c r="E435" s="162" t="s">
        <v>3533</v>
      </c>
      <c r="F435" s="165">
        <f>SUM(F430:F434)</f>
        <v>100</v>
      </c>
      <c r="G435" s="162">
        <v>32419</v>
      </c>
      <c r="H435" s="165">
        <v>43.1</v>
      </c>
    </row>
    <row r="436" spans="1:8" s="5" customFormat="1" ht="11.25" customHeight="1" x14ac:dyDescent="0.2">
      <c r="D436" s="28"/>
      <c r="E436" s="13"/>
      <c r="F436" s="113"/>
      <c r="G436" s="13"/>
      <c r="H436" s="113"/>
    </row>
    <row r="437" spans="1:8" s="53" customFormat="1" ht="11.25" customHeight="1" x14ac:dyDescent="0.2">
      <c r="A437" s="1" t="s">
        <v>2350</v>
      </c>
      <c r="B437"/>
      <c r="C437" s="55" t="s">
        <v>2352</v>
      </c>
      <c r="D437" s="28" t="s">
        <v>1736</v>
      </c>
      <c r="E437" s="13">
        <v>3384</v>
      </c>
      <c r="F437" s="113">
        <f>E437/5192*100</f>
        <v>65.17719568567027</v>
      </c>
      <c r="G437" s="13"/>
      <c r="H437" s="113"/>
    </row>
    <row r="438" spans="1:8" s="53" customFormat="1" ht="11.25" customHeight="1" x14ac:dyDescent="0.2">
      <c r="A438" s="1"/>
      <c r="B438"/>
      <c r="C438" s="53" t="s">
        <v>3534</v>
      </c>
      <c r="D438" s="53" t="s">
        <v>1072</v>
      </c>
      <c r="E438" s="13">
        <v>1109</v>
      </c>
      <c r="F438" s="113">
        <f>E438/5192*100</f>
        <v>21.359784283513097</v>
      </c>
      <c r="G438" s="13"/>
      <c r="H438" s="113"/>
    </row>
    <row r="439" spans="1:8" s="53" customFormat="1" ht="11.25" customHeight="1" x14ac:dyDescent="0.2">
      <c r="A439"/>
      <c r="B439"/>
      <c r="C439" s="53" t="s">
        <v>3535</v>
      </c>
      <c r="D439" s="152" t="s">
        <v>3623</v>
      </c>
      <c r="E439" s="13">
        <v>273</v>
      </c>
      <c r="F439" s="113">
        <f>E439/5192*100</f>
        <v>5.2580893682588599</v>
      </c>
      <c r="G439" s="13"/>
      <c r="H439" s="113"/>
    </row>
    <row r="440" spans="1:8" s="53" customFormat="1" ht="11.25" customHeight="1" x14ac:dyDescent="0.2">
      <c r="A440"/>
      <c r="B440"/>
      <c r="C440" s="53" t="s">
        <v>3536</v>
      </c>
      <c r="D440" s="28" t="s">
        <v>655</v>
      </c>
      <c r="E440" s="13">
        <v>426</v>
      </c>
      <c r="F440" s="113">
        <f>E440/5192*100</f>
        <v>8.204930662557782</v>
      </c>
      <c r="G440" s="13"/>
      <c r="H440" s="113"/>
    </row>
    <row r="441" spans="1:8" s="53" customFormat="1" ht="11.25" customHeight="1" x14ac:dyDescent="0.2">
      <c r="D441" s="28"/>
      <c r="E441" s="162" t="s">
        <v>3537</v>
      </c>
      <c r="F441" s="165">
        <f>SUM(F437:F440)</f>
        <v>100.00000000000001</v>
      </c>
      <c r="G441" s="162">
        <v>19905</v>
      </c>
      <c r="H441" s="165">
        <v>26.2</v>
      </c>
    </row>
    <row r="442" spans="1:8" s="53" customFormat="1" ht="11.25" customHeight="1" x14ac:dyDescent="0.2">
      <c r="D442" s="28"/>
      <c r="E442" s="13"/>
      <c r="F442" s="113"/>
      <c r="G442" s="13"/>
      <c r="H442" s="113"/>
    </row>
    <row r="443" spans="1:8" s="5" customFormat="1" ht="11.25" customHeight="1" x14ac:dyDescent="0.2">
      <c r="A443" s="5" t="s">
        <v>1935</v>
      </c>
      <c r="C443" s="5" t="s">
        <v>26</v>
      </c>
      <c r="D443" s="28" t="s">
        <v>1736</v>
      </c>
      <c r="E443" s="13">
        <v>4715</v>
      </c>
      <c r="F443" s="113">
        <f>E443/12024*100</f>
        <v>39.21324018629408</v>
      </c>
      <c r="G443" s="13"/>
      <c r="H443" s="113"/>
    </row>
    <row r="444" spans="1:8" s="5" customFormat="1" ht="11.25" customHeight="1" x14ac:dyDescent="0.2">
      <c r="C444" s="5" t="s">
        <v>3538</v>
      </c>
      <c r="D444" s="152" t="s">
        <v>3623</v>
      </c>
      <c r="E444" s="13">
        <v>292</v>
      </c>
      <c r="F444" s="113">
        <f>E444/12024*100</f>
        <v>2.4284763805721887</v>
      </c>
      <c r="G444" s="13"/>
      <c r="H444" s="113"/>
    </row>
    <row r="445" spans="1:8" s="5" customFormat="1" ht="11.25" customHeight="1" x14ac:dyDescent="0.2">
      <c r="C445" s="5" t="s">
        <v>3539</v>
      </c>
      <c r="D445" s="28" t="s">
        <v>655</v>
      </c>
      <c r="E445" s="13">
        <v>687</v>
      </c>
      <c r="F445" s="113">
        <f>E445/12024*100</f>
        <v>5.7135728542914173</v>
      </c>
      <c r="G445" s="13"/>
      <c r="H445" s="113"/>
    </row>
    <row r="446" spans="1:8" s="5" customFormat="1" ht="11.25" customHeight="1" x14ac:dyDescent="0.2">
      <c r="C446" s="14" t="s">
        <v>2703</v>
      </c>
      <c r="D446" s="28" t="s">
        <v>1072</v>
      </c>
      <c r="E446" s="13">
        <v>5582</v>
      </c>
      <c r="F446" s="113">
        <f>E446/12024*100</f>
        <v>46.423819028609451</v>
      </c>
      <c r="G446" s="13"/>
      <c r="H446" s="113"/>
    </row>
    <row r="447" spans="1:8" s="5" customFormat="1" ht="11.25" customHeight="1" x14ac:dyDescent="0.2">
      <c r="C447" s="5" t="s">
        <v>2712</v>
      </c>
      <c r="D447" s="5" t="s">
        <v>3275</v>
      </c>
      <c r="E447" s="13">
        <v>748</v>
      </c>
      <c r="F447" s="113">
        <f>E447/12024*100</f>
        <v>6.2208915502328672</v>
      </c>
      <c r="G447" s="13"/>
      <c r="H447" s="113"/>
    </row>
    <row r="448" spans="1:8" s="5" customFormat="1" ht="11.25" customHeight="1" x14ac:dyDescent="0.2">
      <c r="D448" s="28"/>
      <c r="E448" s="162" t="s">
        <v>3540</v>
      </c>
      <c r="F448" s="165">
        <f>SUM(F443:F447)</f>
        <v>100</v>
      </c>
      <c r="G448" s="162">
        <v>29579</v>
      </c>
      <c r="H448" s="165">
        <v>40.799999999999997</v>
      </c>
    </row>
    <row r="449" spans="1:8" s="5" customFormat="1" ht="11.25" customHeight="1" x14ac:dyDescent="0.2">
      <c r="D449" s="28"/>
      <c r="E449" s="13"/>
      <c r="F449" s="113"/>
      <c r="G449" s="13"/>
      <c r="H449" s="113"/>
    </row>
    <row r="450" spans="1:8" s="5" customFormat="1" ht="11.25" customHeight="1" x14ac:dyDescent="0.2">
      <c r="A450" s="5" t="s">
        <v>3180</v>
      </c>
      <c r="C450" s="5" t="s">
        <v>2705</v>
      </c>
      <c r="D450" s="5" t="s">
        <v>1072</v>
      </c>
      <c r="E450" s="13">
        <v>4022</v>
      </c>
      <c r="F450" s="113">
        <f>E450/11450*100</f>
        <v>35.126637554585152</v>
      </c>
      <c r="G450" s="13"/>
      <c r="H450" s="113"/>
    </row>
    <row r="451" spans="1:8" s="5" customFormat="1" ht="11.25" customHeight="1" x14ac:dyDescent="0.2">
      <c r="C451" s="5" t="s">
        <v>3541</v>
      </c>
      <c r="D451" s="5" t="s">
        <v>3275</v>
      </c>
      <c r="E451" s="13">
        <v>855</v>
      </c>
      <c r="F451" s="113">
        <f>E451/11450*100</f>
        <v>7.4672489082969431</v>
      </c>
      <c r="G451" s="13"/>
      <c r="H451" s="113"/>
    </row>
    <row r="452" spans="1:8" s="5" customFormat="1" ht="11.25" customHeight="1" x14ac:dyDescent="0.2">
      <c r="C452" s="5" t="s">
        <v>3542</v>
      </c>
      <c r="D452" s="28" t="s">
        <v>655</v>
      </c>
      <c r="E452" s="13">
        <v>1179</v>
      </c>
      <c r="F452" s="113">
        <f>E452/11450*100</f>
        <v>10.296943231441048</v>
      </c>
      <c r="G452" s="13"/>
      <c r="H452" s="113"/>
    </row>
    <row r="453" spans="1:8" s="5" customFormat="1" ht="11.25" customHeight="1" x14ac:dyDescent="0.2">
      <c r="C453" s="5" t="s">
        <v>3543</v>
      </c>
      <c r="D453" s="152" t="s">
        <v>3623</v>
      </c>
      <c r="E453" s="13">
        <v>392</v>
      </c>
      <c r="F453" s="113">
        <f>E453/11450*100</f>
        <v>3.4235807860262009</v>
      </c>
      <c r="G453" s="13"/>
      <c r="H453" s="113"/>
    </row>
    <row r="454" spans="1:8" s="5" customFormat="1" ht="11.25" customHeight="1" x14ac:dyDescent="0.2">
      <c r="C454" s="14" t="s">
        <v>3544</v>
      </c>
      <c r="D454" s="28" t="s">
        <v>1736</v>
      </c>
      <c r="E454" s="13">
        <v>5002</v>
      </c>
      <c r="F454" s="113">
        <f>E454/11450*100</f>
        <v>43.685589519650655</v>
      </c>
      <c r="G454" s="13"/>
      <c r="H454" s="113"/>
    </row>
    <row r="455" spans="1:8" s="5" customFormat="1" ht="11.25" customHeight="1" x14ac:dyDescent="0.2">
      <c r="D455" s="28"/>
      <c r="E455" s="162" t="s">
        <v>3545</v>
      </c>
      <c r="F455" s="165">
        <f>SUM(F450:F454)</f>
        <v>100</v>
      </c>
      <c r="G455" s="162">
        <v>30677</v>
      </c>
      <c r="H455" s="165">
        <v>37.5</v>
      </c>
    </row>
    <row r="456" spans="1:8" s="5" customFormat="1" ht="11.25" customHeight="1" x14ac:dyDescent="0.2">
      <c r="D456" s="28"/>
      <c r="E456" s="13"/>
      <c r="F456" s="113"/>
      <c r="G456" s="13"/>
      <c r="H456" s="113"/>
    </row>
    <row r="457" spans="1:8" s="5" customFormat="1" ht="11.25" customHeight="1" x14ac:dyDescent="0.2">
      <c r="A457" s="5" t="s">
        <v>3185</v>
      </c>
      <c r="C457" s="5" t="s">
        <v>3546</v>
      </c>
      <c r="D457" s="5" t="s">
        <v>3275</v>
      </c>
      <c r="E457" s="13">
        <v>2051</v>
      </c>
      <c r="F457" s="113">
        <f>E457/8870*100</f>
        <v>23.122886133032694</v>
      </c>
      <c r="G457" s="13"/>
      <c r="H457" s="113"/>
    </row>
    <row r="458" spans="1:8" s="5" customFormat="1" ht="11.25" customHeight="1" x14ac:dyDescent="0.2">
      <c r="C458" s="14" t="s">
        <v>3189</v>
      </c>
      <c r="D458" s="28" t="s">
        <v>1736</v>
      </c>
      <c r="E458" s="13">
        <v>5150</v>
      </c>
      <c r="F458" s="113">
        <f>E458/8870*100</f>
        <v>58.060879368658405</v>
      </c>
      <c r="G458" s="13"/>
      <c r="H458" s="113"/>
    </row>
    <row r="459" spans="1:8" s="5" customFormat="1" ht="11.25" customHeight="1" x14ac:dyDescent="0.2">
      <c r="C459" s="5" t="s">
        <v>3547</v>
      </c>
      <c r="D459" s="28" t="s">
        <v>655</v>
      </c>
      <c r="E459" s="13">
        <v>322</v>
      </c>
      <c r="F459" s="113">
        <f>E459/8870*100</f>
        <v>3.6302142051860207</v>
      </c>
      <c r="G459" s="13"/>
      <c r="H459" s="113"/>
    </row>
    <row r="460" spans="1:8" s="5" customFormat="1" ht="11.25" customHeight="1" x14ac:dyDescent="0.2">
      <c r="C460" s="5" t="s">
        <v>3548</v>
      </c>
      <c r="D460" s="152" t="s">
        <v>3623</v>
      </c>
      <c r="E460" s="13">
        <v>267</v>
      </c>
      <c r="F460" s="113">
        <f>E460/8870*100</f>
        <v>3.0101465614430665</v>
      </c>
      <c r="G460" s="13"/>
      <c r="H460" s="113"/>
    </row>
    <row r="461" spans="1:8" s="5" customFormat="1" ht="11.25" customHeight="1" x14ac:dyDescent="0.2">
      <c r="C461" s="5" t="s">
        <v>3549</v>
      </c>
      <c r="D461" s="5" t="s">
        <v>1072</v>
      </c>
      <c r="E461" s="13">
        <v>1080</v>
      </c>
      <c r="F461" s="113">
        <f>E461/8870*100</f>
        <v>12.175873731679818</v>
      </c>
      <c r="G461" s="13"/>
      <c r="H461" s="113"/>
    </row>
    <row r="462" spans="1:8" s="5" customFormat="1" ht="11.25" customHeight="1" x14ac:dyDescent="0.2">
      <c r="D462" s="28"/>
      <c r="E462" s="162" t="s">
        <v>3550</v>
      </c>
      <c r="F462" s="165">
        <f>SUM(F457:F461)</f>
        <v>100</v>
      </c>
      <c r="G462" s="162">
        <v>20788</v>
      </c>
      <c r="H462" s="165">
        <v>42.8</v>
      </c>
    </row>
    <row r="463" spans="1:8" s="5" customFormat="1" ht="11.25" customHeight="1" x14ac:dyDescent="0.2">
      <c r="D463" s="28"/>
      <c r="E463" s="13"/>
      <c r="F463" s="113"/>
      <c r="G463" s="13"/>
      <c r="H463" s="113"/>
    </row>
    <row r="464" spans="1:8" s="5" customFormat="1" ht="11.25" customHeight="1" x14ac:dyDescent="0.2">
      <c r="A464" s="5" t="s">
        <v>3190</v>
      </c>
      <c r="C464" s="14" t="s">
        <v>3551</v>
      </c>
      <c r="D464" s="28" t="s">
        <v>1736</v>
      </c>
      <c r="E464" s="13">
        <v>6037</v>
      </c>
      <c r="F464" s="113">
        <f>E464/9406*100</f>
        <v>64.182436742504791</v>
      </c>
      <c r="G464" s="13"/>
      <c r="H464" s="113"/>
    </row>
    <row r="465" spans="1:8" s="5" customFormat="1" ht="11.25" customHeight="1" x14ac:dyDescent="0.2">
      <c r="C465" s="5" t="s">
        <v>3552</v>
      </c>
      <c r="D465" s="28" t="s">
        <v>655</v>
      </c>
      <c r="E465" s="13">
        <v>476</v>
      </c>
      <c r="F465" s="113">
        <f>E465/9406*100</f>
        <v>5.0605996172655754</v>
      </c>
      <c r="G465" s="13"/>
      <c r="H465" s="113"/>
    </row>
    <row r="466" spans="1:8" s="5" customFormat="1" ht="11.25" customHeight="1" x14ac:dyDescent="0.2">
      <c r="C466" s="5" t="s">
        <v>3553</v>
      </c>
      <c r="D466" s="152" t="s">
        <v>3623</v>
      </c>
      <c r="E466" s="13">
        <v>371</v>
      </c>
      <c r="F466" s="113">
        <f>E466/9406*100</f>
        <v>3.9442908781628745</v>
      </c>
      <c r="G466" s="13"/>
      <c r="H466" s="113"/>
    </row>
    <row r="467" spans="1:8" s="5" customFormat="1" ht="11.25" customHeight="1" x14ac:dyDescent="0.2">
      <c r="C467" s="5" t="s">
        <v>3554</v>
      </c>
      <c r="D467" s="28" t="s">
        <v>1072</v>
      </c>
      <c r="E467" s="13">
        <v>1534</v>
      </c>
      <c r="F467" s="113">
        <f>E467/9406*100</f>
        <v>16.308739102700404</v>
      </c>
      <c r="G467" s="13"/>
      <c r="H467" s="113"/>
    </row>
    <row r="468" spans="1:8" s="5" customFormat="1" ht="11.25" customHeight="1" x14ac:dyDescent="0.2">
      <c r="C468" s="5" t="s">
        <v>3555</v>
      </c>
      <c r="D468" s="5" t="s">
        <v>3275</v>
      </c>
      <c r="E468" s="13">
        <v>988</v>
      </c>
      <c r="F468" s="113">
        <f>E468/9406*100</f>
        <v>10.503933659366362</v>
      </c>
      <c r="G468" s="13"/>
      <c r="H468" s="113"/>
    </row>
    <row r="469" spans="1:8" s="5" customFormat="1" ht="11.25" customHeight="1" x14ac:dyDescent="0.2">
      <c r="D469" s="28"/>
      <c r="E469" s="162" t="s">
        <v>3556</v>
      </c>
      <c r="F469" s="165">
        <f>SUM(F464:F468)</f>
        <v>100.00000000000001</v>
      </c>
      <c r="G469" s="162">
        <v>23429</v>
      </c>
      <c r="H469" s="165">
        <v>40.4</v>
      </c>
    </row>
    <row r="470" spans="1:8" s="5" customFormat="1" ht="11.25" customHeight="1" x14ac:dyDescent="0.2">
      <c r="D470" s="28"/>
      <c r="E470" s="13"/>
      <c r="F470" s="113"/>
      <c r="G470" s="13"/>
      <c r="H470" s="113"/>
    </row>
    <row r="471" spans="1:8" s="5" customFormat="1" ht="11.25" customHeight="1" x14ac:dyDescent="0.2">
      <c r="A471" s="5" t="s">
        <v>3195</v>
      </c>
      <c r="C471" s="5" t="s">
        <v>2720</v>
      </c>
      <c r="D471" s="28" t="s">
        <v>655</v>
      </c>
      <c r="E471" s="13">
        <v>484</v>
      </c>
      <c r="F471" s="113">
        <f>E471/10528*100</f>
        <v>4.5972644376899696</v>
      </c>
      <c r="G471" s="13"/>
      <c r="H471" s="113"/>
    </row>
    <row r="472" spans="1:8" s="5" customFormat="1" ht="11.25" customHeight="1" x14ac:dyDescent="0.2">
      <c r="C472" s="5" t="s">
        <v>3196</v>
      </c>
      <c r="D472" s="28" t="s">
        <v>1072</v>
      </c>
      <c r="E472" s="13">
        <v>3625</v>
      </c>
      <c r="F472" s="113">
        <f>E472/10528*100</f>
        <v>34.431990881458965</v>
      </c>
      <c r="G472" s="13"/>
      <c r="H472" s="113"/>
    </row>
    <row r="473" spans="1:8" s="5" customFormat="1" ht="11.25" customHeight="1" x14ac:dyDescent="0.2">
      <c r="C473" s="5" t="s">
        <v>3557</v>
      </c>
      <c r="D473" s="152" t="s">
        <v>3623</v>
      </c>
      <c r="E473" s="13">
        <v>285</v>
      </c>
      <c r="F473" s="113">
        <f>E473/10528*100</f>
        <v>2.7070668693009119</v>
      </c>
      <c r="G473" s="13"/>
      <c r="H473" s="113"/>
    </row>
    <row r="474" spans="1:8" s="5" customFormat="1" ht="11.25" customHeight="1" x14ac:dyDescent="0.2">
      <c r="C474" s="5" t="s">
        <v>3558</v>
      </c>
      <c r="D474" s="5" t="s">
        <v>3275</v>
      </c>
      <c r="E474" s="13">
        <v>746</v>
      </c>
      <c r="F474" s="113">
        <f>E474/10528*100</f>
        <v>7.0858662613981753</v>
      </c>
      <c r="G474" s="13"/>
      <c r="H474" s="113"/>
    </row>
    <row r="475" spans="1:8" s="5" customFormat="1" ht="11.25" customHeight="1" x14ac:dyDescent="0.2">
      <c r="C475" s="14" t="s">
        <v>409</v>
      </c>
      <c r="D475" s="28" t="s">
        <v>1736</v>
      </c>
      <c r="E475" s="13">
        <v>5388</v>
      </c>
      <c r="F475" s="113">
        <f>E475/10528*100</f>
        <v>51.177811550151972</v>
      </c>
      <c r="G475" s="13"/>
      <c r="H475" s="113"/>
    </row>
    <row r="476" spans="1:8" s="5" customFormat="1" ht="11.25" customHeight="1" x14ac:dyDescent="0.2">
      <c r="D476" s="28"/>
      <c r="E476" s="162" t="s">
        <v>3559</v>
      </c>
      <c r="F476" s="165">
        <f>SUM(F471:F475)</f>
        <v>100</v>
      </c>
      <c r="G476" s="162">
        <v>29877</v>
      </c>
      <c r="H476" s="165">
        <v>35.4</v>
      </c>
    </row>
    <row r="477" spans="1:8" s="5" customFormat="1" ht="11.25" customHeight="1" x14ac:dyDescent="0.2">
      <c r="D477" s="28"/>
      <c r="E477" s="13"/>
      <c r="F477" s="113"/>
      <c r="G477" s="13"/>
      <c r="H477" s="113"/>
    </row>
    <row r="478" spans="1:8" s="5" customFormat="1" ht="11.25" customHeight="1" x14ac:dyDescent="0.2">
      <c r="A478" s="5" t="s">
        <v>410</v>
      </c>
      <c r="C478" s="5" t="s">
        <v>3560</v>
      </c>
      <c r="D478" s="28" t="s">
        <v>655</v>
      </c>
      <c r="E478" s="13">
        <v>268</v>
      </c>
      <c r="F478" s="113">
        <f>E478/12233*100</f>
        <v>2.1907953895201504</v>
      </c>
      <c r="G478" s="13"/>
      <c r="H478" s="113"/>
    </row>
    <row r="479" spans="1:8" s="5" customFormat="1" ht="11.25" customHeight="1" x14ac:dyDescent="0.2">
      <c r="C479" s="5" t="s">
        <v>3561</v>
      </c>
      <c r="D479" s="5" t="s">
        <v>3275</v>
      </c>
      <c r="E479" s="13">
        <v>2572</v>
      </c>
      <c r="F479" s="113">
        <f>E479/12233*100</f>
        <v>21.025096051663532</v>
      </c>
      <c r="G479" s="13"/>
      <c r="H479" s="113"/>
    </row>
    <row r="480" spans="1:8" s="5" customFormat="1" ht="11.25" customHeight="1" x14ac:dyDescent="0.2">
      <c r="C480" s="5" t="s">
        <v>3562</v>
      </c>
      <c r="D480" s="152" t="s">
        <v>3623</v>
      </c>
      <c r="E480" s="13">
        <v>518</v>
      </c>
      <c r="F480" s="113">
        <f>E480/12233*100</f>
        <v>4.2344478051173056</v>
      </c>
      <c r="G480" s="13"/>
      <c r="H480" s="113"/>
    </row>
    <row r="481" spans="1:8" s="5" customFormat="1" ht="11.25" customHeight="1" x14ac:dyDescent="0.2">
      <c r="C481" s="14" t="s">
        <v>412</v>
      </c>
      <c r="D481" s="28" t="s">
        <v>1736</v>
      </c>
      <c r="E481" s="13">
        <v>7837</v>
      </c>
      <c r="F481" s="113">
        <f>E481/12233*100</f>
        <v>64.064415924139624</v>
      </c>
      <c r="G481" s="13"/>
      <c r="H481" s="113"/>
    </row>
    <row r="482" spans="1:8" s="5" customFormat="1" ht="11.25" customHeight="1" x14ac:dyDescent="0.2">
      <c r="C482" s="5" t="s">
        <v>2729</v>
      </c>
      <c r="D482" s="28" t="s">
        <v>1072</v>
      </c>
      <c r="E482" s="13">
        <v>1038</v>
      </c>
      <c r="F482" s="113">
        <f>E482/12233*100</f>
        <v>8.4852448295593881</v>
      </c>
      <c r="G482" s="13"/>
      <c r="H482" s="113"/>
    </row>
    <row r="483" spans="1:8" s="5" customFormat="1" ht="11.25" customHeight="1" x14ac:dyDescent="0.2">
      <c r="D483" s="28"/>
      <c r="E483" s="162" t="s">
        <v>3563</v>
      </c>
      <c r="F483" s="165">
        <f>SUM(F478:F482)</f>
        <v>100</v>
      </c>
      <c r="G483" s="162">
        <v>24599</v>
      </c>
      <c r="H483" s="165">
        <v>49.7</v>
      </c>
    </row>
    <row r="484" spans="1:8" s="5" customFormat="1" ht="11.25" customHeight="1" x14ac:dyDescent="0.2">
      <c r="D484" s="28"/>
      <c r="E484" s="13"/>
      <c r="F484" s="113"/>
      <c r="G484" s="13"/>
      <c r="H484" s="113"/>
    </row>
    <row r="485" spans="1:8" s="5" customFormat="1" ht="11.25" customHeight="1" x14ac:dyDescent="0.2">
      <c r="A485" s="5" t="s">
        <v>415</v>
      </c>
      <c r="C485" s="5" t="s">
        <v>3565</v>
      </c>
      <c r="D485" s="5" t="s">
        <v>3275</v>
      </c>
      <c r="E485" s="13">
        <v>539</v>
      </c>
      <c r="F485" s="113">
        <f>E485/5052*100</f>
        <v>10.669041963578781</v>
      </c>
      <c r="G485" s="13"/>
      <c r="H485" s="113"/>
    </row>
    <row r="486" spans="1:8" s="5" customFormat="1" ht="11.25" customHeight="1" x14ac:dyDescent="0.2">
      <c r="C486" s="5" t="s">
        <v>3564</v>
      </c>
      <c r="D486" s="28" t="s">
        <v>655</v>
      </c>
      <c r="E486" s="13">
        <v>1248</v>
      </c>
      <c r="F486" s="113">
        <f>E486/5052*100</f>
        <v>24.703087885985749</v>
      </c>
      <c r="G486" s="13"/>
      <c r="H486" s="113"/>
    </row>
    <row r="487" spans="1:8" s="5" customFormat="1" ht="11.25" customHeight="1" x14ac:dyDescent="0.2">
      <c r="C487" s="14" t="s">
        <v>2734</v>
      </c>
      <c r="D487" s="28" t="s">
        <v>1736</v>
      </c>
      <c r="E487" s="13">
        <v>3265</v>
      </c>
      <c r="F487" s="113">
        <f>E487/5052*100</f>
        <v>64.62787015043547</v>
      </c>
      <c r="G487" s="13"/>
      <c r="H487" s="113"/>
    </row>
    <row r="488" spans="1:8" s="5" customFormat="1" ht="11.25" customHeight="1" x14ac:dyDescent="0.2">
      <c r="D488" s="28"/>
      <c r="E488" s="162" t="s">
        <v>3566</v>
      </c>
      <c r="F488" s="165">
        <f>SUM(F485:F487)</f>
        <v>100</v>
      </c>
      <c r="G488" s="162">
        <v>17990</v>
      </c>
      <c r="H488" s="165">
        <v>28.2</v>
      </c>
    </row>
    <row r="489" spans="1:8" s="5" customFormat="1" ht="11.25" customHeight="1" x14ac:dyDescent="0.2">
      <c r="D489" s="28"/>
      <c r="E489" s="13"/>
      <c r="F489" s="113"/>
      <c r="G489" s="13"/>
      <c r="H489" s="113"/>
    </row>
    <row r="490" spans="1:8" s="5" customFormat="1" ht="11.25" customHeight="1" x14ac:dyDescent="0.2">
      <c r="A490" s="5" t="s">
        <v>425</v>
      </c>
      <c r="C490" s="5" t="s">
        <v>3567</v>
      </c>
      <c r="D490" s="28" t="s">
        <v>1072</v>
      </c>
      <c r="E490" s="13">
        <v>1770</v>
      </c>
      <c r="F490" s="113">
        <f>E490/8138*100</f>
        <v>21.74981567952814</v>
      </c>
      <c r="G490" s="13"/>
      <c r="H490" s="113"/>
    </row>
    <row r="491" spans="1:8" s="5" customFormat="1" ht="11.25" customHeight="1" x14ac:dyDescent="0.2">
      <c r="C491" s="14" t="s">
        <v>428</v>
      </c>
      <c r="D491" s="28" t="s">
        <v>1736</v>
      </c>
      <c r="E491" s="13">
        <v>4715</v>
      </c>
      <c r="F491" s="113">
        <f>E491/8138*100</f>
        <v>57.938068321454907</v>
      </c>
      <c r="G491" s="13"/>
      <c r="H491" s="113"/>
    </row>
    <row r="492" spans="1:8" s="5" customFormat="1" ht="11.25" customHeight="1" x14ac:dyDescent="0.2">
      <c r="C492" s="5" t="s">
        <v>3568</v>
      </c>
      <c r="D492" s="5" t="s">
        <v>3275</v>
      </c>
      <c r="E492" s="13">
        <v>630</v>
      </c>
      <c r="F492" s="113">
        <f>E492/8138*100</f>
        <v>7.7414598181371348</v>
      </c>
      <c r="G492" s="13"/>
      <c r="H492" s="113"/>
    </row>
    <row r="493" spans="1:8" s="5" customFormat="1" ht="11.25" customHeight="1" x14ac:dyDescent="0.2">
      <c r="C493" s="5" t="s">
        <v>3569</v>
      </c>
      <c r="D493" s="28" t="s">
        <v>655</v>
      </c>
      <c r="E493" s="13">
        <v>560</v>
      </c>
      <c r="F493" s="113">
        <f>E493/8138*100</f>
        <v>6.8812976161218966</v>
      </c>
      <c r="G493" s="13"/>
      <c r="H493" s="113"/>
    </row>
    <row r="494" spans="1:8" s="5" customFormat="1" ht="11.25" customHeight="1" x14ac:dyDescent="0.2">
      <c r="C494" s="5" t="s">
        <v>3570</v>
      </c>
      <c r="D494" s="152" t="s">
        <v>3623</v>
      </c>
      <c r="E494" s="13">
        <v>463</v>
      </c>
      <c r="F494" s="113">
        <f>E494/8138*100</f>
        <v>5.6893585647579261</v>
      </c>
      <c r="G494" s="13"/>
      <c r="H494" s="113"/>
    </row>
    <row r="495" spans="1:8" s="5" customFormat="1" ht="11.25" customHeight="1" x14ac:dyDescent="0.2">
      <c r="D495" s="28"/>
      <c r="E495" s="162" t="s">
        <v>3571</v>
      </c>
      <c r="F495" s="165">
        <f>SUM(F490:F494)</f>
        <v>100</v>
      </c>
      <c r="G495" s="162">
        <v>27661</v>
      </c>
      <c r="H495" s="165">
        <v>29.5</v>
      </c>
    </row>
    <row r="496" spans="1:8" s="5" customFormat="1" ht="11.25" customHeight="1" x14ac:dyDescent="0.2">
      <c r="D496" s="28"/>
      <c r="E496" s="13"/>
      <c r="F496" s="113"/>
      <c r="G496" s="13"/>
      <c r="H496" s="113"/>
    </row>
    <row r="497" spans="1:8" s="5" customFormat="1" ht="11.25" customHeight="1" x14ac:dyDescent="0.2">
      <c r="A497" s="5" t="s">
        <v>430</v>
      </c>
      <c r="C497" s="5" t="s">
        <v>3572</v>
      </c>
      <c r="D497" s="152" t="s">
        <v>3623</v>
      </c>
      <c r="E497" s="13">
        <v>609</v>
      </c>
      <c r="F497" s="113">
        <f>E497/12708*100</f>
        <v>4.7922568460812087</v>
      </c>
      <c r="G497" s="13"/>
      <c r="H497" s="113"/>
    </row>
    <row r="498" spans="1:8" s="5" customFormat="1" ht="11.25" customHeight="1" x14ac:dyDescent="0.2">
      <c r="C498" s="5" t="s">
        <v>3573</v>
      </c>
      <c r="D498" s="28" t="s">
        <v>655</v>
      </c>
      <c r="E498" s="13">
        <v>597</v>
      </c>
      <c r="F498" s="113">
        <f>E498/12708*100</f>
        <v>4.6978281397544857</v>
      </c>
      <c r="G498" s="13"/>
      <c r="H498" s="113"/>
    </row>
    <row r="499" spans="1:8" s="5" customFormat="1" ht="11.25" customHeight="1" x14ac:dyDescent="0.2">
      <c r="C499" s="14" t="s">
        <v>3574</v>
      </c>
      <c r="D499" s="28" t="s">
        <v>1736</v>
      </c>
      <c r="E499" s="13">
        <v>7139</v>
      </c>
      <c r="F499" s="113">
        <f>E499/12708*100</f>
        <v>56.177211205539813</v>
      </c>
      <c r="G499" s="13"/>
      <c r="H499" s="113"/>
    </row>
    <row r="500" spans="1:8" s="5" customFormat="1" ht="11.25" customHeight="1" x14ac:dyDescent="0.2">
      <c r="C500" s="5" t="s">
        <v>2690</v>
      </c>
      <c r="D500" s="5" t="s">
        <v>3275</v>
      </c>
      <c r="E500" s="13">
        <v>949</v>
      </c>
      <c r="F500" s="113">
        <f>E500/12708*100</f>
        <v>7.467736858671703</v>
      </c>
      <c r="G500" s="13"/>
      <c r="H500" s="113"/>
    </row>
    <row r="501" spans="1:8" s="5" customFormat="1" ht="11.25" customHeight="1" x14ac:dyDescent="0.2">
      <c r="C501" s="5" t="s">
        <v>3575</v>
      </c>
      <c r="D501" s="28" t="s">
        <v>1072</v>
      </c>
      <c r="E501" s="13">
        <v>3414</v>
      </c>
      <c r="F501" s="113">
        <f>E501/12708*100</f>
        <v>26.864966949952784</v>
      </c>
      <c r="G501" s="13"/>
      <c r="H501" s="113"/>
    </row>
    <row r="502" spans="1:8" s="5" customFormat="1" ht="11.25" customHeight="1" x14ac:dyDescent="0.2">
      <c r="D502" s="28"/>
      <c r="E502" s="162" t="s">
        <v>3576</v>
      </c>
      <c r="F502" s="165">
        <f>SUM(F497:F501)</f>
        <v>99.999999999999986</v>
      </c>
      <c r="G502" s="162">
        <v>34703</v>
      </c>
      <c r="H502" s="165">
        <v>36.799999999999997</v>
      </c>
    </row>
    <row r="503" spans="1:8" s="5" customFormat="1" ht="11.25" customHeight="1" x14ac:dyDescent="0.2">
      <c r="D503" s="28"/>
      <c r="E503" s="13"/>
      <c r="F503" s="113"/>
      <c r="G503" s="13"/>
      <c r="H503" s="113"/>
    </row>
    <row r="504" spans="1:8" s="5" customFormat="1" ht="11.25" customHeight="1" x14ac:dyDescent="0.2">
      <c r="A504" s="5" t="s">
        <v>441</v>
      </c>
      <c r="C504" s="5" t="s">
        <v>2744</v>
      </c>
      <c r="D504" s="28" t="s">
        <v>2102</v>
      </c>
      <c r="E504" s="13">
        <v>119</v>
      </c>
      <c r="F504" s="113">
        <f>E504/9933*100</f>
        <v>1.1980267794221282</v>
      </c>
      <c r="G504" s="13"/>
      <c r="H504" s="113"/>
    </row>
    <row r="505" spans="1:8" s="5" customFormat="1" ht="11.25" customHeight="1" x14ac:dyDescent="0.2">
      <c r="C505" s="14" t="s">
        <v>444</v>
      </c>
      <c r="D505" s="28" t="s">
        <v>1736</v>
      </c>
      <c r="E505" s="13">
        <v>6188</v>
      </c>
      <c r="F505" s="113">
        <f t="shared" ref="F505:F510" si="12">E505/9933*100</f>
        <v>62.29739252995067</v>
      </c>
      <c r="G505" s="13"/>
      <c r="H505" s="113"/>
    </row>
    <row r="506" spans="1:8" s="5" customFormat="1" ht="11.25" customHeight="1" x14ac:dyDescent="0.2">
      <c r="C506" s="5" t="s">
        <v>429</v>
      </c>
      <c r="D506" s="28" t="s">
        <v>1072</v>
      </c>
      <c r="E506" s="13">
        <v>849</v>
      </c>
      <c r="F506" s="113">
        <f t="shared" si="12"/>
        <v>8.5472666868015708</v>
      </c>
      <c r="G506" s="13"/>
      <c r="H506" s="113"/>
    </row>
    <row r="507" spans="1:8" s="5" customFormat="1" ht="11.25" customHeight="1" x14ac:dyDescent="0.2">
      <c r="C507" s="5" t="s">
        <v>3577</v>
      </c>
      <c r="D507" s="152" t="s">
        <v>3623</v>
      </c>
      <c r="E507" s="13">
        <v>699</v>
      </c>
      <c r="F507" s="113">
        <f t="shared" si="12"/>
        <v>7.0371488976140135</v>
      </c>
      <c r="G507" s="13"/>
      <c r="H507" s="113"/>
    </row>
    <row r="508" spans="1:8" s="5" customFormat="1" ht="11.25" customHeight="1" x14ac:dyDescent="0.2">
      <c r="C508" s="5" t="s">
        <v>3578</v>
      </c>
      <c r="D508" s="28" t="s">
        <v>655</v>
      </c>
      <c r="E508" s="13">
        <v>279</v>
      </c>
      <c r="F508" s="113">
        <f t="shared" si="12"/>
        <v>2.8088190878888555</v>
      </c>
      <c r="G508" s="13"/>
      <c r="H508" s="113"/>
    </row>
    <row r="509" spans="1:8" s="5" customFormat="1" ht="11.25" customHeight="1" x14ac:dyDescent="0.2">
      <c r="C509" s="5" t="s">
        <v>2682</v>
      </c>
      <c r="D509" s="28" t="s">
        <v>1071</v>
      </c>
      <c r="E509" s="13">
        <v>643</v>
      </c>
      <c r="F509" s="113">
        <f t="shared" si="12"/>
        <v>6.4733715896506592</v>
      </c>
      <c r="G509" s="13"/>
      <c r="H509" s="113"/>
    </row>
    <row r="510" spans="1:8" s="5" customFormat="1" ht="11.25" customHeight="1" x14ac:dyDescent="0.2">
      <c r="C510" s="5" t="s">
        <v>3579</v>
      </c>
      <c r="D510" s="5" t="s">
        <v>3275</v>
      </c>
      <c r="E510" s="13">
        <v>1156</v>
      </c>
      <c r="F510" s="113">
        <f t="shared" si="12"/>
        <v>11.637974428672102</v>
      </c>
      <c r="G510" s="13"/>
      <c r="H510" s="113"/>
    </row>
    <row r="511" spans="1:8" s="5" customFormat="1" ht="11.25" customHeight="1" x14ac:dyDescent="0.2">
      <c r="D511" s="28"/>
      <c r="E511" s="162" t="s">
        <v>3580</v>
      </c>
      <c r="F511" s="165">
        <f>SUM(F504:F510)</f>
        <v>100</v>
      </c>
      <c r="G511" s="162">
        <v>22934</v>
      </c>
      <c r="H511" s="165">
        <v>43.5</v>
      </c>
    </row>
    <row r="512" spans="1:8" s="5" customFormat="1" ht="11.25" customHeight="1" x14ac:dyDescent="0.2">
      <c r="D512" s="28"/>
      <c r="E512" s="13"/>
      <c r="F512" s="113"/>
      <c r="G512" s="13"/>
      <c r="H512" s="113"/>
    </row>
    <row r="513" spans="1:8" s="5" customFormat="1" ht="11.25" customHeight="1" x14ac:dyDescent="0.2">
      <c r="A513" s="5" t="s">
        <v>446</v>
      </c>
      <c r="C513" s="14" t="s">
        <v>3581</v>
      </c>
      <c r="D513" s="28" t="s">
        <v>1736</v>
      </c>
      <c r="E513" s="13">
        <v>8403</v>
      </c>
      <c r="F513" s="113">
        <f>E513/15536*100</f>
        <v>54.08728115345005</v>
      </c>
      <c r="G513" s="13"/>
      <c r="H513" s="113"/>
    </row>
    <row r="514" spans="1:8" s="5" customFormat="1" ht="11.25" customHeight="1" x14ac:dyDescent="0.2">
      <c r="C514" s="5" t="s">
        <v>3582</v>
      </c>
      <c r="D514" s="28" t="s">
        <v>655</v>
      </c>
      <c r="E514" s="13">
        <v>959</v>
      </c>
      <c r="F514" s="113">
        <f>E514/15536*100</f>
        <v>6.1727600411946453</v>
      </c>
      <c r="G514" s="13"/>
      <c r="H514" s="113"/>
    </row>
    <row r="515" spans="1:8" s="5" customFormat="1" ht="11.25" customHeight="1" x14ac:dyDescent="0.2">
      <c r="C515" s="5" t="s">
        <v>2751</v>
      </c>
      <c r="D515" s="28" t="s">
        <v>1072</v>
      </c>
      <c r="E515" s="13">
        <v>5598</v>
      </c>
      <c r="F515" s="113">
        <f>E515/15536*100</f>
        <v>36.032440782698252</v>
      </c>
      <c r="G515" s="13"/>
      <c r="H515" s="113"/>
    </row>
    <row r="516" spans="1:8" s="5" customFormat="1" ht="11.25" customHeight="1" x14ac:dyDescent="0.2">
      <c r="C516" s="5" t="s">
        <v>3583</v>
      </c>
      <c r="D516" s="152" t="s">
        <v>3623</v>
      </c>
      <c r="E516" s="13">
        <v>576</v>
      </c>
      <c r="F516" s="113">
        <f>E516/15536*100</f>
        <v>3.7075180226570548</v>
      </c>
      <c r="G516" s="13"/>
      <c r="H516" s="113"/>
    </row>
    <row r="517" spans="1:8" s="5" customFormat="1" ht="11.25" customHeight="1" x14ac:dyDescent="0.2">
      <c r="D517" s="28"/>
      <c r="E517" s="162" t="s">
        <v>3584</v>
      </c>
      <c r="F517" s="165">
        <f>SUM(F513:F516)</f>
        <v>100</v>
      </c>
      <c r="G517" s="162">
        <v>32550</v>
      </c>
      <c r="H517" s="165">
        <v>47.9</v>
      </c>
    </row>
    <row r="518" spans="1:8" s="5" customFormat="1" ht="11.25" customHeight="1" x14ac:dyDescent="0.2">
      <c r="D518" s="28"/>
      <c r="E518" s="13"/>
      <c r="F518" s="113"/>
      <c r="G518" s="13"/>
      <c r="H518" s="113"/>
    </row>
    <row r="519" spans="1:8" s="5" customFormat="1" ht="11.25" customHeight="1" x14ac:dyDescent="0.2">
      <c r="A519" s="5" t="s">
        <v>905</v>
      </c>
      <c r="C519" s="14" t="s">
        <v>906</v>
      </c>
      <c r="D519" s="28" t="s">
        <v>1736</v>
      </c>
      <c r="E519" s="13">
        <v>9312</v>
      </c>
      <c r="F519" s="113">
        <f>E519/14748*100</f>
        <v>63.140764849471111</v>
      </c>
      <c r="G519" s="13"/>
      <c r="H519" s="113"/>
    </row>
    <row r="520" spans="1:8" s="5" customFormat="1" ht="11.25" customHeight="1" x14ac:dyDescent="0.2">
      <c r="C520" s="5" t="s">
        <v>3585</v>
      </c>
      <c r="D520" s="28" t="s">
        <v>655</v>
      </c>
      <c r="E520" s="13">
        <v>904</v>
      </c>
      <c r="F520" s="113">
        <f>E520/14748*100</f>
        <v>6.1296446975861132</v>
      </c>
      <c r="G520" s="13"/>
      <c r="H520" s="113"/>
    </row>
    <row r="521" spans="1:8" s="5" customFormat="1" ht="11.25" customHeight="1" x14ac:dyDescent="0.2">
      <c r="C521" s="5" t="s">
        <v>3586</v>
      </c>
      <c r="D521" s="152" t="s">
        <v>3623</v>
      </c>
      <c r="E521" s="13">
        <v>689</v>
      </c>
      <c r="F521" s="113">
        <f>E521/14748*100</f>
        <v>4.6718199077841058</v>
      </c>
      <c r="G521" s="13"/>
      <c r="H521" s="113"/>
    </row>
    <row r="522" spans="1:8" s="5" customFormat="1" ht="11.25" customHeight="1" x14ac:dyDescent="0.2">
      <c r="C522" s="5" t="s">
        <v>2541</v>
      </c>
      <c r="D522" s="28" t="s">
        <v>1072</v>
      </c>
      <c r="E522" s="13">
        <v>3843</v>
      </c>
      <c r="F522" s="113">
        <f>E522/14748*100</f>
        <v>26.057770545158665</v>
      </c>
      <c r="G522" s="13"/>
      <c r="H522" s="113"/>
    </row>
    <row r="523" spans="1:8" s="5" customFormat="1" ht="11.25" customHeight="1" x14ac:dyDescent="0.2">
      <c r="D523" s="28"/>
      <c r="E523" s="162" t="s">
        <v>3587</v>
      </c>
      <c r="F523" s="165">
        <f>SUM(F519:F522)</f>
        <v>100</v>
      </c>
      <c r="G523" s="162">
        <v>28349</v>
      </c>
      <c r="H523" s="165">
        <v>52.1</v>
      </c>
    </row>
    <row r="524" spans="1:8" s="5" customFormat="1" ht="11.25" customHeight="1" x14ac:dyDescent="0.2">
      <c r="D524" s="28"/>
      <c r="E524" s="13"/>
      <c r="F524" s="113"/>
      <c r="G524" s="13"/>
      <c r="H524" s="113"/>
    </row>
    <row r="525" spans="1:8" s="5" customFormat="1" ht="11.25" customHeight="1" x14ac:dyDescent="0.2">
      <c r="A525" s="5" t="s">
        <v>1290</v>
      </c>
      <c r="C525" s="5" t="s">
        <v>2759</v>
      </c>
      <c r="D525" s="28" t="s">
        <v>1072</v>
      </c>
      <c r="E525" s="13">
        <v>4528</v>
      </c>
      <c r="F525" s="113">
        <f>E525/15402*100</f>
        <v>29.398779379301388</v>
      </c>
      <c r="G525" s="13"/>
      <c r="H525" s="113"/>
    </row>
    <row r="526" spans="1:8" s="5" customFormat="1" ht="11.25" customHeight="1" x14ac:dyDescent="0.2">
      <c r="A526" s="123" t="s">
        <v>446</v>
      </c>
      <c r="C526" s="5" t="s">
        <v>1101</v>
      </c>
      <c r="D526" s="28" t="s">
        <v>655</v>
      </c>
      <c r="E526" s="13">
        <v>960</v>
      </c>
      <c r="F526" s="113">
        <f>E526/15402*100</f>
        <v>6.2329567588624855</v>
      </c>
      <c r="G526" s="13"/>
      <c r="H526" s="113"/>
    </row>
    <row r="527" spans="1:8" s="5" customFormat="1" ht="11.25" customHeight="1" x14ac:dyDescent="0.2">
      <c r="A527" s="123"/>
      <c r="C527" s="14" t="s">
        <v>2543</v>
      </c>
      <c r="D527" s="28" t="s">
        <v>1736</v>
      </c>
      <c r="E527" s="13">
        <v>9369</v>
      </c>
      <c r="F527" s="113">
        <f>E527/15402*100</f>
        <v>60.829762368523568</v>
      </c>
      <c r="G527" s="13"/>
      <c r="H527" s="113"/>
    </row>
    <row r="528" spans="1:8" s="5" customFormat="1" ht="11.25" customHeight="1" x14ac:dyDescent="0.2">
      <c r="A528" s="123"/>
      <c r="C528" s="5" t="s">
        <v>3588</v>
      </c>
      <c r="D528" s="152" t="s">
        <v>3623</v>
      </c>
      <c r="E528" s="13">
        <v>545</v>
      </c>
      <c r="F528" s="113">
        <f>E528/15402*100</f>
        <v>3.5385014933125571</v>
      </c>
      <c r="G528" s="13"/>
      <c r="H528" s="113"/>
    </row>
    <row r="529" spans="1:8" s="5" customFormat="1" ht="11.25" customHeight="1" x14ac:dyDescent="0.2">
      <c r="D529" s="28"/>
      <c r="E529" s="162" t="s">
        <v>3589</v>
      </c>
      <c r="F529" s="165">
        <f>SUM(F525:F528)</f>
        <v>99.999999999999986</v>
      </c>
      <c r="G529" s="162">
        <v>33092</v>
      </c>
      <c r="H529" s="165">
        <v>46.8</v>
      </c>
    </row>
    <row r="530" spans="1:8" s="5" customFormat="1" ht="11.25" customHeight="1" x14ac:dyDescent="0.2">
      <c r="D530" s="28"/>
      <c r="E530" s="13"/>
      <c r="F530" s="113"/>
      <c r="G530" s="13"/>
      <c r="H530" s="113"/>
    </row>
    <row r="531" spans="1:8" s="5" customFormat="1" ht="11.25" customHeight="1" x14ac:dyDescent="0.2">
      <c r="A531" s="5" t="s">
        <v>2545</v>
      </c>
      <c r="C531" s="5" t="s">
        <v>3590</v>
      </c>
      <c r="D531" s="28" t="s">
        <v>655</v>
      </c>
      <c r="E531" s="13">
        <v>976</v>
      </c>
      <c r="F531" s="113">
        <f>E531/13359*100</f>
        <v>7.3059360730593603</v>
      </c>
      <c r="G531" s="13"/>
      <c r="H531" s="113"/>
    </row>
    <row r="532" spans="1:8" s="5" customFormat="1" ht="11.25" customHeight="1" x14ac:dyDescent="0.2">
      <c r="C532" s="5" t="s">
        <v>2763</v>
      </c>
      <c r="D532" s="28" t="s">
        <v>1072</v>
      </c>
      <c r="E532" s="13">
        <v>2552</v>
      </c>
      <c r="F532" s="113">
        <f>E532/13359*100</f>
        <v>19.103226289392918</v>
      </c>
      <c r="G532" s="13"/>
      <c r="H532" s="113"/>
    </row>
    <row r="533" spans="1:8" s="5" customFormat="1" ht="11.25" customHeight="1" x14ac:dyDescent="0.2">
      <c r="C533" s="14" t="s">
        <v>2764</v>
      </c>
      <c r="D533" s="28" t="s">
        <v>1736</v>
      </c>
      <c r="E533" s="13">
        <v>8467</v>
      </c>
      <c r="F533" s="113">
        <f>E533/13359*100</f>
        <v>63.380492551837705</v>
      </c>
      <c r="G533" s="13"/>
      <c r="H533" s="113"/>
    </row>
    <row r="534" spans="1:8" s="5" customFormat="1" ht="11.25" customHeight="1" x14ac:dyDescent="0.2">
      <c r="C534" s="5" t="s">
        <v>3591</v>
      </c>
      <c r="D534" s="5" t="s">
        <v>3275</v>
      </c>
      <c r="E534" s="13">
        <v>793</v>
      </c>
      <c r="F534" s="113">
        <f>E534/13359*100</f>
        <v>5.93607305936073</v>
      </c>
      <c r="G534" s="13"/>
      <c r="H534" s="113"/>
    </row>
    <row r="535" spans="1:8" s="5" customFormat="1" ht="11.25" customHeight="1" x14ac:dyDescent="0.2">
      <c r="C535" s="5" t="s">
        <v>3592</v>
      </c>
      <c r="D535" s="152" t="s">
        <v>3623</v>
      </c>
      <c r="E535" s="13">
        <v>571</v>
      </c>
      <c r="F535" s="113">
        <f>E535/13359*100</f>
        <v>4.2742720263492773</v>
      </c>
      <c r="G535" s="13"/>
      <c r="H535" s="113"/>
    </row>
    <row r="536" spans="1:8" s="5" customFormat="1" ht="11.25" customHeight="1" x14ac:dyDescent="0.2">
      <c r="D536" s="28"/>
      <c r="E536" s="162" t="s">
        <v>3593</v>
      </c>
      <c r="F536" s="165">
        <f>SUM(F531:F535)</f>
        <v>100</v>
      </c>
      <c r="G536" s="162">
        <v>29026</v>
      </c>
      <c r="H536" s="165">
        <v>46.1</v>
      </c>
    </row>
    <row r="537" spans="1:8" s="5" customFormat="1" ht="11.25" customHeight="1" x14ac:dyDescent="0.2">
      <c r="D537" s="28"/>
      <c r="E537" s="13"/>
      <c r="F537" s="113"/>
      <c r="G537" s="13"/>
      <c r="H537" s="113"/>
    </row>
    <row r="538" spans="1:8" s="5" customFormat="1" ht="11.25" customHeight="1" x14ac:dyDescent="0.2">
      <c r="A538" s="5" t="s">
        <v>2054</v>
      </c>
      <c r="C538" s="5" t="s">
        <v>2754</v>
      </c>
      <c r="D538" s="28" t="s">
        <v>1071</v>
      </c>
      <c r="E538" s="13">
        <v>415</v>
      </c>
      <c r="F538" s="113">
        <f>E538/15035*100</f>
        <v>2.7602261390089788</v>
      </c>
      <c r="G538" s="13"/>
      <c r="H538" s="113"/>
    </row>
    <row r="539" spans="1:8" s="5" customFormat="1" ht="11.25" customHeight="1" x14ac:dyDescent="0.2">
      <c r="C539" s="5" t="s">
        <v>2768</v>
      </c>
      <c r="D539" s="28" t="s">
        <v>1072</v>
      </c>
      <c r="E539" s="13">
        <v>2995</v>
      </c>
      <c r="F539" s="113">
        <f>E539/15035*100</f>
        <v>19.920186232125044</v>
      </c>
      <c r="G539" s="13"/>
      <c r="H539" s="113"/>
    </row>
    <row r="540" spans="1:8" s="5" customFormat="1" ht="11.25" customHeight="1" x14ac:dyDescent="0.2">
      <c r="C540" s="5" t="s">
        <v>3594</v>
      </c>
      <c r="D540" s="152" t="s">
        <v>3623</v>
      </c>
      <c r="E540" s="13">
        <v>763</v>
      </c>
      <c r="F540" s="113">
        <f>E540/15035*100</f>
        <v>5.0748254073827734</v>
      </c>
      <c r="G540" s="13"/>
      <c r="H540" s="113"/>
    </row>
    <row r="541" spans="1:8" s="5" customFormat="1" ht="11.25" customHeight="1" x14ac:dyDescent="0.2">
      <c r="C541" s="5" t="s">
        <v>3595</v>
      </c>
      <c r="D541" s="28" t="s">
        <v>655</v>
      </c>
      <c r="E541" s="13">
        <v>911</v>
      </c>
      <c r="F541" s="113">
        <f>E541/15035*100</f>
        <v>6.0591952111739271</v>
      </c>
      <c r="G541" s="13"/>
      <c r="H541" s="113"/>
    </row>
    <row r="542" spans="1:8" s="5" customFormat="1" ht="11.25" customHeight="1" x14ac:dyDescent="0.2">
      <c r="C542" s="14" t="s">
        <v>3596</v>
      </c>
      <c r="D542" s="28" t="s">
        <v>1736</v>
      </c>
      <c r="E542" s="13">
        <v>9951</v>
      </c>
      <c r="F542" s="113">
        <f>E542/15035*100</f>
        <v>66.185567010309271</v>
      </c>
      <c r="G542" s="13"/>
      <c r="H542" s="113"/>
    </row>
    <row r="543" spans="1:8" s="5" customFormat="1" ht="11.25" customHeight="1" x14ac:dyDescent="0.2">
      <c r="D543" s="28"/>
      <c r="E543" s="162" t="s">
        <v>3597</v>
      </c>
      <c r="F543" s="165">
        <f>SUM(F538:F542)</f>
        <v>100</v>
      </c>
      <c r="G543" s="162">
        <v>32140</v>
      </c>
      <c r="H543" s="165">
        <v>47</v>
      </c>
    </row>
    <row r="544" spans="1:8" s="5" customFormat="1" ht="11.25" customHeight="1" x14ac:dyDescent="0.2">
      <c r="D544" s="28"/>
      <c r="E544" s="13"/>
      <c r="F544" s="113"/>
      <c r="G544" s="13"/>
      <c r="H544" s="113"/>
    </row>
    <row r="545" spans="1:8" s="29" customFormat="1" ht="11.25" customHeight="1" x14ac:dyDescent="0.2">
      <c r="A545" s="29" t="s">
        <v>2549</v>
      </c>
      <c r="C545" s="29" t="s">
        <v>3598</v>
      </c>
      <c r="D545" s="152" t="s">
        <v>3623</v>
      </c>
      <c r="E545" s="56">
        <v>362</v>
      </c>
      <c r="F545" s="114">
        <f>E545/10224*100</f>
        <v>3.5406885758998432</v>
      </c>
      <c r="G545" s="56"/>
      <c r="H545" s="114"/>
    </row>
    <row r="546" spans="1:8" s="5" customFormat="1" ht="11.25" customHeight="1" x14ac:dyDescent="0.2">
      <c r="C546" s="14" t="s">
        <v>3599</v>
      </c>
      <c r="D546" s="28" t="s">
        <v>1736</v>
      </c>
      <c r="E546" s="13">
        <v>7623</v>
      </c>
      <c r="F546" s="114">
        <f>E546/10224*100</f>
        <v>74.559859154929569</v>
      </c>
      <c r="G546" s="13"/>
      <c r="H546" s="113"/>
    </row>
    <row r="547" spans="1:8" s="5" customFormat="1" ht="11.25" customHeight="1" x14ac:dyDescent="0.2">
      <c r="C547" s="29" t="s">
        <v>2142</v>
      </c>
      <c r="D547" s="28" t="s">
        <v>1072</v>
      </c>
      <c r="E547" s="13">
        <v>991</v>
      </c>
      <c r="F547" s="114">
        <f>E547/10224*100</f>
        <v>9.6928794992175273</v>
      </c>
      <c r="G547" s="13"/>
      <c r="H547" s="113"/>
    </row>
    <row r="548" spans="1:8" s="5" customFormat="1" ht="11.25" customHeight="1" x14ac:dyDescent="0.2">
      <c r="C548" s="5" t="s">
        <v>3600</v>
      </c>
      <c r="D548" s="5" t="s">
        <v>3275</v>
      </c>
      <c r="E548" s="13">
        <v>935</v>
      </c>
      <c r="F548" s="114">
        <f>E548/10224*100</f>
        <v>9.1451486697965567</v>
      </c>
      <c r="G548" s="13"/>
      <c r="H548" s="113"/>
    </row>
    <row r="549" spans="1:8" s="5" customFormat="1" ht="11.25" customHeight="1" x14ac:dyDescent="0.2">
      <c r="C549" s="5" t="s">
        <v>3601</v>
      </c>
      <c r="D549" s="28" t="s">
        <v>655</v>
      </c>
      <c r="E549" s="13">
        <v>313</v>
      </c>
      <c r="F549" s="114">
        <f>E549/10224*100</f>
        <v>3.0614241001564948</v>
      </c>
      <c r="G549" s="13"/>
      <c r="H549" s="113"/>
    </row>
    <row r="550" spans="1:8" s="5" customFormat="1" ht="11.25" customHeight="1" x14ac:dyDescent="0.2">
      <c r="D550" s="28"/>
      <c r="E550" s="162" t="s">
        <v>3602</v>
      </c>
      <c r="F550" s="170">
        <f>SUM(F545:F549)</f>
        <v>100</v>
      </c>
      <c r="G550" s="162">
        <v>28755</v>
      </c>
      <c r="H550" s="165">
        <v>35.700000000000003</v>
      </c>
    </row>
    <row r="551" spans="1:8" s="5" customFormat="1" ht="11.25" customHeight="1" x14ac:dyDescent="0.2">
      <c r="D551" s="28"/>
      <c r="E551" s="13"/>
      <c r="F551" s="113"/>
      <c r="G551" s="13"/>
      <c r="H551" s="113"/>
    </row>
    <row r="552" spans="1:8" s="5" customFormat="1" ht="11.25" customHeight="1" x14ac:dyDescent="0.2">
      <c r="A552" s="5" t="s">
        <v>2559</v>
      </c>
      <c r="C552" s="5" t="s">
        <v>3603</v>
      </c>
      <c r="D552" s="152" t="s">
        <v>3623</v>
      </c>
      <c r="E552" s="13">
        <v>364</v>
      </c>
      <c r="F552" s="113">
        <f>E552/8685*100</f>
        <v>4.1911341393206678</v>
      </c>
      <c r="G552" s="13"/>
      <c r="H552" s="113"/>
    </row>
    <row r="553" spans="1:8" s="5" customFormat="1" ht="11.25" customHeight="1" x14ac:dyDescent="0.2">
      <c r="C553" s="5" t="s">
        <v>3604</v>
      </c>
      <c r="D553" s="28" t="s">
        <v>655</v>
      </c>
      <c r="E553" s="13">
        <v>482</v>
      </c>
      <c r="F553" s="113">
        <f>E553/8685*100</f>
        <v>5.5497985031663788</v>
      </c>
      <c r="G553" s="13"/>
      <c r="H553" s="113"/>
    </row>
    <row r="554" spans="1:8" s="5" customFormat="1" ht="11.25" customHeight="1" x14ac:dyDescent="0.2">
      <c r="C554" s="5" t="s">
        <v>3605</v>
      </c>
      <c r="D554" s="28" t="s">
        <v>1072</v>
      </c>
      <c r="E554" s="13">
        <v>826</v>
      </c>
      <c r="F554" s="113">
        <f>E554/8685*100</f>
        <v>9.5106505469199778</v>
      </c>
      <c r="G554" s="13"/>
      <c r="H554" s="113"/>
    </row>
    <row r="555" spans="1:8" s="5" customFormat="1" ht="11.25" customHeight="1" x14ac:dyDescent="0.2">
      <c r="C555" s="14" t="s">
        <v>2560</v>
      </c>
      <c r="D555" s="28" t="s">
        <v>1736</v>
      </c>
      <c r="E555" s="13">
        <v>7013</v>
      </c>
      <c r="F555" s="113">
        <f>E555/8685*100</f>
        <v>80.748416810592971</v>
      </c>
      <c r="G555" s="13"/>
      <c r="H555" s="113"/>
    </row>
    <row r="556" spans="1:8" s="5" customFormat="1" ht="11.25" customHeight="1" x14ac:dyDescent="0.2">
      <c r="D556" s="28"/>
      <c r="E556" s="162" t="s">
        <v>3606</v>
      </c>
      <c r="F556" s="165">
        <f>SUM(F552:F555)</f>
        <v>100</v>
      </c>
      <c r="G556" s="162">
        <v>23399</v>
      </c>
      <c r="H556" s="165">
        <v>37.200000000000003</v>
      </c>
    </row>
    <row r="557" spans="1:8" s="5" customFormat="1" ht="11.25" customHeight="1" x14ac:dyDescent="0.2">
      <c r="D557" s="28"/>
      <c r="E557" s="13"/>
      <c r="F557" s="113"/>
      <c r="G557" s="13"/>
      <c r="H557" s="113"/>
    </row>
    <row r="558" spans="1:8" s="5" customFormat="1" ht="11.25" customHeight="1" x14ac:dyDescent="0.2">
      <c r="A558" s="5" t="s">
        <v>1534</v>
      </c>
      <c r="C558" s="14" t="s">
        <v>3607</v>
      </c>
      <c r="D558" s="28" t="s">
        <v>1736</v>
      </c>
      <c r="E558" s="13">
        <v>4206</v>
      </c>
      <c r="F558" s="113">
        <f>E558/7814*100</f>
        <v>53.826465318658819</v>
      </c>
      <c r="G558" s="13"/>
      <c r="H558" s="113"/>
    </row>
    <row r="559" spans="1:8" s="5" customFormat="1" ht="11.25" customHeight="1" x14ac:dyDescent="0.2">
      <c r="C559" s="5" t="s">
        <v>1549</v>
      </c>
      <c r="D559" s="5" t="s">
        <v>3275</v>
      </c>
      <c r="E559" s="13">
        <v>326</v>
      </c>
      <c r="F559" s="113">
        <f>E559/7814*100</f>
        <v>4.1719989761965701</v>
      </c>
      <c r="G559" s="13"/>
      <c r="H559" s="113"/>
    </row>
    <row r="560" spans="1:8" s="5" customFormat="1" ht="11.25" customHeight="1" x14ac:dyDescent="0.2">
      <c r="C560" s="5" t="s">
        <v>3608</v>
      </c>
      <c r="D560" s="28" t="s">
        <v>1072</v>
      </c>
      <c r="E560" s="13">
        <v>1932</v>
      </c>
      <c r="F560" s="113">
        <f>E560/7814*100</f>
        <v>24.724852828256974</v>
      </c>
      <c r="G560" s="13"/>
      <c r="H560" s="113"/>
    </row>
    <row r="561" spans="1:8" s="5" customFormat="1" ht="11.25" customHeight="1" x14ac:dyDescent="0.2">
      <c r="C561" s="5" t="s">
        <v>3609</v>
      </c>
      <c r="D561" s="28" t="s">
        <v>655</v>
      </c>
      <c r="E561" s="13">
        <v>1054</v>
      </c>
      <c r="F561" s="113">
        <f>E561/7814*100</f>
        <v>13.488610186844127</v>
      </c>
      <c r="G561" s="13"/>
      <c r="H561" s="113"/>
    </row>
    <row r="562" spans="1:8" s="5" customFormat="1" ht="11.25" customHeight="1" x14ac:dyDescent="0.2">
      <c r="C562" s="5" t="s">
        <v>3610</v>
      </c>
      <c r="D562" s="152" t="s">
        <v>3623</v>
      </c>
      <c r="E562" s="13">
        <v>296</v>
      </c>
      <c r="F562" s="113">
        <f>E562/7814*100</f>
        <v>3.7880726900435118</v>
      </c>
      <c r="G562" s="13"/>
      <c r="H562" s="113"/>
    </row>
    <row r="563" spans="1:8" s="5" customFormat="1" ht="11.25" customHeight="1" x14ac:dyDescent="0.2">
      <c r="D563" s="28"/>
      <c r="E563" s="162" t="s">
        <v>3611</v>
      </c>
      <c r="F563" s="165">
        <f>SUM(F558:F562)</f>
        <v>100</v>
      </c>
      <c r="G563" s="162">
        <v>20770</v>
      </c>
      <c r="H563" s="165">
        <v>37.799999999999997</v>
      </c>
    </row>
    <row r="564" spans="1:8" s="5" customFormat="1" ht="11.25" customHeight="1" x14ac:dyDescent="0.2">
      <c r="D564" s="28"/>
      <c r="E564" s="13"/>
      <c r="F564" s="113"/>
      <c r="G564" s="13"/>
      <c r="H564" s="113"/>
    </row>
    <row r="565" spans="1:8" s="5" customFormat="1" ht="11.25" customHeight="1" x14ac:dyDescent="0.2">
      <c r="A565" s="5" t="s">
        <v>1538</v>
      </c>
      <c r="C565" s="5" t="s">
        <v>2784</v>
      </c>
      <c r="D565" s="5" t="s">
        <v>1072</v>
      </c>
      <c r="E565" s="13">
        <v>1646</v>
      </c>
      <c r="F565" s="113">
        <f>E565/11726*100</f>
        <v>14.037182329865255</v>
      </c>
      <c r="G565" s="13"/>
      <c r="H565" s="113"/>
    </row>
    <row r="566" spans="1:8" s="5" customFormat="1" ht="11.25" customHeight="1" x14ac:dyDescent="0.2">
      <c r="C566" s="5" t="s">
        <v>3612</v>
      </c>
      <c r="D566" s="5" t="s">
        <v>3275</v>
      </c>
      <c r="E566" s="13">
        <v>818</v>
      </c>
      <c r="F566" s="113">
        <f>E566/11726*100</f>
        <v>6.9759508783899022</v>
      </c>
      <c r="G566" s="13"/>
      <c r="H566" s="113"/>
    </row>
    <row r="567" spans="1:8" s="5" customFormat="1" ht="11.25" customHeight="1" x14ac:dyDescent="0.2">
      <c r="C567" s="5" t="s">
        <v>3613</v>
      </c>
      <c r="D567" s="152" t="s">
        <v>3623</v>
      </c>
      <c r="E567" s="13">
        <v>458</v>
      </c>
      <c r="F567" s="113">
        <f>E567/11726*100</f>
        <v>3.905850247313662</v>
      </c>
      <c r="G567" s="13"/>
      <c r="H567" s="113"/>
    </row>
    <row r="568" spans="1:8" s="5" customFormat="1" ht="11.25" customHeight="1" x14ac:dyDescent="0.2">
      <c r="C568" s="5" t="s">
        <v>3614</v>
      </c>
      <c r="D568" s="28" t="s">
        <v>655</v>
      </c>
      <c r="E568" s="13">
        <v>1078</v>
      </c>
      <c r="F568" s="113">
        <f>E568/11726*100</f>
        <v>9.1932457786116313</v>
      </c>
      <c r="G568" s="13"/>
      <c r="H568" s="113"/>
    </row>
    <row r="569" spans="1:8" s="5" customFormat="1" ht="11.25" customHeight="1" x14ac:dyDescent="0.2">
      <c r="C569" s="14" t="s">
        <v>3615</v>
      </c>
      <c r="D569" s="28" t="s">
        <v>1736</v>
      </c>
      <c r="E569" s="13">
        <v>7726</v>
      </c>
      <c r="F569" s="113">
        <f>E569/11726*100</f>
        <v>65.887770765819539</v>
      </c>
      <c r="G569" s="13"/>
      <c r="H569" s="113"/>
    </row>
    <row r="570" spans="1:8" s="5" customFormat="1" ht="11.25" customHeight="1" x14ac:dyDescent="0.2">
      <c r="D570" s="28"/>
      <c r="E570" s="162" t="s">
        <v>3616</v>
      </c>
      <c r="F570" s="165">
        <f>SUM(F565:F569)</f>
        <v>99.999999999999986</v>
      </c>
      <c r="G570" s="162">
        <v>27652</v>
      </c>
      <c r="H570" s="165">
        <v>42.5</v>
      </c>
    </row>
    <row r="571" spans="1:8" s="5" customFormat="1" ht="11.25" customHeight="1" x14ac:dyDescent="0.2">
      <c r="D571" s="28"/>
      <c r="E571" s="13"/>
      <c r="F571" s="113"/>
      <c r="G571" s="13"/>
      <c r="H571" s="113"/>
    </row>
    <row r="572" spans="1:8" s="5" customFormat="1" ht="11.25" customHeight="1" x14ac:dyDescent="0.2">
      <c r="A572" s="5" t="s">
        <v>1543</v>
      </c>
      <c r="C572" s="5" t="s">
        <v>3617</v>
      </c>
      <c r="D572" s="5" t="s">
        <v>3275</v>
      </c>
      <c r="E572" s="13">
        <v>2146</v>
      </c>
      <c r="F572" s="113">
        <f>E572/9932*100</f>
        <v>21.606927104309303</v>
      </c>
      <c r="G572" s="13"/>
      <c r="H572" s="113"/>
    </row>
    <row r="573" spans="1:8" s="5" customFormat="1" ht="11.25" customHeight="1" x14ac:dyDescent="0.2">
      <c r="C573" s="5" t="s">
        <v>3618</v>
      </c>
      <c r="D573" s="28" t="s">
        <v>1072</v>
      </c>
      <c r="E573" s="13">
        <v>1106</v>
      </c>
      <c r="F573" s="113">
        <f>E573/9932*100</f>
        <v>11.135722915827628</v>
      </c>
      <c r="G573" s="13"/>
      <c r="H573" s="113"/>
    </row>
    <row r="574" spans="1:8" s="5" customFormat="1" ht="11.25" customHeight="1" x14ac:dyDescent="0.2">
      <c r="C574" s="5" t="s">
        <v>2790</v>
      </c>
      <c r="D574" s="28" t="s">
        <v>655</v>
      </c>
      <c r="E574" s="13">
        <v>661</v>
      </c>
      <c r="F574" s="113">
        <f>E574/9932*100</f>
        <v>6.6552557390253728</v>
      </c>
      <c r="G574" s="13"/>
      <c r="H574" s="113"/>
    </row>
    <row r="575" spans="1:8" s="5" customFormat="1" ht="11.25" customHeight="1" x14ac:dyDescent="0.2">
      <c r="C575" s="14" t="s">
        <v>4033</v>
      </c>
      <c r="D575" s="28" t="s">
        <v>1736</v>
      </c>
      <c r="E575" s="13">
        <v>6019</v>
      </c>
      <c r="F575" s="113">
        <f>E575/9932*100</f>
        <v>60.602094240837701</v>
      </c>
      <c r="G575" s="13"/>
      <c r="H575" s="113"/>
    </row>
    <row r="576" spans="1:8" s="5" customFormat="1" ht="11.25" customHeight="1" x14ac:dyDescent="0.2">
      <c r="D576" s="28"/>
      <c r="E576" s="162" t="s">
        <v>3619</v>
      </c>
      <c r="F576" s="165">
        <f>SUM(F572:F575)</f>
        <v>100</v>
      </c>
      <c r="G576" s="162">
        <v>22396</v>
      </c>
      <c r="H576" s="165">
        <v>44.5</v>
      </c>
    </row>
    <row r="577" spans="1:8" s="5" customFormat="1" ht="11.25" customHeight="1" x14ac:dyDescent="0.2">
      <c r="D577" s="28"/>
      <c r="E577" s="13"/>
      <c r="F577" s="113"/>
      <c r="G577" s="13"/>
      <c r="H577" s="113"/>
    </row>
    <row r="578" spans="1:8" s="5" customFormat="1" ht="11.25" customHeight="1" x14ac:dyDescent="0.2">
      <c r="D578" s="28"/>
      <c r="E578" s="13"/>
      <c r="F578" s="113"/>
      <c r="G578" s="13"/>
      <c r="H578" s="113"/>
    </row>
    <row r="579" spans="1:8" s="26" customFormat="1" ht="11.25" customHeight="1" x14ac:dyDescent="0.2">
      <c r="A579" s="145" t="s">
        <v>1131</v>
      </c>
      <c r="B579" s="145"/>
      <c r="C579" s="145"/>
      <c r="D579" s="146"/>
      <c r="E579" s="147" t="s">
        <v>3622</v>
      </c>
      <c r="F579" s="148"/>
      <c r="G579" s="147">
        <f>SUM(G4:G578)</f>
        <v>2350045</v>
      </c>
      <c r="H579" s="148">
        <f>(950363+3414)/G579*100</f>
        <v>40.585478150418396</v>
      </c>
    </row>
    <row r="580" spans="1:8" s="5" customFormat="1" ht="11.25" customHeight="1" x14ac:dyDescent="0.2">
      <c r="D580" s="28"/>
      <c r="E580" s="13"/>
      <c r="F580" s="113"/>
      <c r="G580" s="13"/>
      <c r="H580" s="113"/>
    </row>
    <row r="581" spans="1:8" s="5" customFormat="1" ht="11.25" customHeight="1" x14ac:dyDescent="0.2">
      <c r="A581" s="6" t="s">
        <v>1289</v>
      </c>
      <c r="B581" s="6"/>
      <c r="C581" s="8"/>
      <c r="D581" s="8"/>
      <c r="E581" s="93"/>
      <c r="F581" s="108"/>
      <c r="G581" s="99"/>
      <c r="H581" s="82"/>
    </row>
    <row r="582" spans="1:8" ht="11.25" customHeight="1" x14ac:dyDescent="0.2">
      <c r="A582" s="273" t="s">
        <v>2934</v>
      </c>
      <c r="B582" s="273"/>
      <c r="C582" s="273"/>
      <c r="D582" s="273"/>
      <c r="E582" s="273"/>
      <c r="F582" s="273"/>
      <c r="G582" s="273"/>
      <c r="H582" s="273"/>
    </row>
    <row r="583" spans="1:8" s="26" customFormat="1" ht="11.25" customHeight="1" x14ac:dyDescent="0.2">
      <c r="A583" s="274" t="s">
        <v>1303</v>
      </c>
      <c r="B583" s="274"/>
      <c r="C583" s="274"/>
      <c r="D583" s="274"/>
      <c r="E583" s="274"/>
      <c r="F583" s="274"/>
      <c r="G583" s="274"/>
      <c r="H583" s="274"/>
    </row>
    <row r="584" spans="1:8" s="26" customFormat="1" ht="11.25" customHeight="1" x14ac:dyDescent="0.2">
      <c r="A584" s="273" t="s">
        <v>2932</v>
      </c>
      <c r="B584" s="273"/>
      <c r="C584" s="273"/>
      <c r="D584" s="273"/>
      <c r="E584" s="273"/>
      <c r="F584" s="273"/>
      <c r="G584" s="273"/>
      <c r="H584" s="273"/>
    </row>
  </sheetData>
  <mergeCells count="5">
    <mergeCell ref="A1:H1"/>
    <mergeCell ref="F2:H2"/>
    <mergeCell ref="A582:H582"/>
    <mergeCell ref="A583:H583"/>
    <mergeCell ref="A584:H584"/>
  </mergeCells>
  <printOptions horizontalCentered="1" gridLines="1"/>
  <pageMargins left="0.19685039370078741" right="0.19685039370078741" top="0.39370078740157483" bottom="0.39370078740157483" header="0.31496062992125984" footer="0.31496062992125984"/>
  <pageSetup paperSize="3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6"/>
  <sheetViews>
    <sheetView workbookViewId="0">
      <pane ySplit="3" topLeftCell="A4" activePane="bottomLeft" state="frozen"/>
      <selection pane="bottomLeft" activeCell="A613" sqref="A613:H616"/>
    </sheetView>
  </sheetViews>
  <sheetFormatPr defaultRowHeight="12.75" x14ac:dyDescent="0.2"/>
  <cols>
    <col min="1" max="1" width="24.85546875" customWidth="1"/>
    <col min="2" max="2" width="4" customWidth="1"/>
    <col min="3" max="3" width="22.85546875" bestFit="1" customWidth="1"/>
    <col min="4" max="4" width="19.140625" bestFit="1" customWidth="1"/>
    <col min="6" max="6" width="7.85546875" bestFit="1" customWidth="1"/>
    <col min="8" max="8" width="7.140625" bestFit="1" customWidth="1"/>
  </cols>
  <sheetData>
    <row r="1" spans="1:9" ht="15.75" x14ac:dyDescent="0.2">
      <c r="A1" s="270" t="s">
        <v>2332</v>
      </c>
      <c r="B1" s="270"/>
      <c r="C1" s="270"/>
      <c r="D1" s="270"/>
      <c r="E1" s="270"/>
      <c r="F1" s="270"/>
      <c r="G1" s="270"/>
      <c r="H1" s="270"/>
      <c r="I1" s="71"/>
    </row>
    <row r="2" spans="1:9" ht="13.5" thickBot="1" x14ac:dyDescent="0.25">
      <c r="A2" s="36" t="s">
        <v>4042</v>
      </c>
      <c r="B2" s="36"/>
      <c r="C2" s="36"/>
      <c r="D2" s="75" t="s">
        <v>4048</v>
      </c>
      <c r="E2" s="89"/>
      <c r="F2" s="271" t="s">
        <v>2933</v>
      </c>
      <c r="G2" s="271"/>
      <c r="H2" s="271"/>
      <c r="I2" s="54"/>
    </row>
    <row r="3" spans="1:9" ht="39" thickBot="1" x14ac:dyDescent="0.25">
      <c r="A3" s="58" t="s">
        <v>3625</v>
      </c>
      <c r="B3" s="59"/>
      <c r="C3" s="59" t="s">
        <v>1300</v>
      </c>
      <c r="D3" s="59" t="s">
        <v>2652</v>
      </c>
      <c r="E3" s="73" t="s">
        <v>1301</v>
      </c>
      <c r="F3" s="74" t="s">
        <v>1286</v>
      </c>
      <c r="G3" s="73" t="s">
        <v>1287</v>
      </c>
      <c r="H3" s="74" t="s">
        <v>1302</v>
      </c>
      <c r="I3" s="57"/>
    </row>
    <row r="4" spans="1:9" x14ac:dyDescent="0.2">
      <c r="A4" s="5"/>
      <c r="B4" s="5"/>
      <c r="C4" s="5"/>
      <c r="D4" s="28"/>
      <c r="E4" s="13"/>
      <c r="F4" s="113"/>
      <c r="G4" s="13"/>
      <c r="H4" s="113"/>
      <c r="I4" s="5"/>
    </row>
    <row r="5" spans="1:9" x14ac:dyDescent="0.2">
      <c r="A5" s="5" t="s">
        <v>3881</v>
      </c>
      <c r="B5" s="5"/>
      <c r="C5" s="14" t="s">
        <v>3273</v>
      </c>
      <c r="D5" s="5" t="s">
        <v>3275</v>
      </c>
      <c r="E5" s="13">
        <v>9568</v>
      </c>
      <c r="F5" s="113">
        <f>E5/16451*100</f>
        <v>58.160598139930705</v>
      </c>
      <c r="G5" s="13"/>
      <c r="H5" s="113"/>
      <c r="I5" s="5"/>
    </row>
    <row r="6" spans="1:9" x14ac:dyDescent="0.2">
      <c r="A6" s="5"/>
      <c r="B6" s="5"/>
      <c r="C6" s="5" t="s">
        <v>77</v>
      </c>
      <c r="D6" s="28" t="s">
        <v>1736</v>
      </c>
      <c r="E6" s="13">
        <v>5376</v>
      </c>
      <c r="F6" s="113">
        <f>E6/16451*100</f>
        <v>32.678864506716913</v>
      </c>
      <c r="G6" s="13"/>
      <c r="H6" s="113"/>
      <c r="I6" s="5"/>
    </row>
    <row r="7" spans="1:9" x14ac:dyDescent="0.2">
      <c r="A7" s="5"/>
      <c r="B7" s="5"/>
      <c r="C7" s="5" t="s">
        <v>3882</v>
      </c>
      <c r="D7" s="28" t="s">
        <v>1072</v>
      </c>
      <c r="E7" s="13">
        <v>525</v>
      </c>
      <c r="F7" s="113">
        <f>E7/16451*100</f>
        <v>3.191295361984074</v>
      </c>
      <c r="G7" s="13"/>
      <c r="H7" s="113"/>
      <c r="I7" s="5"/>
    </row>
    <row r="8" spans="1:9" x14ac:dyDescent="0.2">
      <c r="A8" s="5"/>
      <c r="B8" s="5"/>
      <c r="C8" s="5" t="s">
        <v>1017</v>
      </c>
      <c r="D8" s="28" t="s">
        <v>653</v>
      </c>
      <c r="E8" s="13">
        <v>297</v>
      </c>
      <c r="F8" s="113">
        <f>E8/16451*100</f>
        <v>1.8053613762081331</v>
      </c>
      <c r="G8" s="13"/>
      <c r="H8" s="113"/>
      <c r="I8" s="5"/>
    </row>
    <row r="9" spans="1:9" x14ac:dyDescent="0.2">
      <c r="A9" s="5"/>
      <c r="B9" s="5"/>
      <c r="C9" s="5" t="s">
        <v>3276</v>
      </c>
      <c r="D9" s="28" t="s">
        <v>655</v>
      </c>
      <c r="E9" s="13">
        <v>685</v>
      </c>
      <c r="F9" s="113">
        <f>E9/16451*100</f>
        <v>4.1638806151601724</v>
      </c>
      <c r="G9" s="13"/>
      <c r="H9" s="113"/>
      <c r="I9" s="5"/>
    </row>
    <row r="10" spans="1:9" x14ac:dyDescent="0.2">
      <c r="A10" s="5"/>
      <c r="B10" s="5"/>
      <c r="C10" s="5"/>
      <c r="D10" s="28"/>
      <c r="E10" s="13" t="s">
        <v>3883</v>
      </c>
      <c r="F10" s="165">
        <f>SUM(F5:F9)</f>
        <v>100</v>
      </c>
      <c r="G10" s="13">
        <v>31258</v>
      </c>
      <c r="H10" s="113">
        <v>52.9</v>
      </c>
      <c r="I10" s="5"/>
    </row>
    <row r="11" spans="1:9" x14ac:dyDescent="0.2">
      <c r="A11" s="5"/>
      <c r="B11" s="5"/>
      <c r="C11" s="5"/>
      <c r="D11" s="28"/>
      <c r="E11" s="13"/>
      <c r="F11" s="113"/>
      <c r="G11" s="13"/>
      <c r="H11" s="113"/>
      <c r="I11" s="5"/>
    </row>
    <row r="12" spans="1:9" x14ac:dyDescent="0.2">
      <c r="A12" s="53" t="s">
        <v>4043</v>
      </c>
      <c r="B12" s="53"/>
      <c r="C12" s="5" t="s">
        <v>3884</v>
      </c>
      <c r="D12" s="28" t="s">
        <v>1072</v>
      </c>
      <c r="E12" s="13">
        <v>476</v>
      </c>
      <c r="F12" s="113">
        <f>E12/15255*100</f>
        <v>3.120288430022943</v>
      </c>
      <c r="G12" s="13"/>
      <c r="H12" s="113"/>
      <c r="I12" s="5"/>
    </row>
    <row r="13" spans="1:9" x14ac:dyDescent="0.2">
      <c r="A13" s="53"/>
      <c r="B13" s="53"/>
      <c r="C13" s="55" t="s">
        <v>3277</v>
      </c>
      <c r="D13" s="28" t="s">
        <v>1736</v>
      </c>
      <c r="E13" s="13">
        <v>7384</v>
      </c>
      <c r="F13" s="113">
        <f>E13/15255*100</f>
        <v>48.403802032120616</v>
      </c>
      <c r="G13" s="13"/>
      <c r="H13" s="113"/>
      <c r="I13" s="5"/>
    </row>
    <row r="14" spans="1:9" x14ac:dyDescent="0.2">
      <c r="A14" s="53"/>
      <c r="B14" s="53"/>
      <c r="C14" s="53" t="s">
        <v>3885</v>
      </c>
      <c r="D14" s="28" t="s">
        <v>655</v>
      </c>
      <c r="E14" s="13">
        <v>2091</v>
      </c>
      <c r="F14" s="113">
        <f>E14/15255*100</f>
        <v>13.706981317600786</v>
      </c>
      <c r="G14" s="13"/>
      <c r="H14" s="113"/>
      <c r="I14" s="5"/>
    </row>
    <row r="15" spans="1:9" x14ac:dyDescent="0.2">
      <c r="A15" s="53"/>
      <c r="B15" s="53"/>
      <c r="C15" s="1" t="s">
        <v>3886</v>
      </c>
      <c r="D15" s="5" t="s">
        <v>3275</v>
      </c>
      <c r="E15" s="13">
        <v>5304</v>
      </c>
      <c r="F15" s="113">
        <f>E15/15255*100</f>
        <v>34.768928220255653</v>
      </c>
      <c r="G15" s="13"/>
      <c r="H15" s="113"/>
      <c r="I15" s="5"/>
    </row>
    <row r="16" spans="1:9" x14ac:dyDescent="0.2">
      <c r="A16" s="5"/>
      <c r="B16" s="5"/>
      <c r="C16" s="5"/>
      <c r="D16" s="28"/>
      <c r="E16" s="13" t="s">
        <v>3887</v>
      </c>
      <c r="F16" s="165">
        <f>SUM(F11:F15)</f>
        <v>100</v>
      </c>
      <c r="G16" s="13">
        <v>25658</v>
      </c>
      <c r="H16" s="113">
        <v>59.9</v>
      </c>
      <c r="I16" s="5"/>
    </row>
    <row r="17" spans="1:9" x14ac:dyDescent="0.2">
      <c r="A17" s="5"/>
      <c r="B17" s="5"/>
      <c r="C17" s="5"/>
      <c r="D17" s="28"/>
      <c r="E17" s="13"/>
      <c r="F17" s="113"/>
      <c r="G17" s="13"/>
      <c r="H17" s="113"/>
      <c r="I17" s="5"/>
    </row>
    <row r="18" spans="1:9" x14ac:dyDescent="0.2">
      <c r="A18" s="5" t="s">
        <v>1008</v>
      </c>
      <c r="B18" s="5"/>
      <c r="C18" s="14" t="s">
        <v>3634</v>
      </c>
      <c r="D18" s="28" t="s">
        <v>1736</v>
      </c>
      <c r="E18" s="13">
        <v>6632</v>
      </c>
      <c r="F18" s="113">
        <f>E18/15858*100</f>
        <v>41.821162820027745</v>
      </c>
      <c r="G18" s="13"/>
      <c r="H18" s="113"/>
      <c r="I18" s="5"/>
    </row>
    <row r="19" spans="1:9" x14ac:dyDescent="0.2">
      <c r="A19" s="5"/>
      <c r="B19" s="5"/>
      <c r="C19" s="5" t="s">
        <v>3635</v>
      </c>
      <c r="D19" s="5" t="s">
        <v>3275</v>
      </c>
      <c r="E19" s="13">
        <v>5933</v>
      </c>
      <c r="F19" s="113">
        <f>E19/15858*100</f>
        <v>37.413292975154491</v>
      </c>
      <c r="G19" s="13"/>
      <c r="H19" s="113"/>
      <c r="I19" s="5"/>
    </row>
    <row r="20" spans="1:9" x14ac:dyDescent="0.2">
      <c r="A20" s="5"/>
      <c r="B20" s="5"/>
      <c r="C20" s="5" t="s">
        <v>3636</v>
      </c>
      <c r="D20" s="28" t="s">
        <v>1072</v>
      </c>
      <c r="E20" s="13">
        <v>2234</v>
      </c>
      <c r="F20" s="113">
        <f>E20/15858*100</f>
        <v>14.087526800353134</v>
      </c>
      <c r="G20" s="13"/>
      <c r="H20" s="113"/>
      <c r="I20" s="5"/>
    </row>
    <row r="21" spans="1:9" x14ac:dyDescent="0.2">
      <c r="A21" s="5"/>
      <c r="B21" s="5"/>
      <c r="C21" s="5" t="s">
        <v>3637</v>
      </c>
      <c r="D21" s="28" t="s">
        <v>655</v>
      </c>
      <c r="E21" s="13">
        <v>1059</v>
      </c>
      <c r="F21" s="113">
        <f>E21/15858*100</f>
        <v>6.6780174044646232</v>
      </c>
      <c r="G21" s="13"/>
      <c r="H21" s="113"/>
      <c r="I21" s="5"/>
    </row>
    <row r="22" spans="1:9" x14ac:dyDescent="0.2">
      <c r="A22" s="5"/>
      <c r="B22" s="5"/>
      <c r="C22" s="5"/>
      <c r="D22" s="28"/>
      <c r="E22" s="162" t="s">
        <v>3638</v>
      </c>
      <c r="F22" s="165">
        <f>SUM(F18:F21)</f>
        <v>100</v>
      </c>
      <c r="G22" s="162">
        <v>28663</v>
      </c>
      <c r="H22" s="165">
        <v>55.8</v>
      </c>
      <c r="I22" s="5"/>
    </row>
    <row r="23" spans="1:9" x14ac:dyDescent="0.2">
      <c r="A23" s="5"/>
      <c r="B23" s="5"/>
      <c r="C23" s="5"/>
      <c r="D23" s="28"/>
      <c r="E23" s="13"/>
      <c r="F23" s="113"/>
      <c r="G23" s="13"/>
      <c r="H23" s="113"/>
      <c r="I23" s="5"/>
    </row>
    <row r="24" spans="1:9" x14ac:dyDescent="0.2">
      <c r="A24" s="5" t="s">
        <v>2040</v>
      </c>
      <c r="B24" s="5"/>
      <c r="C24" s="5" t="s">
        <v>3617</v>
      </c>
      <c r="D24" s="5" t="s">
        <v>3275</v>
      </c>
      <c r="E24" s="13">
        <v>7103</v>
      </c>
      <c r="F24" s="113">
        <f>E24/16652*100</f>
        <v>42.655536872447755</v>
      </c>
      <c r="G24" s="13"/>
      <c r="H24" s="113"/>
      <c r="I24" s="5"/>
    </row>
    <row r="25" spans="1:9" x14ac:dyDescent="0.2">
      <c r="A25" s="5"/>
      <c r="B25" s="5"/>
      <c r="C25" s="5" t="s">
        <v>3520</v>
      </c>
      <c r="D25" s="28" t="s">
        <v>3639</v>
      </c>
      <c r="E25" s="13">
        <v>188</v>
      </c>
      <c r="F25" s="113">
        <f>E25/16652*100</f>
        <v>1.1289935142925775</v>
      </c>
      <c r="G25" s="13"/>
      <c r="H25" s="113"/>
      <c r="I25" s="5"/>
    </row>
    <row r="26" spans="1:9" x14ac:dyDescent="0.2">
      <c r="A26" s="5"/>
      <c r="B26" s="5"/>
      <c r="C26" s="5" t="s">
        <v>3640</v>
      </c>
      <c r="D26" s="28" t="s">
        <v>655</v>
      </c>
      <c r="E26" s="13">
        <v>983</v>
      </c>
      <c r="F26" s="113">
        <f>E26/16652*100</f>
        <v>5.9031948114340622</v>
      </c>
      <c r="G26" s="13"/>
      <c r="H26" s="113"/>
      <c r="I26" s="5"/>
    </row>
    <row r="27" spans="1:9" x14ac:dyDescent="0.2">
      <c r="A27" s="5"/>
      <c r="B27" s="5"/>
      <c r="C27" s="14" t="s">
        <v>3641</v>
      </c>
      <c r="D27" s="28" t="s">
        <v>1736</v>
      </c>
      <c r="E27" s="13">
        <v>7447</v>
      </c>
      <c r="F27" s="113">
        <f>E27/16652*100</f>
        <v>44.721354792217149</v>
      </c>
      <c r="G27" s="13"/>
      <c r="H27" s="113"/>
      <c r="I27" s="5"/>
    </row>
    <row r="28" spans="1:9" x14ac:dyDescent="0.2">
      <c r="A28" s="5"/>
      <c r="B28" s="5"/>
      <c r="C28" s="5" t="s">
        <v>3642</v>
      </c>
      <c r="D28" s="28" t="s">
        <v>1072</v>
      </c>
      <c r="E28" s="13">
        <v>931</v>
      </c>
      <c r="F28" s="113">
        <f>E28/16652*100</f>
        <v>5.5909200096084559</v>
      </c>
      <c r="G28" s="13"/>
      <c r="H28" s="113"/>
      <c r="I28" s="5"/>
    </row>
    <row r="29" spans="1:9" x14ac:dyDescent="0.2">
      <c r="A29" s="5"/>
      <c r="B29" s="5"/>
      <c r="C29" s="5"/>
      <c r="D29" s="28"/>
      <c r="E29" s="162" t="s">
        <v>3643</v>
      </c>
      <c r="F29" s="165">
        <f>SUM(F24:F28)</f>
        <v>100</v>
      </c>
      <c r="G29" s="162">
        <v>27394</v>
      </c>
      <c r="H29" s="165">
        <v>61</v>
      </c>
      <c r="I29" s="5"/>
    </row>
    <row r="30" spans="1:9" x14ac:dyDescent="0.2">
      <c r="A30" s="5"/>
      <c r="B30" s="5"/>
      <c r="C30" s="5"/>
      <c r="D30" s="28"/>
      <c r="E30" s="13"/>
      <c r="F30" s="113"/>
      <c r="G30" s="13"/>
      <c r="H30" s="113"/>
      <c r="I30" s="5"/>
    </row>
    <row r="31" spans="1:9" x14ac:dyDescent="0.2">
      <c r="A31" s="5" t="s">
        <v>2041</v>
      </c>
      <c r="B31" s="5"/>
      <c r="C31" s="5" t="s">
        <v>3644</v>
      </c>
      <c r="D31" s="28" t="s">
        <v>1072</v>
      </c>
      <c r="E31" s="13">
        <v>469</v>
      </c>
      <c r="F31" s="113">
        <f>E31/15421*100</f>
        <v>3.0413073082160689</v>
      </c>
      <c r="G31" s="13"/>
      <c r="H31" s="113"/>
      <c r="I31" s="5"/>
    </row>
    <row r="32" spans="1:9" x14ac:dyDescent="0.2">
      <c r="A32" s="5"/>
      <c r="B32" s="5"/>
      <c r="C32" s="14" t="s">
        <v>2081</v>
      </c>
      <c r="D32" s="28" t="s">
        <v>1736</v>
      </c>
      <c r="E32" s="13">
        <v>7202</v>
      </c>
      <c r="F32" s="113">
        <f>E32/15421*100</f>
        <v>46.702548472861679</v>
      </c>
      <c r="G32" s="13"/>
      <c r="H32" s="113"/>
      <c r="I32" s="5"/>
    </row>
    <row r="33" spans="1:9" x14ac:dyDescent="0.2">
      <c r="A33" s="5"/>
      <c r="B33" s="5"/>
      <c r="C33" s="5" t="s">
        <v>3613</v>
      </c>
      <c r="D33" s="28" t="s">
        <v>2103</v>
      </c>
      <c r="E33" s="13">
        <v>265</v>
      </c>
      <c r="F33" s="113">
        <f>E33/15421*100</f>
        <v>1.7184358990986317</v>
      </c>
      <c r="G33" s="13"/>
      <c r="H33" s="113"/>
      <c r="I33" s="5"/>
    </row>
    <row r="34" spans="1:9" x14ac:dyDescent="0.2">
      <c r="A34" s="5"/>
      <c r="B34" s="5"/>
      <c r="C34" s="5" t="s">
        <v>3645</v>
      </c>
      <c r="D34" s="5" t="s">
        <v>3275</v>
      </c>
      <c r="E34" s="13">
        <v>6709</v>
      </c>
      <c r="F34" s="113">
        <f>E34/15421*100</f>
        <v>43.505609234161206</v>
      </c>
      <c r="G34" s="13"/>
      <c r="H34" s="113"/>
      <c r="I34" s="5"/>
    </row>
    <row r="35" spans="1:9" x14ac:dyDescent="0.2">
      <c r="A35" s="5"/>
      <c r="B35" s="5"/>
      <c r="C35" s="5" t="s">
        <v>3646</v>
      </c>
      <c r="D35" s="28" t="s">
        <v>655</v>
      </c>
      <c r="E35" s="13">
        <v>776</v>
      </c>
      <c r="F35" s="113">
        <f>E35/15421*100</f>
        <v>5.0320990856624084</v>
      </c>
      <c r="G35" s="13"/>
      <c r="H35" s="113"/>
      <c r="I35" s="5"/>
    </row>
    <row r="36" spans="1:9" x14ac:dyDescent="0.2">
      <c r="A36" s="5"/>
      <c r="B36" s="5"/>
      <c r="C36" s="5"/>
      <c r="D36" s="28"/>
      <c r="E36" s="162" t="s">
        <v>3647</v>
      </c>
      <c r="F36" s="165">
        <f>SUM(F31:F35)</f>
        <v>99.999999999999986</v>
      </c>
      <c r="G36" s="162">
        <v>25863</v>
      </c>
      <c r="H36" s="165">
        <v>60</v>
      </c>
      <c r="I36" s="5"/>
    </row>
    <row r="37" spans="1:9" x14ac:dyDescent="0.2">
      <c r="A37" s="5"/>
      <c r="B37" s="5"/>
      <c r="C37" s="5"/>
      <c r="D37" s="28"/>
      <c r="E37" s="13"/>
      <c r="F37" s="113"/>
      <c r="G37" s="13"/>
      <c r="H37" s="113"/>
      <c r="I37" s="5"/>
    </row>
    <row r="38" spans="1:9" x14ac:dyDescent="0.2">
      <c r="A38" s="5" t="s">
        <v>1018</v>
      </c>
      <c r="B38" s="5"/>
      <c r="C38" s="5" t="s">
        <v>529</v>
      </c>
      <c r="D38" s="28" t="s">
        <v>655</v>
      </c>
      <c r="E38" s="13">
        <v>330</v>
      </c>
      <c r="F38" s="113">
        <f>E38/9809*100</f>
        <v>3.3642573147109798</v>
      </c>
      <c r="G38" s="13"/>
      <c r="H38" s="113"/>
      <c r="I38" s="5"/>
    </row>
    <row r="39" spans="1:9" x14ac:dyDescent="0.2">
      <c r="A39" s="5"/>
      <c r="B39" s="5"/>
      <c r="C39" s="5" t="s">
        <v>3648</v>
      </c>
      <c r="D39" s="5" t="s">
        <v>3275</v>
      </c>
      <c r="E39" s="13">
        <v>4128</v>
      </c>
      <c r="F39" s="113">
        <f>E39/9809*100</f>
        <v>42.083800591293709</v>
      </c>
      <c r="G39" s="13"/>
      <c r="H39" s="113"/>
      <c r="I39" s="5"/>
    </row>
    <row r="40" spans="1:9" x14ac:dyDescent="0.2">
      <c r="A40" s="5"/>
      <c r="B40" s="5"/>
      <c r="C40" s="14" t="s">
        <v>3294</v>
      </c>
      <c r="D40" s="28" t="s">
        <v>1736</v>
      </c>
      <c r="E40" s="13">
        <v>4816</v>
      </c>
      <c r="F40" s="113">
        <f>E40/9809*100</f>
        <v>49.09776735650933</v>
      </c>
      <c r="G40" s="13"/>
      <c r="H40" s="113"/>
      <c r="I40" s="5"/>
    </row>
    <row r="41" spans="1:9" x14ac:dyDescent="0.2">
      <c r="A41" s="5"/>
      <c r="B41" s="5"/>
      <c r="C41" s="5" t="s">
        <v>3649</v>
      </c>
      <c r="D41" s="28" t="s">
        <v>1072</v>
      </c>
      <c r="E41" s="13">
        <v>535</v>
      </c>
      <c r="F41" s="113">
        <f>E41/9809*100</f>
        <v>5.4541747374859826</v>
      </c>
      <c r="G41" s="13"/>
      <c r="H41" s="113"/>
      <c r="I41" s="5"/>
    </row>
    <row r="42" spans="1:9" x14ac:dyDescent="0.2">
      <c r="A42" s="5"/>
      <c r="B42" s="5"/>
      <c r="C42" s="5"/>
      <c r="D42" s="28"/>
      <c r="E42" s="162" t="s">
        <v>4035</v>
      </c>
      <c r="F42" s="165">
        <f>SUM(F38:F41)</f>
        <v>100.00000000000001</v>
      </c>
      <c r="G42" s="162">
        <v>22170</v>
      </c>
      <c r="H42" s="165">
        <v>44.6</v>
      </c>
      <c r="I42" s="5"/>
    </row>
    <row r="43" spans="1:9" x14ac:dyDescent="0.2">
      <c r="A43" s="5"/>
      <c r="B43" s="5"/>
      <c r="C43" s="5"/>
      <c r="D43" s="5"/>
      <c r="E43" s="5"/>
      <c r="F43" s="5"/>
      <c r="G43" s="5"/>
      <c r="H43" s="5"/>
      <c r="I43" s="5"/>
    </row>
    <row r="44" spans="1:9" x14ac:dyDescent="0.2">
      <c r="A44" s="53" t="s">
        <v>3650</v>
      </c>
      <c r="B44" s="53"/>
      <c r="C44" s="55" t="s">
        <v>3319</v>
      </c>
      <c r="D44" s="28" t="s">
        <v>1736</v>
      </c>
      <c r="E44" s="13">
        <v>6863</v>
      </c>
      <c r="F44" s="113">
        <f>E44/14990*100</f>
        <v>45.783855903935958</v>
      </c>
      <c r="G44" s="13"/>
      <c r="H44" s="113"/>
      <c r="I44" s="53"/>
    </row>
    <row r="45" spans="1:9" x14ac:dyDescent="0.2">
      <c r="A45" s="53"/>
      <c r="B45" s="53"/>
      <c r="C45" s="53" t="s">
        <v>3652</v>
      </c>
      <c r="D45" s="28" t="s">
        <v>3639</v>
      </c>
      <c r="E45" s="13">
        <v>202</v>
      </c>
      <c r="F45" s="113">
        <f>E45/14990*100</f>
        <v>1.3475650433622415</v>
      </c>
      <c r="G45" s="13"/>
      <c r="H45" s="113"/>
      <c r="I45" s="53"/>
    </row>
    <row r="46" spans="1:9" x14ac:dyDescent="0.2">
      <c r="A46" s="53"/>
      <c r="B46" s="53"/>
      <c r="C46" s="53" t="s">
        <v>3653</v>
      </c>
      <c r="D46" s="28" t="s">
        <v>1072</v>
      </c>
      <c r="E46" s="13">
        <v>940</v>
      </c>
      <c r="F46" s="113">
        <f>E46/14990*100</f>
        <v>6.2708472314876582</v>
      </c>
      <c r="G46" s="13"/>
      <c r="H46" s="113"/>
      <c r="I46" s="53"/>
    </row>
    <row r="47" spans="1:9" x14ac:dyDescent="0.2">
      <c r="A47" s="172"/>
      <c r="B47" s="172"/>
      <c r="C47" s="53" t="s">
        <v>3654</v>
      </c>
      <c r="D47" s="5" t="s">
        <v>3275</v>
      </c>
      <c r="E47" s="13">
        <v>6308</v>
      </c>
      <c r="F47" s="113">
        <f>E47/14990*100</f>
        <v>42.081387591727818</v>
      </c>
      <c r="G47" s="173"/>
      <c r="H47" s="174"/>
      <c r="I47" s="172"/>
    </row>
    <row r="48" spans="1:9" x14ac:dyDescent="0.2">
      <c r="A48" s="172"/>
      <c r="B48" s="172"/>
      <c r="C48" s="53" t="s">
        <v>3655</v>
      </c>
      <c r="D48" s="28" t="s">
        <v>655</v>
      </c>
      <c r="E48" s="13">
        <v>677</v>
      </c>
      <c r="F48" s="113">
        <f>E48/14990*100</f>
        <v>4.5163442294863243</v>
      </c>
      <c r="G48" s="173"/>
      <c r="H48" s="174"/>
      <c r="I48" s="172"/>
    </row>
    <row r="49" spans="1:9" x14ac:dyDescent="0.2">
      <c r="A49" s="5"/>
      <c r="B49" s="5"/>
      <c r="C49" s="5"/>
      <c r="D49" s="28"/>
      <c r="E49" s="162" t="s">
        <v>3656</v>
      </c>
      <c r="F49" s="165">
        <f>SUM(F44:F48)</f>
        <v>100</v>
      </c>
      <c r="G49" s="162">
        <v>26675</v>
      </c>
      <c r="H49" s="165">
        <v>56.6</v>
      </c>
      <c r="I49" s="5"/>
    </row>
    <row r="50" spans="1:9" x14ac:dyDescent="0.2">
      <c r="A50" s="5"/>
      <c r="B50" s="5"/>
      <c r="C50" s="5"/>
      <c r="D50" s="5"/>
      <c r="E50" s="5"/>
      <c r="F50" s="5"/>
      <c r="G50" s="5"/>
      <c r="H50" s="5"/>
      <c r="I50" s="5"/>
    </row>
    <row r="51" spans="1:9" x14ac:dyDescent="0.2">
      <c r="A51" s="53" t="s">
        <v>2354</v>
      </c>
      <c r="B51" s="53"/>
      <c r="C51" s="55" t="s">
        <v>3651</v>
      </c>
      <c r="D51" s="28" t="s">
        <v>1736</v>
      </c>
      <c r="E51" s="13">
        <v>6994</v>
      </c>
      <c r="F51" s="113">
        <f>E51/14815*100</f>
        <v>47.208909888626394</v>
      </c>
      <c r="G51" s="13"/>
      <c r="H51" s="113"/>
      <c r="I51" s="53"/>
    </row>
    <row r="52" spans="1:9" x14ac:dyDescent="0.2">
      <c r="A52" s="53"/>
      <c r="B52" s="53"/>
      <c r="C52" s="53" t="s">
        <v>3657</v>
      </c>
      <c r="D52" s="5" t="s">
        <v>3275</v>
      </c>
      <c r="E52" s="13">
        <v>5617</v>
      </c>
      <c r="F52" s="113">
        <f>E52/14815*100</f>
        <v>37.914276071549111</v>
      </c>
      <c r="G52" s="13"/>
      <c r="H52" s="113"/>
      <c r="I52" s="53"/>
    </row>
    <row r="53" spans="1:9" x14ac:dyDescent="0.2">
      <c r="A53" s="53"/>
      <c r="B53" s="53"/>
      <c r="C53" s="53" t="s">
        <v>2175</v>
      </c>
      <c r="D53" s="28" t="s">
        <v>655</v>
      </c>
      <c r="E53" s="13">
        <v>598</v>
      </c>
      <c r="F53" s="113">
        <f>E53/14815*100</f>
        <v>4.0364495443806954</v>
      </c>
      <c r="G53" s="13"/>
      <c r="H53" s="113"/>
      <c r="I53" s="53"/>
    </row>
    <row r="54" spans="1:9" x14ac:dyDescent="0.2">
      <c r="A54" s="172"/>
      <c r="B54" s="172"/>
      <c r="C54" s="53" t="s">
        <v>3658</v>
      </c>
      <c r="D54" s="28" t="s">
        <v>2103</v>
      </c>
      <c r="E54" s="13">
        <v>237</v>
      </c>
      <c r="F54" s="113">
        <f>E54/14815*100</f>
        <v>1.5997300033749577</v>
      </c>
      <c r="G54" s="173"/>
      <c r="H54" s="174"/>
      <c r="I54" s="172"/>
    </row>
    <row r="55" spans="1:9" x14ac:dyDescent="0.2">
      <c r="A55" s="172"/>
      <c r="B55" s="172"/>
      <c r="C55" s="53" t="s">
        <v>3659</v>
      </c>
      <c r="D55" s="28" t="s">
        <v>1072</v>
      </c>
      <c r="E55" s="13">
        <v>1369</v>
      </c>
      <c r="F55" s="113">
        <f>E55/14815*100</f>
        <v>9.2406344920688479</v>
      </c>
      <c r="G55" s="173"/>
      <c r="H55" s="174"/>
      <c r="I55" s="172"/>
    </row>
    <row r="56" spans="1:9" x14ac:dyDescent="0.2">
      <c r="A56" s="5"/>
      <c r="B56" s="5"/>
      <c r="C56" s="5"/>
      <c r="D56" s="28"/>
      <c r="E56" s="162" t="s">
        <v>3660</v>
      </c>
      <c r="F56" s="165">
        <f>SUM(F51:F55)</f>
        <v>100.00000000000001</v>
      </c>
      <c r="G56" s="162">
        <v>26401</v>
      </c>
      <c r="H56" s="165">
        <v>56.4</v>
      </c>
      <c r="I56" s="5"/>
    </row>
    <row r="57" spans="1:9" x14ac:dyDescent="0.2">
      <c r="A57" s="5"/>
      <c r="B57" s="5"/>
      <c r="C57" s="5"/>
      <c r="D57" s="28"/>
      <c r="E57" s="13"/>
      <c r="F57" s="113"/>
      <c r="G57" s="13"/>
      <c r="H57" s="113"/>
      <c r="I57" s="5"/>
    </row>
    <row r="58" spans="1:9" x14ac:dyDescent="0.2">
      <c r="A58" s="5" t="s">
        <v>2360</v>
      </c>
      <c r="B58" s="5"/>
      <c r="C58" s="5" t="s">
        <v>3661</v>
      </c>
      <c r="D58" s="5" t="s">
        <v>3275</v>
      </c>
      <c r="E58" s="13">
        <v>2415</v>
      </c>
      <c r="F58" s="113">
        <f>E58/11430*100</f>
        <v>21.128608923884514</v>
      </c>
      <c r="G58" s="13"/>
      <c r="H58" s="113"/>
      <c r="I58" s="5"/>
    </row>
    <row r="59" spans="1:9" x14ac:dyDescent="0.2">
      <c r="A59" s="5"/>
      <c r="B59" s="5"/>
      <c r="C59" s="5" t="s">
        <v>3662</v>
      </c>
      <c r="D59" s="28" t="s">
        <v>655</v>
      </c>
      <c r="E59" s="13">
        <v>539</v>
      </c>
      <c r="F59" s="113">
        <f>E59/11430*100</f>
        <v>4.7156605424321958</v>
      </c>
      <c r="G59" s="13"/>
      <c r="H59" s="113"/>
      <c r="I59" s="5"/>
    </row>
    <row r="60" spans="1:9" x14ac:dyDescent="0.2">
      <c r="A60" s="5"/>
      <c r="B60" s="5"/>
      <c r="C60" s="14" t="s">
        <v>4037</v>
      </c>
      <c r="D60" s="28" t="s">
        <v>1072</v>
      </c>
      <c r="E60" s="13">
        <v>4740</v>
      </c>
      <c r="F60" s="113">
        <f>E60/11430*100</f>
        <v>41.469816272965879</v>
      </c>
      <c r="G60" s="13"/>
      <c r="H60" s="113"/>
      <c r="I60" s="5"/>
    </row>
    <row r="61" spans="1:9" x14ac:dyDescent="0.2">
      <c r="A61" s="5"/>
      <c r="B61" s="5"/>
      <c r="C61" s="5" t="s">
        <v>3663</v>
      </c>
      <c r="D61" s="28" t="s">
        <v>1736</v>
      </c>
      <c r="E61" s="13">
        <v>3506</v>
      </c>
      <c r="F61" s="113">
        <f>E61/11430*100</f>
        <v>30.673665791776028</v>
      </c>
      <c r="G61" s="13"/>
      <c r="H61" s="113"/>
      <c r="I61" s="5"/>
    </row>
    <row r="62" spans="1:9" x14ac:dyDescent="0.2">
      <c r="A62" s="5"/>
      <c r="B62" s="5"/>
      <c r="C62" s="5" t="s">
        <v>3664</v>
      </c>
      <c r="D62" s="28" t="s">
        <v>2103</v>
      </c>
      <c r="E62" s="13">
        <v>230</v>
      </c>
      <c r="F62" s="113">
        <f>E62/11430*100</f>
        <v>2.0122484689413822</v>
      </c>
      <c r="G62" s="13"/>
      <c r="H62" s="113"/>
      <c r="I62" s="5"/>
    </row>
    <row r="63" spans="1:9" x14ac:dyDescent="0.2">
      <c r="A63" s="5"/>
      <c r="B63" s="5"/>
      <c r="C63" s="5"/>
      <c r="D63" s="28"/>
      <c r="E63" s="162" t="s">
        <v>3665</v>
      </c>
      <c r="F63" s="165">
        <f>SUM(F58:F62)</f>
        <v>100</v>
      </c>
      <c r="G63" s="162">
        <v>26220</v>
      </c>
      <c r="H63" s="165">
        <v>44.3</v>
      </c>
      <c r="I63" s="5"/>
    </row>
    <row r="64" spans="1:9" x14ac:dyDescent="0.2">
      <c r="A64" s="5"/>
      <c r="B64" s="5"/>
      <c r="C64" s="5"/>
      <c r="D64" s="28"/>
      <c r="E64" s="13"/>
      <c r="F64" s="113"/>
      <c r="G64" s="13"/>
      <c r="H64" s="113"/>
      <c r="I64" s="5"/>
    </row>
    <row r="65" spans="1:9" x14ac:dyDescent="0.2">
      <c r="A65" s="5" t="s">
        <v>1959</v>
      </c>
      <c r="B65" s="5"/>
      <c r="C65" s="5" t="s">
        <v>3666</v>
      </c>
      <c r="D65" s="28" t="s">
        <v>655</v>
      </c>
      <c r="E65" s="13">
        <v>604</v>
      </c>
      <c r="F65" s="113">
        <f>E65/11998*100</f>
        <v>5.0341723620603434</v>
      </c>
      <c r="G65" s="13"/>
      <c r="H65" s="113"/>
      <c r="I65" s="5"/>
    </row>
    <row r="66" spans="1:9" x14ac:dyDescent="0.2">
      <c r="A66" s="5"/>
      <c r="B66" s="5"/>
      <c r="C66" s="14" t="s">
        <v>1960</v>
      </c>
      <c r="D66" s="28" t="s">
        <v>1736</v>
      </c>
      <c r="E66" s="13">
        <v>5357</v>
      </c>
      <c r="F66" s="113">
        <f>E66/11998*100</f>
        <v>44.649108184697454</v>
      </c>
      <c r="G66" s="13"/>
      <c r="H66" s="113"/>
      <c r="I66" s="5"/>
    </row>
    <row r="67" spans="1:9" x14ac:dyDescent="0.2">
      <c r="A67" s="5"/>
      <c r="B67" s="5"/>
      <c r="C67" s="5" t="s">
        <v>3667</v>
      </c>
      <c r="D67" s="5" t="s">
        <v>3275</v>
      </c>
      <c r="E67" s="13">
        <v>4557</v>
      </c>
      <c r="F67" s="113">
        <f>E67/11998*100</f>
        <v>37.981330221703615</v>
      </c>
      <c r="G67" s="13"/>
      <c r="H67" s="113"/>
      <c r="I67" s="5"/>
    </row>
    <row r="68" spans="1:9" x14ac:dyDescent="0.2">
      <c r="A68" s="5"/>
      <c r="B68" s="5"/>
      <c r="C68" s="5" t="s">
        <v>3668</v>
      </c>
      <c r="D68" s="28" t="s">
        <v>1072</v>
      </c>
      <c r="E68" s="13">
        <v>1220</v>
      </c>
      <c r="F68" s="113">
        <f>E68/11998*100</f>
        <v>10.168361393565595</v>
      </c>
      <c r="G68" s="13"/>
      <c r="H68" s="113"/>
      <c r="I68" s="5"/>
    </row>
    <row r="69" spans="1:9" x14ac:dyDescent="0.2">
      <c r="A69" s="5"/>
      <c r="B69" s="5"/>
      <c r="C69" s="5" t="s">
        <v>2183</v>
      </c>
      <c r="D69" s="28" t="s">
        <v>3639</v>
      </c>
      <c r="E69" s="13">
        <v>260</v>
      </c>
      <c r="F69" s="113">
        <f>E69/11998*100</f>
        <v>2.1670278379729955</v>
      </c>
      <c r="G69" s="13"/>
      <c r="H69" s="113"/>
      <c r="I69" s="5"/>
    </row>
    <row r="70" spans="1:9" x14ac:dyDescent="0.2">
      <c r="A70" s="5"/>
      <c r="B70" s="5"/>
      <c r="C70" s="5"/>
      <c r="D70" s="28"/>
      <c r="E70" s="162" t="s">
        <v>3669</v>
      </c>
      <c r="F70" s="165">
        <f>SUM(F65:F69)</f>
        <v>100</v>
      </c>
      <c r="G70" s="162">
        <v>27680</v>
      </c>
      <c r="H70" s="165">
        <v>43.8</v>
      </c>
      <c r="I70" s="5"/>
    </row>
    <row r="71" spans="1:9" x14ac:dyDescent="0.2">
      <c r="A71" s="5"/>
      <c r="B71" s="5"/>
      <c r="C71" s="5"/>
      <c r="D71" s="28"/>
      <c r="E71" s="13"/>
      <c r="F71" s="113"/>
      <c r="G71" s="13"/>
      <c r="H71" s="113"/>
      <c r="I71" s="5"/>
    </row>
    <row r="72" spans="1:9" x14ac:dyDescent="0.2">
      <c r="A72" s="5" t="s">
        <v>1963</v>
      </c>
      <c r="B72" s="5"/>
      <c r="C72" s="5" t="s">
        <v>3670</v>
      </c>
      <c r="D72" s="5" t="s">
        <v>3275</v>
      </c>
      <c r="E72" s="13">
        <v>4750</v>
      </c>
      <c r="F72" s="113">
        <f t="shared" ref="F72:F77" si="0">E72/16444*100</f>
        <v>28.885915835563125</v>
      </c>
      <c r="G72" s="13"/>
      <c r="H72" s="113"/>
      <c r="I72" s="5"/>
    </row>
    <row r="73" spans="1:9" x14ac:dyDescent="0.2">
      <c r="A73" s="5"/>
      <c r="B73" s="5"/>
      <c r="C73" s="14" t="s">
        <v>3671</v>
      </c>
      <c r="D73" s="28" t="s">
        <v>1736</v>
      </c>
      <c r="E73" s="13">
        <v>7394</v>
      </c>
      <c r="F73" s="113">
        <f t="shared" si="0"/>
        <v>44.96472877645342</v>
      </c>
      <c r="G73" s="13"/>
      <c r="H73" s="113"/>
      <c r="I73" s="5"/>
    </row>
    <row r="74" spans="1:9" x14ac:dyDescent="0.2">
      <c r="A74" s="5"/>
      <c r="B74" s="5"/>
      <c r="C74" s="5" t="s">
        <v>3672</v>
      </c>
      <c r="D74" s="28" t="s">
        <v>3639</v>
      </c>
      <c r="E74" s="13">
        <v>224</v>
      </c>
      <c r="F74" s="113">
        <f t="shared" si="0"/>
        <v>1.3621989783507662</v>
      </c>
      <c r="G74" s="13"/>
      <c r="H74" s="113"/>
      <c r="I74" s="5"/>
    </row>
    <row r="75" spans="1:9" x14ac:dyDescent="0.2">
      <c r="A75" s="5"/>
      <c r="B75" s="5"/>
      <c r="C75" s="5" t="s">
        <v>3673</v>
      </c>
      <c r="D75" s="28" t="s">
        <v>1072</v>
      </c>
      <c r="E75" s="13">
        <v>2646</v>
      </c>
      <c r="F75" s="113">
        <f t="shared" si="0"/>
        <v>16.090975431768424</v>
      </c>
      <c r="G75" s="13"/>
      <c r="H75" s="113"/>
      <c r="I75" s="5"/>
    </row>
    <row r="76" spans="1:9" x14ac:dyDescent="0.2">
      <c r="A76" s="5"/>
      <c r="B76" s="5"/>
      <c r="C76" s="5" t="s">
        <v>3674</v>
      </c>
      <c r="D76" s="5" t="s">
        <v>2103</v>
      </c>
      <c r="E76" s="13">
        <v>534</v>
      </c>
      <c r="F76" s="113">
        <f t="shared" si="0"/>
        <v>3.2473850644612017</v>
      </c>
      <c r="G76" s="13"/>
      <c r="H76" s="113"/>
      <c r="I76" s="5"/>
    </row>
    <row r="77" spans="1:9" x14ac:dyDescent="0.2">
      <c r="A77" s="5"/>
      <c r="B77" s="5"/>
      <c r="C77" s="5" t="s">
        <v>3230</v>
      </c>
      <c r="D77" s="28" t="s">
        <v>655</v>
      </c>
      <c r="E77" s="13">
        <v>896</v>
      </c>
      <c r="F77" s="113">
        <f t="shared" si="0"/>
        <v>5.4487959134030648</v>
      </c>
      <c r="G77" s="13"/>
      <c r="H77" s="113"/>
      <c r="I77" s="5"/>
    </row>
    <row r="78" spans="1:9" x14ac:dyDescent="0.2">
      <c r="A78" s="5"/>
      <c r="B78" s="5"/>
      <c r="C78" s="5"/>
      <c r="D78" s="28"/>
      <c r="E78" s="162" t="s">
        <v>3675</v>
      </c>
      <c r="F78" s="165">
        <f>SUM(F72:F77)</f>
        <v>99.999999999999986</v>
      </c>
      <c r="G78" s="162">
        <v>30415</v>
      </c>
      <c r="H78" s="165">
        <v>54.5</v>
      </c>
      <c r="I78" s="5"/>
    </row>
    <row r="79" spans="1:9" x14ac:dyDescent="0.2">
      <c r="A79" s="5"/>
      <c r="B79" s="5"/>
      <c r="C79" s="5"/>
      <c r="D79" s="28"/>
      <c r="E79" s="13"/>
      <c r="F79" s="113"/>
      <c r="G79" s="13"/>
      <c r="H79" s="113"/>
      <c r="I79" s="5"/>
    </row>
    <row r="80" spans="1:9" x14ac:dyDescent="0.2">
      <c r="A80" s="5" t="s">
        <v>3167</v>
      </c>
      <c r="B80" s="5"/>
      <c r="C80" s="5" t="s">
        <v>3676</v>
      </c>
      <c r="D80" s="28" t="s">
        <v>1072</v>
      </c>
      <c r="E80" s="13">
        <v>780</v>
      </c>
      <c r="F80" s="113">
        <f>E80/13001*100</f>
        <v>5.9995384970386896</v>
      </c>
      <c r="G80" s="13"/>
      <c r="H80" s="113"/>
      <c r="I80" s="5"/>
    </row>
    <row r="81" spans="1:9" x14ac:dyDescent="0.2">
      <c r="A81" s="5"/>
      <c r="B81" s="5"/>
      <c r="C81" s="14" t="s">
        <v>3168</v>
      </c>
      <c r="D81" s="28" t="s">
        <v>1736</v>
      </c>
      <c r="E81" s="13">
        <v>5924</v>
      </c>
      <c r="F81" s="113">
        <f>E81/13001*100</f>
        <v>45.565725713406664</v>
      </c>
      <c r="G81" s="13"/>
      <c r="H81" s="113"/>
      <c r="I81" s="5"/>
    </row>
    <row r="82" spans="1:9" x14ac:dyDescent="0.2">
      <c r="A82" s="5"/>
      <c r="B82" s="5"/>
      <c r="C82" s="5" t="s">
        <v>3677</v>
      </c>
      <c r="D82" s="28" t="s">
        <v>486</v>
      </c>
      <c r="E82" s="13">
        <v>166</v>
      </c>
      <c r="F82" s="113">
        <f>E82/13001*100</f>
        <v>1.2768248596261826</v>
      </c>
      <c r="G82" s="13"/>
      <c r="H82" s="113"/>
      <c r="I82" s="5"/>
    </row>
    <row r="83" spans="1:9" x14ac:dyDescent="0.2">
      <c r="A83" s="5"/>
      <c r="B83" s="5"/>
      <c r="C83" s="5" t="s">
        <v>3678</v>
      </c>
      <c r="D83" s="28" t="s">
        <v>655</v>
      </c>
      <c r="E83" s="13">
        <v>1136</v>
      </c>
      <c r="F83" s="113">
        <f>E83/13001*100</f>
        <v>8.7377894008153234</v>
      </c>
      <c r="G83" s="13"/>
      <c r="H83" s="113"/>
      <c r="I83" s="5"/>
    </row>
    <row r="84" spans="1:9" x14ac:dyDescent="0.2">
      <c r="A84" s="5"/>
      <c r="B84" s="5"/>
      <c r="C84" s="5" t="s">
        <v>3679</v>
      </c>
      <c r="D84" s="5" t="s">
        <v>3275</v>
      </c>
      <c r="E84" s="13">
        <v>4995</v>
      </c>
      <c r="F84" s="113">
        <f>E84/13001*100</f>
        <v>38.420121529113146</v>
      </c>
      <c r="G84" s="13"/>
      <c r="H84" s="113"/>
      <c r="I84" s="5"/>
    </row>
    <row r="85" spans="1:9" x14ac:dyDescent="0.2">
      <c r="A85" s="5"/>
      <c r="B85" s="5"/>
      <c r="C85" s="5"/>
      <c r="D85" s="28"/>
      <c r="E85" s="162" t="s">
        <v>3680</v>
      </c>
      <c r="F85" s="165">
        <f>SUM(F80:F84)</f>
        <v>100</v>
      </c>
      <c r="G85" s="162">
        <v>30196</v>
      </c>
      <c r="H85" s="165">
        <v>43.6</v>
      </c>
      <c r="I85" s="5"/>
    </row>
    <row r="86" spans="1:9" x14ac:dyDescent="0.2">
      <c r="A86" s="5"/>
      <c r="B86" s="5"/>
      <c r="C86" s="5"/>
      <c r="D86" s="28"/>
      <c r="E86" s="13"/>
      <c r="F86" s="113"/>
      <c r="G86" s="13"/>
      <c r="H86" s="113"/>
      <c r="I86" s="5"/>
    </row>
    <row r="87" spans="1:9" x14ac:dyDescent="0.2">
      <c r="A87" s="5" t="s">
        <v>1860</v>
      </c>
      <c r="B87" s="5"/>
      <c r="C87" s="5" t="s">
        <v>3681</v>
      </c>
      <c r="D87" s="28" t="s">
        <v>1072</v>
      </c>
      <c r="E87" s="13">
        <v>1067</v>
      </c>
      <c r="F87" s="113">
        <f t="shared" ref="F87:F92" si="1">E87/19278*100</f>
        <v>5.5348065151986727</v>
      </c>
      <c r="G87" s="13"/>
      <c r="H87" s="113"/>
      <c r="I87" s="5"/>
    </row>
    <row r="88" spans="1:9" x14ac:dyDescent="0.2">
      <c r="A88" s="5"/>
      <c r="B88" s="5"/>
      <c r="C88" s="5" t="s">
        <v>3682</v>
      </c>
      <c r="D88" s="5" t="s">
        <v>2103</v>
      </c>
      <c r="E88" s="13">
        <v>518</v>
      </c>
      <c r="F88" s="113">
        <f t="shared" si="1"/>
        <v>2.6870007262164126</v>
      </c>
      <c r="G88" s="13"/>
      <c r="H88" s="113"/>
      <c r="I88" s="5"/>
    </row>
    <row r="89" spans="1:9" x14ac:dyDescent="0.2">
      <c r="A89" s="5"/>
      <c r="B89" s="5"/>
      <c r="C89" s="5" t="s">
        <v>3683</v>
      </c>
      <c r="D89" s="5" t="s">
        <v>3275</v>
      </c>
      <c r="E89" s="13">
        <v>5509</v>
      </c>
      <c r="F89" s="113">
        <f t="shared" si="1"/>
        <v>28.576615831517792</v>
      </c>
      <c r="G89" s="13"/>
      <c r="H89" s="113"/>
      <c r="I89" s="5"/>
    </row>
    <row r="90" spans="1:9" x14ac:dyDescent="0.2">
      <c r="A90" s="5"/>
      <c r="B90" s="5"/>
      <c r="C90" s="5" t="s">
        <v>3684</v>
      </c>
      <c r="D90" s="28" t="s">
        <v>655</v>
      </c>
      <c r="E90" s="13">
        <v>761</v>
      </c>
      <c r="F90" s="113">
        <f t="shared" si="1"/>
        <v>3.9475049278970844</v>
      </c>
      <c r="G90" s="13"/>
      <c r="H90" s="113"/>
      <c r="I90" s="5"/>
    </row>
    <row r="91" spans="1:9" x14ac:dyDescent="0.2">
      <c r="A91" s="5"/>
      <c r="B91" s="5"/>
      <c r="C91" s="5" t="s">
        <v>3263</v>
      </c>
      <c r="D91" s="28" t="s">
        <v>3639</v>
      </c>
      <c r="E91" s="13">
        <v>225</v>
      </c>
      <c r="F91" s="113">
        <f t="shared" si="1"/>
        <v>1.1671335200746966</v>
      </c>
      <c r="G91" s="13"/>
      <c r="H91" s="113"/>
      <c r="I91" s="5"/>
    </row>
    <row r="92" spans="1:9" x14ac:dyDescent="0.2">
      <c r="A92" s="5"/>
      <c r="B92" s="5"/>
      <c r="C92" s="14" t="s">
        <v>3325</v>
      </c>
      <c r="D92" s="28" t="s">
        <v>1736</v>
      </c>
      <c r="E92" s="13">
        <v>11198</v>
      </c>
      <c r="F92" s="113">
        <f t="shared" si="1"/>
        <v>58.086938479095338</v>
      </c>
      <c r="G92" s="13"/>
      <c r="H92" s="113"/>
      <c r="I92" s="5"/>
    </row>
    <row r="93" spans="1:9" x14ac:dyDescent="0.2">
      <c r="A93" s="5"/>
      <c r="B93" s="5"/>
      <c r="C93" s="5"/>
      <c r="D93" s="28"/>
      <c r="E93" s="162" t="s">
        <v>3685</v>
      </c>
      <c r="F93" s="165">
        <f>SUM(F87:F92)</f>
        <v>100</v>
      </c>
      <c r="G93" s="162">
        <v>33430</v>
      </c>
      <c r="H93" s="165">
        <v>58.3</v>
      </c>
      <c r="I93" s="5"/>
    </row>
    <row r="94" spans="1:9" x14ac:dyDescent="0.2">
      <c r="A94" s="5"/>
      <c r="B94" s="5"/>
      <c r="C94" s="5"/>
      <c r="D94" s="28"/>
      <c r="E94" s="13"/>
      <c r="F94" s="113"/>
      <c r="G94" s="13"/>
      <c r="H94" s="113"/>
      <c r="I94" s="5"/>
    </row>
    <row r="95" spans="1:9" x14ac:dyDescent="0.2">
      <c r="A95" s="5" t="s">
        <v>1865</v>
      </c>
      <c r="B95" s="5"/>
      <c r="C95" s="14" t="s">
        <v>1867</v>
      </c>
      <c r="D95" s="5" t="s">
        <v>3275</v>
      </c>
      <c r="E95" s="13">
        <v>7672</v>
      </c>
      <c r="F95" s="113">
        <f>E95/17460*100</f>
        <v>43.940435280641466</v>
      </c>
      <c r="G95" s="13"/>
      <c r="H95" s="113"/>
      <c r="I95" s="5"/>
    </row>
    <row r="96" spans="1:9" x14ac:dyDescent="0.2">
      <c r="A96" s="5"/>
      <c r="B96" s="5"/>
      <c r="C96" s="5" t="s">
        <v>3686</v>
      </c>
      <c r="D96" s="28" t="s">
        <v>1736</v>
      </c>
      <c r="E96" s="13">
        <v>7634</v>
      </c>
      <c r="F96" s="113">
        <f>E96/17460*100</f>
        <v>43.722794959908363</v>
      </c>
      <c r="G96" s="13"/>
      <c r="H96" s="113"/>
      <c r="I96" s="5"/>
    </row>
    <row r="97" spans="1:9" x14ac:dyDescent="0.2">
      <c r="A97" s="5"/>
      <c r="B97" s="5"/>
      <c r="C97" s="5" t="s">
        <v>2133</v>
      </c>
      <c r="D97" s="28" t="s">
        <v>655</v>
      </c>
      <c r="E97" s="13">
        <v>894</v>
      </c>
      <c r="F97" s="113">
        <f>E97/17460*100</f>
        <v>5.1202749140893467</v>
      </c>
      <c r="G97" s="13"/>
      <c r="H97" s="113"/>
      <c r="I97" s="5"/>
    </row>
    <row r="98" spans="1:9" x14ac:dyDescent="0.2">
      <c r="A98" s="5"/>
      <c r="B98" s="5"/>
      <c r="C98" s="5" t="s">
        <v>3687</v>
      </c>
      <c r="D98" s="28" t="s">
        <v>1072</v>
      </c>
      <c r="E98" s="13">
        <v>1260</v>
      </c>
      <c r="F98" s="113">
        <f>E98/17460*100</f>
        <v>7.216494845360824</v>
      </c>
      <c r="G98" s="13"/>
      <c r="H98" s="113"/>
      <c r="I98" s="5"/>
    </row>
    <row r="99" spans="1:9" x14ac:dyDescent="0.2">
      <c r="A99" s="5"/>
      <c r="B99" s="5"/>
      <c r="C99" s="5"/>
      <c r="D99" s="28"/>
      <c r="E99" s="162" t="s">
        <v>3688</v>
      </c>
      <c r="F99" s="165">
        <f>SUM(F95:F98)</f>
        <v>100.00000000000001</v>
      </c>
      <c r="G99" s="162">
        <v>28668</v>
      </c>
      <c r="H99" s="165">
        <v>61.1</v>
      </c>
      <c r="I99" s="5"/>
    </row>
    <row r="100" spans="1:9" x14ac:dyDescent="0.2">
      <c r="A100" s="5"/>
      <c r="B100" s="5"/>
      <c r="C100" s="5"/>
      <c r="D100" s="28"/>
      <c r="E100" s="13"/>
      <c r="F100" s="113"/>
      <c r="G100" s="13"/>
      <c r="H100" s="113"/>
      <c r="I100" s="5"/>
    </row>
    <row r="101" spans="1:9" x14ac:dyDescent="0.2">
      <c r="A101" s="5" t="s">
        <v>1869</v>
      </c>
      <c r="B101" s="5"/>
      <c r="C101" s="5" t="s">
        <v>3689</v>
      </c>
      <c r="D101" s="28" t="s">
        <v>655</v>
      </c>
      <c r="E101" s="13">
        <v>578</v>
      </c>
      <c r="F101" s="113">
        <f>E101/15378*100</f>
        <v>3.7586162049681362</v>
      </c>
      <c r="G101" s="13"/>
      <c r="H101" s="113"/>
      <c r="I101" s="5"/>
    </row>
    <row r="102" spans="1:9" x14ac:dyDescent="0.2">
      <c r="A102" s="5"/>
      <c r="B102" s="5"/>
      <c r="C102" s="5" t="s">
        <v>3690</v>
      </c>
      <c r="D102" s="28" t="s">
        <v>1072</v>
      </c>
      <c r="E102" s="13">
        <v>1414</v>
      </c>
      <c r="F102" s="113">
        <f>E102/15378*100</f>
        <v>9.1949538301469644</v>
      </c>
      <c r="G102" s="13"/>
      <c r="H102" s="113"/>
      <c r="I102" s="5"/>
    </row>
    <row r="103" spans="1:9" x14ac:dyDescent="0.2">
      <c r="A103" s="5"/>
      <c r="B103" s="5"/>
      <c r="C103" s="5" t="s">
        <v>3691</v>
      </c>
      <c r="D103" s="5" t="s">
        <v>3275</v>
      </c>
      <c r="E103" s="13">
        <v>5135</v>
      </c>
      <c r="F103" s="113">
        <f>E103/15378*100</f>
        <v>33.391858499154637</v>
      </c>
      <c r="G103" s="13"/>
      <c r="H103" s="113"/>
      <c r="I103" s="5"/>
    </row>
    <row r="104" spans="1:9" x14ac:dyDescent="0.2">
      <c r="A104" s="5"/>
      <c r="B104" s="5"/>
      <c r="C104" s="14" t="s">
        <v>2138</v>
      </c>
      <c r="D104" s="28" t="s">
        <v>1736</v>
      </c>
      <c r="E104" s="13">
        <v>8251</v>
      </c>
      <c r="F104" s="113">
        <f>E104/15378*100</f>
        <v>53.654571465730264</v>
      </c>
      <c r="G104" s="13"/>
      <c r="H104" s="113"/>
      <c r="I104" s="5"/>
    </row>
    <row r="105" spans="1:9" x14ac:dyDescent="0.2">
      <c r="A105" s="5"/>
      <c r="B105" s="5"/>
      <c r="C105" s="5"/>
      <c r="D105" s="28"/>
      <c r="E105" s="162" t="s">
        <v>3692</v>
      </c>
      <c r="F105" s="165">
        <f>SUM(F101:F104)</f>
        <v>100</v>
      </c>
      <c r="G105" s="162">
        <v>29806</v>
      </c>
      <c r="H105" s="165">
        <v>52</v>
      </c>
      <c r="I105" s="5"/>
    </row>
    <row r="106" spans="1:9" x14ac:dyDescent="0.2">
      <c r="A106" s="5"/>
      <c r="B106" s="5"/>
      <c r="C106" s="5"/>
      <c r="D106" s="5"/>
      <c r="E106" s="13"/>
      <c r="F106" s="113"/>
      <c r="G106" s="13"/>
      <c r="H106" s="113"/>
      <c r="I106" s="5"/>
    </row>
    <row r="107" spans="1:9" x14ac:dyDescent="0.2">
      <c r="A107" s="5" t="s">
        <v>1873</v>
      </c>
      <c r="B107" s="5"/>
      <c r="C107" s="5" t="s">
        <v>3363</v>
      </c>
      <c r="D107" s="28" t="s">
        <v>1072</v>
      </c>
      <c r="E107" s="13">
        <v>1180</v>
      </c>
      <c r="F107" s="113">
        <f>E107/11859*100</f>
        <v>9.9502487562189064</v>
      </c>
      <c r="G107" s="13"/>
      <c r="H107" s="113"/>
      <c r="I107" s="5"/>
    </row>
    <row r="108" spans="1:9" x14ac:dyDescent="0.2">
      <c r="A108" s="5"/>
      <c r="B108" s="5"/>
      <c r="C108" s="14" t="s">
        <v>1875</v>
      </c>
      <c r="D108" s="28" t="s">
        <v>1736</v>
      </c>
      <c r="E108" s="13">
        <v>4855</v>
      </c>
      <c r="F108" s="113">
        <f>E108/11859*100</f>
        <v>40.939370941900663</v>
      </c>
      <c r="G108" s="13"/>
      <c r="H108" s="113"/>
      <c r="I108" s="5"/>
    </row>
    <row r="109" spans="1:9" x14ac:dyDescent="0.2">
      <c r="A109" s="5"/>
      <c r="B109" s="5"/>
      <c r="C109" s="5" t="s">
        <v>3693</v>
      </c>
      <c r="D109" s="5" t="s">
        <v>3639</v>
      </c>
      <c r="E109" s="13">
        <v>317</v>
      </c>
      <c r="F109" s="113">
        <f>E109/11859*100</f>
        <v>2.6730753014588076</v>
      </c>
      <c r="G109" s="13"/>
      <c r="H109" s="113"/>
      <c r="I109" s="5"/>
    </row>
    <row r="110" spans="1:9" x14ac:dyDescent="0.2">
      <c r="A110" s="5"/>
      <c r="B110" s="5"/>
      <c r="C110" s="5" t="s">
        <v>3694</v>
      </c>
      <c r="D110" s="5" t="s">
        <v>3275</v>
      </c>
      <c r="E110" s="13">
        <v>4711</v>
      </c>
      <c r="F110" s="113">
        <f>E110/11859*100</f>
        <v>39.725103297073957</v>
      </c>
      <c r="G110" s="13"/>
      <c r="H110" s="113"/>
      <c r="I110" s="5"/>
    </row>
    <row r="111" spans="1:9" x14ac:dyDescent="0.2">
      <c r="A111" s="5"/>
      <c r="B111" s="5"/>
      <c r="C111" s="5" t="s">
        <v>3695</v>
      </c>
      <c r="D111" s="28" t="s">
        <v>655</v>
      </c>
      <c r="E111" s="13">
        <v>796</v>
      </c>
      <c r="F111" s="113">
        <f>E111/11859*100</f>
        <v>6.7122017033476684</v>
      </c>
      <c r="G111" s="13"/>
      <c r="H111" s="113"/>
      <c r="I111" s="5"/>
    </row>
    <row r="112" spans="1:9" x14ac:dyDescent="0.2">
      <c r="A112" s="5"/>
      <c r="B112" s="5"/>
      <c r="C112" s="5"/>
      <c r="D112" s="28"/>
      <c r="E112" s="162" t="s">
        <v>3696</v>
      </c>
      <c r="F112" s="165">
        <f>SUM(F107:F111)</f>
        <v>100.00000000000001</v>
      </c>
      <c r="G112" s="162">
        <v>27215</v>
      </c>
      <c r="H112" s="165">
        <v>44</v>
      </c>
      <c r="I112" s="5"/>
    </row>
    <row r="113" spans="1:9" x14ac:dyDescent="0.2">
      <c r="A113" s="5"/>
      <c r="B113" s="5"/>
      <c r="C113" s="5"/>
      <c r="D113" s="28"/>
      <c r="E113" s="13"/>
      <c r="F113" s="113"/>
      <c r="G113" s="13"/>
      <c r="H113" s="113"/>
      <c r="I113" s="5"/>
    </row>
    <row r="114" spans="1:9" x14ac:dyDescent="0.2">
      <c r="A114" s="5" t="s">
        <v>3211</v>
      </c>
      <c r="B114" s="5"/>
      <c r="C114" s="5" t="s">
        <v>3697</v>
      </c>
      <c r="D114" s="28" t="s">
        <v>655</v>
      </c>
      <c r="E114" s="13">
        <v>1208</v>
      </c>
      <c r="F114" s="113">
        <f>E114/20257*100</f>
        <v>5.9633706866762104</v>
      </c>
      <c r="G114" s="13"/>
      <c r="H114" s="113"/>
      <c r="I114" s="5"/>
    </row>
    <row r="115" spans="1:9" x14ac:dyDescent="0.2">
      <c r="A115" s="5"/>
      <c r="B115" s="5"/>
      <c r="C115" s="5" t="s">
        <v>531</v>
      </c>
      <c r="D115" s="5" t="s">
        <v>3275</v>
      </c>
      <c r="E115" s="13">
        <v>7902</v>
      </c>
      <c r="F115" s="113">
        <f>E115/20257*100</f>
        <v>39.008737720294221</v>
      </c>
      <c r="G115" s="13"/>
      <c r="H115" s="113"/>
      <c r="I115" s="5"/>
    </row>
    <row r="116" spans="1:9" x14ac:dyDescent="0.2">
      <c r="A116" s="5"/>
      <c r="B116" s="5"/>
      <c r="C116" s="14" t="s">
        <v>3698</v>
      </c>
      <c r="D116" s="28" t="s">
        <v>1736</v>
      </c>
      <c r="E116" s="13">
        <v>9710</v>
      </c>
      <c r="F116" s="113">
        <f>E116/20257*100</f>
        <v>47.934047489756622</v>
      </c>
      <c r="G116" s="13"/>
      <c r="H116" s="113"/>
      <c r="I116" s="5"/>
    </row>
    <row r="117" spans="1:9" x14ac:dyDescent="0.2">
      <c r="A117" s="5"/>
      <c r="B117" s="5"/>
      <c r="C117" s="5" t="s">
        <v>3699</v>
      </c>
      <c r="D117" s="28" t="s">
        <v>1072</v>
      </c>
      <c r="E117" s="13">
        <v>1437</v>
      </c>
      <c r="F117" s="113">
        <f>E117/20257*100</f>
        <v>7.093844103272942</v>
      </c>
      <c r="G117" s="13"/>
      <c r="H117" s="113"/>
      <c r="I117" s="5"/>
    </row>
    <row r="118" spans="1:9" x14ac:dyDescent="0.2">
      <c r="A118" s="5"/>
      <c r="B118" s="5"/>
      <c r="C118" s="5"/>
      <c r="D118" s="28"/>
      <c r="E118" s="162" t="s">
        <v>3700</v>
      </c>
      <c r="F118" s="165">
        <f>SUM(F114:F117)</f>
        <v>100</v>
      </c>
      <c r="G118" s="162">
        <v>34592</v>
      </c>
      <c r="H118" s="165">
        <v>59</v>
      </c>
      <c r="I118" s="5"/>
    </row>
    <row r="119" spans="1:9" x14ac:dyDescent="0.2">
      <c r="A119" s="5"/>
      <c r="B119" s="5"/>
      <c r="C119" s="5"/>
      <c r="D119" s="28"/>
      <c r="E119" s="13"/>
      <c r="F119" s="113"/>
      <c r="G119" s="13"/>
      <c r="H119" s="113"/>
      <c r="I119" s="5"/>
    </row>
    <row r="120" spans="1:9" x14ac:dyDescent="0.2">
      <c r="A120" s="5" t="s">
        <v>3701</v>
      </c>
      <c r="B120" s="5"/>
      <c r="C120" s="5" t="s">
        <v>3702</v>
      </c>
      <c r="D120" s="28" t="s">
        <v>1072</v>
      </c>
      <c r="E120" s="13">
        <v>1249</v>
      </c>
      <c r="F120" s="113">
        <f>E120/12090*100</f>
        <v>10.330851943755169</v>
      </c>
      <c r="G120" s="13"/>
      <c r="H120" s="113"/>
      <c r="I120" s="5"/>
    </row>
    <row r="121" spans="1:9" x14ac:dyDescent="0.2">
      <c r="A121" s="5"/>
      <c r="B121" s="5"/>
      <c r="C121" s="14" t="s">
        <v>3703</v>
      </c>
      <c r="D121" s="28" t="s">
        <v>1736</v>
      </c>
      <c r="E121" s="13">
        <v>6538</v>
      </c>
      <c r="F121" s="113">
        <f>E121/12090*100</f>
        <v>54.077750206782461</v>
      </c>
      <c r="G121" s="13"/>
      <c r="H121" s="113"/>
      <c r="I121" s="5"/>
    </row>
    <row r="122" spans="1:9" x14ac:dyDescent="0.2">
      <c r="A122" s="5"/>
      <c r="B122" s="5"/>
      <c r="C122" s="5" t="s">
        <v>3365</v>
      </c>
      <c r="D122" s="28" t="s">
        <v>655</v>
      </c>
      <c r="E122" s="13">
        <v>409</v>
      </c>
      <c r="F122" s="113">
        <f>E122/12090*100</f>
        <v>3.3829611248966085</v>
      </c>
      <c r="G122" s="13"/>
      <c r="H122" s="113"/>
      <c r="I122" s="5"/>
    </row>
    <row r="123" spans="1:9" x14ac:dyDescent="0.2">
      <c r="A123" s="5"/>
      <c r="B123" s="5"/>
      <c r="C123" s="5" t="s">
        <v>3368</v>
      </c>
      <c r="D123" s="5" t="s">
        <v>3275</v>
      </c>
      <c r="E123" s="13">
        <v>3894</v>
      </c>
      <c r="F123" s="113">
        <f>E123/12090*100</f>
        <v>32.208436724565757</v>
      </c>
      <c r="G123" s="13"/>
      <c r="H123" s="113"/>
      <c r="I123" s="5"/>
    </row>
    <row r="124" spans="1:9" x14ac:dyDescent="0.2">
      <c r="A124" s="5"/>
      <c r="B124" s="5"/>
      <c r="C124" s="5"/>
      <c r="D124" s="28"/>
      <c r="E124" s="13" t="s">
        <v>3704</v>
      </c>
      <c r="F124" s="165">
        <f>SUM(F120:F123)</f>
        <v>100</v>
      </c>
      <c r="G124" s="13">
        <v>26817</v>
      </c>
      <c r="H124" s="113">
        <v>45.5</v>
      </c>
      <c r="I124" s="5"/>
    </row>
    <row r="125" spans="1:9" x14ac:dyDescent="0.2">
      <c r="A125" s="5"/>
      <c r="B125" s="5"/>
      <c r="C125" s="5"/>
      <c r="D125" s="28"/>
      <c r="E125" s="13"/>
      <c r="F125" s="113"/>
      <c r="G125" s="13"/>
      <c r="H125" s="113"/>
      <c r="I125" s="5"/>
    </row>
    <row r="126" spans="1:9" x14ac:dyDescent="0.2">
      <c r="A126" s="5" t="s">
        <v>3705</v>
      </c>
      <c r="B126" s="5"/>
      <c r="C126" s="5" t="s">
        <v>3379</v>
      </c>
      <c r="D126" s="28" t="s">
        <v>655</v>
      </c>
      <c r="E126" s="13">
        <v>911</v>
      </c>
      <c r="F126" s="113">
        <f>E126/19313*100</f>
        <v>4.7170299798063482</v>
      </c>
      <c r="G126" s="13"/>
      <c r="H126" s="113"/>
      <c r="I126" s="5"/>
    </row>
    <row r="127" spans="1:9" x14ac:dyDescent="0.2">
      <c r="A127" s="5"/>
      <c r="B127" s="5"/>
      <c r="C127" s="5" t="s">
        <v>3706</v>
      </c>
      <c r="D127" s="28" t="s">
        <v>1072</v>
      </c>
      <c r="E127" s="13">
        <v>1632</v>
      </c>
      <c r="F127" s="113">
        <f t="shared" ref="F127:F133" si="2">E127/19313*100</f>
        <v>8.4502666597628533</v>
      </c>
      <c r="G127" s="13"/>
      <c r="H127" s="113"/>
      <c r="I127" s="5"/>
    </row>
    <row r="128" spans="1:9" x14ac:dyDescent="0.2">
      <c r="A128" s="5"/>
      <c r="B128" s="5"/>
      <c r="C128" s="5" t="s">
        <v>3707</v>
      </c>
      <c r="D128" s="28" t="s">
        <v>3639</v>
      </c>
      <c r="E128" s="13">
        <v>199</v>
      </c>
      <c r="F128" s="113">
        <f t="shared" si="2"/>
        <v>1.0303940351058871</v>
      </c>
      <c r="G128" s="13"/>
      <c r="H128" s="113"/>
      <c r="I128" s="5"/>
    </row>
    <row r="129" spans="1:9" x14ac:dyDescent="0.2">
      <c r="A129" s="5"/>
      <c r="B129" s="5"/>
      <c r="C129" s="14" t="s">
        <v>3708</v>
      </c>
      <c r="D129" s="28" t="s">
        <v>1736</v>
      </c>
      <c r="E129" s="13">
        <v>9097</v>
      </c>
      <c r="F129" s="113">
        <f t="shared" si="2"/>
        <v>47.102987624915862</v>
      </c>
      <c r="G129" s="13"/>
      <c r="H129" s="113"/>
      <c r="I129" s="5"/>
    </row>
    <row r="130" spans="1:9" x14ac:dyDescent="0.2">
      <c r="A130" s="5"/>
      <c r="B130" s="5"/>
      <c r="C130" s="5" t="s">
        <v>3300</v>
      </c>
      <c r="D130" s="28" t="s">
        <v>1071</v>
      </c>
      <c r="E130" s="13">
        <v>103</v>
      </c>
      <c r="F130" s="113">
        <f t="shared" si="2"/>
        <v>0.53331952570807228</v>
      </c>
      <c r="G130" s="13"/>
      <c r="H130" s="113"/>
      <c r="I130" s="5"/>
    </row>
    <row r="131" spans="1:9" x14ac:dyDescent="0.2">
      <c r="A131" s="5"/>
      <c r="B131" s="5"/>
      <c r="C131" s="5" t="s">
        <v>3709</v>
      </c>
      <c r="D131" s="28" t="s">
        <v>653</v>
      </c>
      <c r="E131" s="13">
        <v>99</v>
      </c>
      <c r="F131" s="113">
        <f t="shared" si="2"/>
        <v>0.51260808781649669</v>
      </c>
      <c r="G131" s="13"/>
      <c r="H131" s="113"/>
      <c r="I131" s="5"/>
    </row>
    <row r="132" spans="1:9" x14ac:dyDescent="0.2">
      <c r="A132" s="5"/>
      <c r="B132" s="5"/>
      <c r="C132" s="5" t="s">
        <v>3710</v>
      </c>
      <c r="D132" s="28" t="s">
        <v>2103</v>
      </c>
      <c r="E132" s="13">
        <v>242</v>
      </c>
      <c r="F132" s="113">
        <f t="shared" si="2"/>
        <v>1.2530419924403251</v>
      </c>
      <c r="G132" s="13"/>
      <c r="H132" s="113"/>
      <c r="I132" s="5"/>
    </row>
    <row r="133" spans="1:9" x14ac:dyDescent="0.2">
      <c r="A133" s="5"/>
      <c r="B133" s="5"/>
      <c r="C133" s="5" t="s">
        <v>3711</v>
      </c>
      <c r="D133" s="5" t="s">
        <v>3275</v>
      </c>
      <c r="E133" s="13">
        <v>7030</v>
      </c>
      <c r="F133" s="113">
        <f t="shared" si="2"/>
        <v>36.400352094444152</v>
      </c>
      <c r="G133" s="13"/>
      <c r="H133" s="113"/>
      <c r="I133" s="5"/>
    </row>
    <row r="134" spans="1:9" x14ac:dyDescent="0.2">
      <c r="A134" s="5"/>
      <c r="B134" s="5"/>
      <c r="C134" s="5"/>
      <c r="D134" s="28"/>
      <c r="E134" s="13" t="s">
        <v>3712</v>
      </c>
      <c r="F134" s="165">
        <f>SUM(F126:F133)</f>
        <v>100</v>
      </c>
      <c r="G134" s="13">
        <v>33663</v>
      </c>
      <c r="H134" s="113">
        <v>57.8</v>
      </c>
      <c r="I134" s="5"/>
    </row>
    <row r="135" spans="1:9" x14ac:dyDescent="0.2">
      <c r="A135" s="5"/>
      <c r="B135" s="5"/>
      <c r="C135" s="5"/>
      <c r="D135" s="28"/>
      <c r="E135" s="13"/>
      <c r="F135" s="113"/>
      <c r="G135" s="13"/>
      <c r="H135" s="113"/>
      <c r="I135" s="5"/>
    </row>
    <row r="136" spans="1:9" x14ac:dyDescent="0.2">
      <c r="A136" s="5" t="s">
        <v>2042</v>
      </c>
      <c r="B136" s="5"/>
      <c r="C136" s="5" t="s">
        <v>3713</v>
      </c>
      <c r="D136" s="5" t="s">
        <v>3275</v>
      </c>
      <c r="E136" s="13">
        <v>5670</v>
      </c>
      <c r="F136" s="113">
        <f>E136/15650*100</f>
        <v>36.230031948881788</v>
      </c>
      <c r="G136" s="13"/>
      <c r="H136" s="113"/>
      <c r="I136" s="5"/>
    </row>
    <row r="137" spans="1:9" x14ac:dyDescent="0.2">
      <c r="A137" s="5"/>
      <c r="B137" s="5"/>
      <c r="C137" s="5" t="s">
        <v>3714</v>
      </c>
      <c r="D137" s="28" t="s">
        <v>1072</v>
      </c>
      <c r="E137" s="13">
        <v>898</v>
      </c>
      <c r="F137" s="113">
        <f>E137/15650*100</f>
        <v>5.7380191693290739</v>
      </c>
      <c r="G137" s="13"/>
      <c r="H137" s="113"/>
      <c r="I137" s="5"/>
    </row>
    <row r="138" spans="1:9" x14ac:dyDescent="0.2">
      <c r="A138" s="5"/>
      <c r="B138" s="5"/>
      <c r="C138" s="14" t="s">
        <v>3715</v>
      </c>
      <c r="D138" s="28" t="s">
        <v>1736</v>
      </c>
      <c r="E138" s="13">
        <v>8621</v>
      </c>
      <c r="F138" s="113">
        <f>E138/15650*100</f>
        <v>55.086261980830677</v>
      </c>
      <c r="G138" s="13"/>
      <c r="H138" s="113"/>
      <c r="I138" s="5"/>
    </row>
    <row r="139" spans="1:9" x14ac:dyDescent="0.2">
      <c r="A139" s="5"/>
      <c r="B139" s="5"/>
      <c r="C139" s="5" t="s">
        <v>3716</v>
      </c>
      <c r="D139" s="28" t="s">
        <v>655</v>
      </c>
      <c r="E139" s="13">
        <v>461</v>
      </c>
      <c r="F139" s="113">
        <f>E139/15650*100</f>
        <v>2.9456869009584663</v>
      </c>
      <c r="G139" s="13"/>
      <c r="H139" s="113"/>
      <c r="I139" s="5"/>
    </row>
    <row r="140" spans="1:9" x14ac:dyDescent="0.2">
      <c r="A140" s="5"/>
      <c r="B140" s="5"/>
      <c r="C140" s="5"/>
      <c r="D140" s="28"/>
      <c r="E140" s="162" t="s">
        <v>3717</v>
      </c>
      <c r="F140" s="165">
        <f>SUM(F136:F139)</f>
        <v>100</v>
      </c>
      <c r="G140" s="162">
        <v>28749</v>
      </c>
      <c r="H140" s="165">
        <v>54.9</v>
      </c>
      <c r="I140" s="5"/>
    </row>
    <row r="141" spans="1:9" x14ac:dyDescent="0.2">
      <c r="A141" s="5"/>
      <c r="B141" s="5"/>
      <c r="C141" s="5"/>
      <c r="D141" s="28"/>
      <c r="E141" s="13"/>
      <c r="F141" s="113"/>
      <c r="G141" s="13"/>
      <c r="H141" s="113"/>
      <c r="I141" s="5"/>
    </row>
    <row r="142" spans="1:9" x14ac:dyDescent="0.2">
      <c r="A142" s="5" t="s">
        <v>3718</v>
      </c>
      <c r="B142" s="5"/>
      <c r="C142" s="14" t="s">
        <v>3374</v>
      </c>
      <c r="D142" s="28" t="s">
        <v>1736</v>
      </c>
      <c r="E142" s="13">
        <v>6859</v>
      </c>
      <c r="F142" s="113">
        <f>E142/16642*100</f>
        <v>41.214998197332051</v>
      </c>
      <c r="G142" s="13"/>
      <c r="H142" s="113"/>
      <c r="I142" s="5"/>
    </row>
    <row r="143" spans="1:9" x14ac:dyDescent="0.2">
      <c r="A143" s="5"/>
      <c r="B143" s="5"/>
      <c r="C143" s="5" t="s">
        <v>3719</v>
      </c>
      <c r="D143" s="28" t="s">
        <v>3639</v>
      </c>
      <c r="E143" s="13">
        <v>355</v>
      </c>
      <c r="F143" s="113">
        <f>E143/16642*100</f>
        <v>2.1331570724672515</v>
      </c>
      <c r="G143" s="13"/>
      <c r="H143" s="113"/>
      <c r="I143" s="5"/>
    </row>
    <row r="144" spans="1:9" x14ac:dyDescent="0.2">
      <c r="A144" s="5"/>
      <c r="B144" s="5"/>
      <c r="C144" s="5" t="s">
        <v>3720</v>
      </c>
      <c r="D144" s="5" t="s">
        <v>3275</v>
      </c>
      <c r="E144" s="13">
        <v>5754</v>
      </c>
      <c r="F144" s="113">
        <f>E144/16642*100</f>
        <v>34.57517125345511</v>
      </c>
      <c r="G144" s="13"/>
      <c r="H144" s="113"/>
      <c r="I144" s="5"/>
    </row>
    <row r="145" spans="1:9" x14ac:dyDescent="0.2">
      <c r="A145" s="5"/>
      <c r="B145" s="5"/>
      <c r="C145" s="5" t="s">
        <v>3219</v>
      </c>
      <c r="D145" s="28" t="s">
        <v>655</v>
      </c>
      <c r="E145" s="13">
        <v>1689</v>
      </c>
      <c r="F145" s="113">
        <f>E145/16642*100</f>
        <v>10.149020550414614</v>
      </c>
      <c r="G145" s="13"/>
      <c r="H145" s="113"/>
      <c r="I145" s="5"/>
    </row>
    <row r="146" spans="1:9" x14ac:dyDescent="0.2">
      <c r="A146" s="5"/>
      <c r="B146" s="5"/>
      <c r="C146" s="178" t="s">
        <v>3818</v>
      </c>
      <c r="D146" s="28" t="s">
        <v>1072</v>
      </c>
      <c r="E146" s="13">
        <v>1985</v>
      </c>
      <c r="F146" s="113">
        <f>E146/16642*100</f>
        <v>11.927652926330969</v>
      </c>
      <c r="G146" s="13"/>
      <c r="H146" s="113"/>
      <c r="I146" s="5"/>
    </row>
    <row r="147" spans="1:9" x14ac:dyDescent="0.2">
      <c r="A147" s="5"/>
      <c r="B147" s="5"/>
      <c r="C147" s="5"/>
      <c r="D147" s="28"/>
      <c r="E147" s="13" t="s">
        <v>3721</v>
      </c>
      <c r="F147" s="165">
        <f>SUM(F142:F146)</f>
        <v>100</v>
      </c>
      <c r="G147" s="13">
        <v>30131</v>
      </c>
      <c r="H147" s="113">
        <v>55.5</v>
      </c>
      <c r="I147" s="5"/>
    </row>
    <row r="148" spans="1:9" x14ac:dyDescent="0.2">
      <c r="A148" s="5"/>
      <c r="B148" s="5"/>
      <c r="C148" s="5"/>
      <c r="D148" s="28"/>
      <c r="E148" s="13"/>
      <c r="F148" s="113"/>
      <c r="G148" s="13"/>
      <c r="H148" s="113"/>
      <c r="I148" s="5"/>
    </row>
    <row r="149" spans="1:9" x14ac:dyDescent="0.2">
      <c r="A149" s="5" t="s">
        <v>3216</v>
      </c>
      <c r="B149" s="5"/>
      <c r="C149" s="5" t="s">
        <v>3722</v>
      </c>
      <c r="D149" s="5" t="s">
        <v>3275</v>
      </c>
      <c r="E149" s="13">
        <v>5993</v>
      </c>
      <c r="F149" s="113">
        <f>E149/15606*100</f>
        <v>38.401896706394979</v>
      </c>
      <c r="G149" s="13"/>
      <c r="H149" s="113"/>
      <c r="I149" s="5"/>
    </row>
    <row r="150" spans="1:9" x14ac:dyDescent="0.2">
      <c r="A150" s="5"/>
      <c r="B150" s="5"/>
      <c r="C150" s="5" t="s">
        <v>3723</v>
      </c>
      <c r="D150" s="28" t="s">
        <v>655</v>
      </c>
      <c r="E150" s="13">
        <v>618</v>
      </c>
      <c r="F150" s="113">
        <f>E150/15606*100</f>
        <v>3.9600153787004997</v>
      </c>
      <c r="G150" s="13"/>
      <c r="H150" s="113"/>
      <c r="I150" s="5"/>
    </row>
    <row r="151" spans="1:9" x14ac:dyDescent="0.2">
      <c r="A151" s="5"/>
      <c r="B151" s="5"/>
      <c r="C151" s="14" t="s">
        <v>2162</v>
      </c>
      <c r="D151" s="28" t="s">
        <v>1736</v>
      </c>
      <c r="E151" s="13">
        <v>7836</v>
      </c>
      <c r="F151" s="113">
        <f>E151/15606*100</f>
        <v>50.211457131872365</v>
      </c>
      <c r="G151" s="13"/>
      <c r="H151" s="113"/>
      <c r="I151" s="5"/>
    </row>
    <row r="152" spans="1:9" x14ac:dyDescent="0.2">
      <c r="A152" s="5"/>
      <c r="B152" s="5"/>
      <c r="C152" s="5" t="s">
        <v>3724</v>
      </c>
      <c r="D152" s="28" t="s">
        <v>1072</v>
      </c>
      <c r="E152" s="13">
        <v>1159</v>
      </c>
      <c r="F152" s="113">
        <f>E152/15606*100</f>
        <v>7.4266307830321674</v>
      </c>
      <c r="G152" s="13"/>
      <c r="H152" s="113"/>
      <c r="I152" s="5"/>
    </row>
    <row r="153" spans="1:9" x14ac:dyDescent="0.2">
      <c r="A153" s="5"/>
      <c r="B153" s="5"/>
      <c r="C153" s="5"/>
      <c r="D153" s="28"/>
      <c r="E153" s="162" t="s">
        <v>3725</v>
      </c>
      <c r="F153" s="165">
        <f>SUM(F149:F152)</f>
        <v>100.00000000000001</v>
      </c>
      <c r="G153" s="162">
        <v>30445</v>
      </c>
      <c r="H153" s="165">
        <v>51.7</v>
      </c>
      <c r="I153" s="5"/>
    </row>
    <row r="154" spans="1:9" x14ac:dyDescent="0.2">
      <c r="A154" s="5"/>
      <c r="B154" s="5"/>
      <c r="C154" s="5"/>
      <c r="D154" s="28"/>
      <c r="E154" s="13"/>
      <c r="F154" s="113"/>
      <c r="G154" s="13"/>
      <c r="H154" s="113"/>
      <c r="I154" s="5"/>
    </row>
    <row r="155" spans="1:9" x14ac:dyDescent="0.2">
      <c r="A155" s="5" t="s">
        <v>3726</v>
      </c>
      <c r="B155" s="5"/>
      <c r="C155" s="5" t="s">
        <v>3727</v>
      </c>
      <c r="D155" s="5" t="s">
        <v>3275</v>
      </c>
      <c r="E155" s="13">
        <v>5455</v>
      </c>
      <c r="F155" s="113">
        <f>E155/14211*100</f>
        <v>38.385757511786643</v>
      </c>
      <c r="G155" s="13"/>
      <c r="H155" s="113"/>
      <c r="I155" s="5"/>
    </row>
    <row r="156" spans="1:9" x14ac:dyDescent="0.2">
      <c r="A156" s="5"/>
      <c r="B156" s="5"/>
      <c r="C156" s="14" t="s">
        <v>506</v>
      </c>
      <c r="D156" s="28" t="s">
        <v>1736</v>
      </c>
      <c r="E156" s="13">
        <v>6604</v>
      </c>
      <c r="F156" s="113">
        <f>E156/14211*100</f>
        <v>46.471043557807334</v>
      </c>
      <c r="G156" s="13"/>
      <c r="H156" s="113"/>
      <c r="I156" s="5"/>
    </row>
    <row r="157" spans="1:9" x14ac:dyDescent="0.2">
      <c r="A157" s="5"/>
      <c r="B157" s="5"/>
      <c r="C157" s="5" t="s">
        <v>2059</v>
      </c>
      <c r="D157" s="28" t="s">
        <v>1072</v>
      </c>
      <c r="E157" s="13">
        <v>1105</v>
      </c>
      <c r="F157" s="113">
        <f>E157/14211*100</f>
        <v>7.7756667370346904</v>
      </c>
      <c r="G157" s="13"/>
      <c r="H157" s="113"/>
      <c r="I157" s="5"/>
    </row>
    <row r="158" spans="1:9" x14ac:dyDescent="0.2">
      <c r="A158" s="5"/>
      <c r="B158" s="5"/>
      <c r="C158" s="5" t="s">
        <v>3728</v>
      </c>
      <c r="D158" s="28" t="s">
        <v>2103</v>
      </c>
      <c r="E158" s="13">
        <v>207</v>
      </c>
      <c r="F158" s="113">
        <f>E158/14211*100</f>
        <v>1.4566181127295756</v>
      </c>
      <c r="G158" s="13"/>
      <c r="H158" s="113"/>
      <c r="I158" s="5"/>
    </row>
    <row r="159" spans="1:9" x14ac:dyDescent="0.2">
      <c r="A159" s="5"/>
      <c r="B159" s="5"/>
      <c r="C159" s="5" t="s">
        <v>896</v>
      </c>
      <c r="D159" s="28" t="s">
        <v>655</v>
      </c>
      <c r="E159" s="13">
        <v>840</v>
      </c>
      <c r="F159" s="113">
        <f>E159/14211*100</f>
        <v>5.9109140806417564</v>
      </c>
      <c r="G159" s="13"/>
      <c r="H159" s="113"/>
      <c r="I159" s="5"/>
    </row>
    <row r="160" spans="1:9" x14ac:dyDescent="0.2">
      <c r="A160" s="5"/>
      <c r="B160" s="5"/>
      <c r="C160" s="5"/>
      <c r="D160" s="28"/>
      <c r="E160" s="162" t="s">
        <v>3729</v>
      </c>
      <c r="F160" s="165">
        <f>SUM(F155:F159)</f>
        <v>100.00000000000001</v>
      </c>
      <c r="G160" s="162">
        <v>29193</v>
      </c>
      <c r="H160" s="165">
        <v>48.9</v>
      </c>
      <c r="I160" s="5"/>
    </row>
    <row r="161" spans="1:9" x14ac:dyDescent="0.2">
      <c r="A161" s="5"/>
      <c r="B161" s="5"/>
      <c r="C161" s="5"/>
      <c r="D161" s="28"/>
      <c r="E161" s="13"/>
      <c r="F161" s="113"/>
      <c r="G161" s="13"/>
      <c r="H161" s="113"/>
      <c r="I161" s="5"/>
    </row>
    <row r="162" spans="1:9" x14ac:dyDescent="0.2">
      <c r="A162" s="5" t="s">
        <v>3220</v>
      </c>
      <c r="B162" s="5"/>
      <c r="C162" s="5" t="s">
        <v>3360</v>
      </c>
      <c r="D162" s="28" t="s">
        <v>3639</v>
      </c>
      <c r="E162" s="13">
        <v>137</v>
      </c>
      <c r="F162" s="113">
        <f t="shared" ref="F162:F167" si="3">E162/10534*100</f>
        <v>1.3005505980634138</v>
      </c>
      <c r="G162" s="13"/>
      <c r="H162" s="113"/>
      <c r="I162" s="5"/>
    </row>
    <row r="163" spans="1:9" x14ac:dyDescent="0.2">
      <c r="A163" s="5"/>
      <c r="B163" s="5"/>
      <c r="C163" s="5" t="s">
        <v>3730</v>
      </c>
      <c r="D163" s="5" t="s">
        <v>3275</v>
      </c>
      <c r="E163" s="13">
        <v>3185</v>
      </c>
      <c r="F163" s="113">
        <f t="shared" si="3"/>
        <v>30.235428137459653</v>
      </c>
      <c r="G163" s="13"/>
      <c r="H163" s="113"/>
      <c r="I163" s="5"/>
    </row>
    <row r="164" spans="1:9" x14ac:dyDescent="0.2">
      <c r="A164" s="5"/>
      <c r="B164" s="5"/>
      <c r="C164" s="14" t="s">
        <v>2170</v>
      </c>
      <c r="D164" s="28" t="s">
        <v>1072</v>
      </c>
      <c r="E164" s="13">
        <v>3865</v>
      </c>
      <c r="F164" s="113">
        <f t="shared" si="3"/>
        <v>36.690715777482438</v>
      </c>
      <c r="G164" s="13"/>
      <c r="H164" s="113"/>
      <c r="I164" s="5"/>
    </row>
    <row r="165" spans="1:9" x14ac:dyDescent="0.2">
      <c r="A165" s="5"/>
      <c r="B165" s="5"/>
      <c r="C165" s="5" t="s">
        <v>3731</v>
      </c>
      <c r="D165" s="28" t="s">
        <v>1736</v>
      </c>
      <c r="E165" s="13">
        <v>3085</v>
      </c>
      <c r="F165" s="113">
        <f t="shared" si="3"/>
        <v>29.28612113157395</v>
      </c>
      <c r="G165" s="13"/>
      <c r="H165" s="113"/>
      <c r="I165" s="5"/>
    </row>
    <row r="166" spans="1:9" x14ac:dyDescent="0.2">
      <c r="A166" s="5"/>
      <c r="B166" s="5"/>
      <c r="C166" s="5" t="s">
        <v>3732</v>
      </c>
      <c r="D166" s="28" t="s">
        <v>655</v>
      </c>
      <c r="E166" s="13">
        <v>227</v>
      </c>
      <c r="F166" s="113">
        <f t="shared" si="3"/>
        <v>2.1549269033605469</v>
      </c>
      <c r="G166" s="13"/>
      <c r="H166" s="113"/>
      <c r="I166" s="5"/>
    </row>
    <row r="167" spans="1:9" x14ac:dyDescent="0.2">
      <c r="A167" s="5"/>
      <c r="B167" s="5"/>
      <c r="C167" s="5" t="s">
        <v>3733</v>
      </c>
      <c r="D167" s="5" t="s">
        <v>653</v>
      </c>
      <c r="E167" s="5">
        <v>35</v>
      </c>
      <c r="F167" s="113">
        <f t="shared" si="3"/>
        <v>0.33225745205999618</v>
      </c>
      <c r="G167" s="13"/>
      <c r="H167" s="113"/>
      <c r="I167" s="5"/>
    </row>
    <row r="168" spans="1:9" x14ac:dyDescent="0.2">
      <c r="A168" s="5"/>
      <c r="B168" s="5"/>
      <c r="C168" s="5"/>
      <c r="D168" s="28"/>
      <c r="E168" s="162" t="s">
        <v>3734</v>
      </c>
      <c r="F168" s="165">
        <f>SUM(F162:F167)</f>
        <v>99.999999999999986</v>
      </c>
      <c r="G168" s="162">
        <v>23824</v>
      </c>
      <c r="H168" s="165">
        <v>44.6</v>
      </c>
      <c r="I168" s="5"/>
    </row>
    <row r="169" spans="1:9" x14ac:dyDescent="0.2">
      <c r="A169" s="5"/>
      <c r="B169" s="5"/>
      <c r="C169" s="5"/>
      <c r="D169" s="28"/>
      <c r="E169" s="13"/>
      <c r="F169" s="113"/>
      <c r="G169" s="13"/>
      <c r="H169" s="113"/>
      <c r="I169" s="5"/>
    </row>
    <row r="170" spans="1:9" x14ac:dyDescent="0.2">
      <c r="A170" s="5" t="s">
        <v>3231</v>
      </c>
      <c r="B170" s="5"/>
      <c r="C170" s="5" t="s">
        <v>3735</v>
      </c>
      <c r="D170" s="28" t="s">
        <v>1736</v>
      </c>
      <c r="E170" s="13">
        <v>5270</v>
      </c>
      <c r="F170" s="113">
        <f>E170/17196*100</f>
        <v>30.64666201442196</v>
      </c>
      <c r="G170" s="13"/>
      <c r="H170" s="113"/>
      <c r="I170" s="5"/>
    </row>
    <row r="171" spans="1:9" x14ac:dyDescent="0.2">
      <c r="A171" s="5"/>
      <c r="B171" s="5"/>
      <c r="C171" s="5" t="s">
        <v>3736</v>
      </c>
      <c r="D171" s="5" t="s">
        <v>3275</v>
      </c>
      <c r="E171" s="13">
        <v>3915</v>
      </c>
      <c r="F171" s="113">
        <f>E171/17196*100</f>
        <v>22.766922540125613</v>
      </c>
      <c r="G171" s="13"/>
      <c r="H171" s="113"/>
      <c r="I171" s="5"/>
    </row>
    <row r="172" spans="1:9" x14ac:dyDescent="0.2">
      <c r="A172" s="5"/>
      <c r="B172" s="5"/>
      <c r="C172" s="5" t="s">
        <v>3737</v>
      </c>
      <c r="D172" s="28" t="s">
        <v>655</v>
      </c>
      <c r="E172" s="13">
        <v>863</v>
      </c>
      <c r="F172" s="113">
        <f>E172/17196*100</f>
        <v>5.0186089788322867</v>
      </c>
      <c r="G172" s="13"/>
      <c r="H172" s="113"/>
      <c r="I172" s="5"/>
    </row>
    <row r="173" spans="1:9" x14ac:dyDescent="0.2">
      <c r="A173" s="5"/>
      <c r="B173" s="5"/>
      <c r="C173" s="5" t="s">
        <v>3738</v>
      </c>
      <c r="D173" s="28" t="s">
        <v>2103</v>
      </c>
      <c r="E173" s="13">
        <v>230</v>
      </c>
      <c r="F173" s="113">
        <f>E173/17196*100</f>
        <v>1.3375203535705977</v>
      </c>
      <c r="G173" s="13"/>
      <c r="H173" s="113"/>
      <c r="I173" s="5"/>
    </row>
    <row r="174" spans="1:9" x14ac:dyDescent="0.2">
      <c r="A174" s="5"/>
      <c r="B174" s="5"/>
      <c r="C174" s="14" t="s">
        <v>2179</v>
      </c>
      <c r="D174" s="28" t="s">
        <v>1072</v>
      </c>
      <c r="E174" s="13">
        <v>6918</v>
      </c>
      <c r="F174" s="113">
        <f>E174/17196*100</f>
        <v>40.230286113049544</v>
      </c>
      <c r="G174" s="13"/>
      <c r="H174" s="113"/>
      <c r="I174" s="5"/>
    </row>
    <row r="175" spans="1:9" x14ac:dyDescent="0.2">
      <c r="A175" s="5"/>
      <c r="B175" s="5"/>
      <c r="C175" s="5"/>
      <c r="D175" s="28"/>
      <c r="E175" s="162" t="s">
        <v>3739</v>
      </c>
      <c r="F175" s="165">
        <f>SUM(F170:F174)</f>
        <v>100</v>
      </c>
      <c r="G175" s="162">
        <v>29988</v>
      </c>
      <c r="H175" s="165">
        <v>57.7</v>
      </c>
      <c r="I175" s="5"/>
    </row>
    <row r="176" spans="1:9" x14ac:dyDescent="0.2">
      <c r="A176" s="5"/>
      <c r="B176" s="5"/>
      <c r="C176" s="5"/>
      <c r="D176" s="28"/>
      <c r="E176" s="13"/>
      <c r="F176" s="113"/>
      <c r="G176" s="13"/>
      <c r="H176" s="113"/>
      <c r="I176" s="5"/>
    </row>
    <row r="177" spans="1:9" x14ac:dyDescent="0.2">
      <c r="A177" s="5" t="s">
        <v>3240</v>
      </c>
      <c r="B177" s="5"/>
      <c r="C177" s="5" t="s">
        <v>3740</v>
      </c>
      <c r="D177" s="5" t="s">
        <v>3275</v>
      </c>
      <c r="E177" s="13">
        <v>6882</v>
      </c>
      <c r="F177" s="113">
        <f t="shared" ref="F177:F182" si="4">E177/18039*100</f>
        <v>38.150673540661899</v>
      </c>
      <c r="G177" s="13"/>
      <c r="H177" s="113"/>
      <c r="I177" s="5"/>
    </row>
    <row r="178" spans="1:9" x14ac:dyDescent="0.2">
      <c r="A178" s="5"/>
      <c r="B178" s="5"/>
      <c r="C178" s="5" t="s">
        <v>3553</v>
      </c>
      <c r="D178" s="5" t="s">
        <v>3639</v>
      </c>
      <c r="E178" s="13">
        <v>150</v>
      </c>
      <c r="F178" s="113">
        <f t="shared" si="4"/>
        <v>0.83153168135705979</v>
      </c>
      <c r="G178" s="13"/>
      <c r="H178" s="113"/>
      <c r="I178" s="5"/>
    </row>
    <row r="179" spans="1:9" x14ac:dyDescent="0.2">
      <c r="A179" s="5"/>
      <c r="B179" s="5"/>
      <c r="C179" s="14" t="s">
        <v>3741</v>
      </c>
      <c r="D179" s="28" t="s">
        <v>1736</v>
      </c>
      <c r="E179" s="13">
        <v>9165</v>
      </c>
      <c r="F179" s="113">
        <f t="shared" si="4"/>
        <v>50.806585730916339</v>
      </c>
      <c r="G179" s="13"/>
      <c r="H179" s="113"/>
      <c r="I179" s="5"/>
    </row>
    <row r="180" spans="1:9" x14ac:dyDescent="0.2">
      <c r="A180" s="5"/>
      <c r="B180" s="5"/>
      <c r="C180" s="5" t="s">
        <v>3742</v>
      </c>
      <c r="D180" s="28" t="s">
        <v>655</v>
      </c>
      <c r="E180" s="13">
        <v>554</v>
      </c>
      <c r="F180" s="113">
        <f t="shared" si="4"/>
        <v>3.0711236764787406</v>
      </c>
      <c r="G180" s="13"/>
      <c r="H180" s="113"/>
      <c r="I180" s="5"/>
    </row>
    <row r="181" spans="1:9" x14ac:dyDescent="0.2">
      <c r="A181" s="5"/>
      <c r="B181" s="5"/>
      <c r="C181" s="5" t="s">
        <v>3743</v>
      </c>
      <c r="D181" s="28" t="s">
        <v>2103</v>
      </c>
      <c r="E181" s="13">
        <v>123</v>
      </c>
      <c r="F181" s="113">
        <f t="shared" si="4"/>
        <v>0.68185597871278902</v>
      </c>
      <c r="G181" s="13"/>
      <c r="H181" s="113"/>
      <c r="I181" s="5"/>
    </row>
    <row r="182" spans="1:9" x14ac:dyDescent="0.2">
      <c r="A182" s="5"/>
      <c r="B182" s="5"/>
      <c r="C182" s="5" t="s">
        <v>3744</v>
      </c>
      <c r="D182" s="28" t="s">
        <v>1072</v>
      </c>
      <c r="E182" s="13">
        <v>1165</v>
      </c>
      <c r="F182" s="113">
        <f t="shared" si="4"/>
        <v>6.4582293918731635</v>
      </c>
      <c r="G182" s="13"/>
      <c r="H182" s="113"/>
      <c r="I182" s="5"/>
    </row>
    <row r="183" spans="1:9" x14ac:dyDescent="0.2">
      <c r="A183" s="5"/>
      <c r="B183" s="5"/>
      <c r="C183" s="5"/>
      <c r="D183" s="28"/>
      <c r="E183" s="162" t="s">
        <v>3745</v>
      </c>
      <c r="F183" s="165">
        <f>SUM(F177:F182)</f>
        <v>99.999999999999986</v>
      </c>
      <c r="G183" s="169">
        <v>30562</v>
      </c>
      <c r="H183" s="165">
        <v>59.3</v>
      </c>
      <c r="I183" s="5"/>
    </row>
    <row r="184" spans="1:9" x14ac:dyDescent="0.2">
      <c r="A184" s="5"/>
      <c r="B184" s="5"/>
      <c r="C184" s="5"/>
      <c r="D184" s="28"/>
      <c r="E184" s="13"/>
      <c r="F184" s="113"/>
      <c r="G184" s="13"/>
      <c r="H184" s="113"/>
      <c r="I184" s="5"/>
    </row>
    <row r="185" spans="1:9" x14ac:dyDescent="0.2">
      <c r="A185" s="5" t="s">
        <v>3746</v>
      </c>
      <c r="B185" s="5"/>
      <c r="C185" s="5" t="s">
        <v>3747</v>
      </c>
      <c r="D185" s="28" t="s">
        <v>1072</v>
      </c>
      <c r="E185" s="13">
        <v>1198</v>
      </c>
      <c r="F185" s="113">
        <f>E185/14880*100</f>
        <v>8.051075268817204</v>
      </c>
      <c r="G185" s="13"/>
      <c r="H185" s="113"/>
      <c r="I185" s="5"/>
    </row>
    <row r="186" spans="1:9" x14ac:dyDescent="0.2">
      <c r="A186" s="5"/>
      <c r="B186" s="5"/>
      <c r="C186" s="5" t="s">
        <v>3748</v>
      </c>
      <c r="D186" s="5" t="s">
        <v>3275</v>
      </c>
      <c r="E186" s="13">
        <v>5548</v>
      </c>
      <c r="F186" s="113">
        <f>E186/14880*100</f>
        <v>37.284946236559144</v>
      </c>
      <c r="G186" s="13"/>
      <c r="H186" s="113"/>
      <c r="I186" s="5"/>
    </row>
    <row r="187" spans="1:9" x14ac:dyDescent="0.2">
      <c r="A187" s="5"/>
      <c r="B187" s="5"/>
      <c r="C187" s="5" t="s">
        <v>3749</v>
      </c>
      <c r="D187" s="28" t="s">
        <v>655</v>
      </c>
      <c r="E187" s="13">
        <v>762</v>
      </c>
      <c r="F187" s="113">
        <f>E187/14880*100</f>
        <v>5.120967741935484</v>
      </c>
      <c r="G187" s="13"/>
      <c r="H187" s="113"/>
      <c r="I187" s="5"/>
    </row>
    <row r="188" spans="1:9" x14ac:dyDescent="0.2">
      <c r="A188" s="5"/>
      <c r="B188" s="5"/>
      <c r="C188" s="14" t="s">
        <v>3358</v>
      </c>
      <c r="D188" s="28" t="s">
        <v>1736</v>
      </c>
      <c r="E188" s="13">
        <v>7372</v>
      </c>
      <c r="F188" s="113">
        <f>E188/14880*100</f>
        <v>49.543010752688168</v>
      </c>
      <c r="G188" s="13"/>
      <c r="H188" s="113"/>
      <c r="I188" s="5"/>
    </row>
    <row r="189" spans="1:9" x14ac:dyDescent="0.2">
      <c r="A189" s="5"/>
      <c r="B189" s="5"/>
      <c r="C189" s="5"/>
      <c r="D189" s="28"/>
      <c r="E189" s="162" t="s">
        <v>3750</v>
      </c>
      <c r="F189" s="165">
        <f>SUM(F185:F188)</f>
        <v>100</v>
      </c>
      <c r="G189" s="162">
        <v>33046</v>
      </c>
      <c r="H189" s="165">
        <v>45.3</v>
      </c>
      <c r="I189" s="5"/>
    </row>
    <row r="190" spans="1:9" x14ac:dyDescent="0.2">
      <c r="A190" s="5"/>
      <c r="B190" s="5"/>
      <c r="C190" s="5"/>
      <c r="D190" s="28"/>
      <c r="E190" s="13"/>
      <c r="F190" s="113"/>
      <c r="G190" s="13"/>
      <c r="H190" s="113"/>
      <c r="I190" s="5"/>
    </row>
    <row r="191" spans="1:9" x14ac:dyDescent="0.2">
      <c r="A191" s="5" t="s">
        <v>1176</v>
      </c>
      <c r="B191" s="5"/>
      <c r="C191" s="5" t="s">
        <v>3751</v>
      </c>
      <c r="D191" s="28" t="s">
        <v>1736</v>
      </c>
      <c r="E191" s="13">
        <v>6864</v>
      </c>
      <c r="F191" s="113">
        <f>E191/16291*100</f>
        <v>42.133693450371375</v>
      </c>
      <c r="G191" s="13"/>
      <c r="H191" s="113"/>
      <c r="I191" s="5"/>
    </row>
    <row r="192" spans="1:9" x14ac:dyDescent="0.2">
      <c r="A192" s="5"/>
      <c r="B192" s="5"/>
      <c r="C192" s="5" t="s">
        <v>3752</v>
      </c>
      <c r="D192" s="28" t="s">
        <v>2103</v>
      </c>
      <c r="E192" s="13">
        <v>337</v>
      </c>
      <c r="F192" s="113">
        <f>E192/16291*100</f>
        <v>2.0686268491805291</v>
      </c>
      <c r="G192" s="13"/>
      <c r="H192" s="113"/>
      <c r="I192" s="5"/>
    </row>
    <row r="193" spans="1:9" x14ac:dyDescent="0.2">
      <c r="A193" s="5"/>
      <c r="B193" s="5"/>
      <c r="C193" s="5" t="s">
        <v>3753</v>
      </c>
      <c r="D193" s="28" t="s">
        <v>655</v>
      </c>
      <c r="E193" s="13">
        <v>599</v>
      </c>
      <c r="F193" s="113">
        <f>E193/16291*100</f>
        <v>3.6768768031428394</v>
      </c>
      <c r="G193" s="13"/>
      <c r="H193" s="113"/>
      <c r="I193" s="5"/>
    </row>
    <row r="194" spans="1:9" x14ac:dyDescent="0.2">
      <c r="A194" s="5"/>
      <c r="B194" s="5"/>
      <c r="C194" s="5" t="s">
        <v>514</v>
      </c>
      <c r="D194" s="28" t="s">
        <v>1072</v>
      </c>
      <c r="E194" s="13">
        <v>1126</v>
      </c>
      <c r="F194" s="113">
        <f>E194/16291*100</f>
        <v>6.91179178687619</v>
      </c>
      <c r="G194" s="13"/>
      <c r="H194" s="113"/>
      <c r="I194" s="5"/>
    </row>
    <row r="195" spans="1:9" x14ac:dyDescent="0.2">
      <c r="A195" s="5"/>
      <c r="B195" s="5"/>
      <c r="C195" s="14" t="s">
        <v>3754</v>
      </c>
      <c r="D195" s="5" t="s">
        <v>3275</v>
      </c>
      <c r="E195" s="13">
        <v>7365</v>
      </c>
      <c r="F195" s="113">
        <f>E195/16291*100</f>
        <v>45.209011110429067</v>
      </c>
      <c r="G195" s="13"/>
      <c r="H195" s="113"/>
      <c r="I195" s="5"/>
    </row>
    <row r="196" spans="1:9" x14ac:dyDescent="0.2">
      <c r="A196" s="5"/>
      <c r="B196" s="5"/>
      <c r="C196" s="5"/>
      <c r="D196" s="28"/>
      <c r="E196" s="162" t="s">
        <v>3755</v>
      </c>
      <c r="F196" s="165">
        <f>SUM(F191:F195)</f>
        <v>100</v>
      </c>
      <c r="G196" s="162">
        <v>30185</v>
      </c>
      <c r="H196" s="165">
        <v>54.4</v>
      </c>
      <c r="I196" s="5"/>
    </row>
    <row r="197" spans="1:9" x14ac:dyDescent="0.2">
      <c r="A197" s="5"/>
      <c r="B197" s="5"/>
      <c r="C197" s="5"/>
      <c r="D197" s="28"/>
      <c r="E197" s="13"/>
      <c r="F197" s="113"/>
      <c r="G197" s="13"/>
      <c r="H197" s="113"/>
      <c r="I197" s="5"/>
    </row>
    <row r="198" spans="1:9" x14ac:dyDescent="0.2">
      <c r="A198" s="5" t="s">
        <v>368</v>
      </c>
      <c r="B198" s="5"/>
      <c r="C198" s="5" t="s">
        <v>3756</v>
      </c>
      <c r="D198" s="28" t="s">
        <v>1072</v>
      </c>
      <c r="E198" s="13">
        <v>755</v>
      </c>
      <c r="F198" s="113">
        <f>E198/14756*100</f>
        <v>5.1165627541339118</v>
      </c>
      <c r="G198" s="13"/>
      <c r="H198" s="113"/>
      <c r="I198" s="5"/>
    </row>
    <row r="199" spans="1:9" x14ac:dyDescent="0.2">
      <c r="A199" s="5"/>
      <c r="B199" s="5"/>
      <c r="C199" s="14" t="s">
        <v>3757</v>
      </c>
      <c r="D199" s="28" t="s">
        <v>1736</v>
      </c>
      <c r="E199" s="13">
        <v>7161</v>
      </c>
      <c r="F199" s="113">
        <f>E199/14756*100</f>
        <v>48.529411764705884</v>
      </c>
      <c r="G199" s="13"/>
      <c r="H199" s="113"/>
      <c r="I199" s="5"/>
    </row>
    <row r="200" spans="1:9" x14ac:dyDescent="0.2">
      <c r="A200" s="5"/>
      <c r="B200" s="5"/>
      <c r="C200" s="5" t="s">
        <v>3758</v>
      </c>
      <c r="D200" s="5" t="s">
        <v>3275</v>
      </c>
      <c r="E200" s="13">
        <v>6357</v>
      </c>
      <c r="F200" s="113">
        <f>E200/14756*100</f>
        <v>43.080780699376525</v>
      </c>
      <c r="G200" s="13"/>
      <c r="H200" s="113"/>
      <c r="I200" s="5"/>
    </row>
    <row r="201" spans="1:9" x14ac:dyDescent="0.2">
      <c r="A201" s="5"/>
      <c r="B201" s="5"/>
      <c r="C201" s="5" t="s">
        <v>3759</v>
      </c>
      <c r="D201" s="28" t="s">
        <v>655</v>
      </c>
      <c r="E201" s="13">
        <v>483</v>
      </c>
      <c r="F201" s="113">
        <f>E201/14756*100</f>
        <v>3.2732447817836809</v>
      </c>
      <c r="G201" s="13"/>
      <c r="H201" s="113"/>
      <c r="I201" s="5"/>
    </row>
    <row r="202" spans="1:9" x14ac:dyDescent="0.2">
      <c r="A202" s="5"/>
      <c r="B202" s="5"/>
      <c r="C202" s="5"/>
      <c r="D202" s="28"/>
      <c r="E202" s="13" t="s">
        <v>3760</v>
      </c>
      <c r="F202" s="165">
        <f>SUM(F198:F201)</f>
        <v>99.999999999999986</v>
      </c>
      <c r="G202" s="13">
        <v>30914</v>
      </c>
      <c r="H202" s="113">
        <v>47.9</v>
      </c>
      <c r="I202" s="5"/>
    </row>
    <row r="203" spans="1:9" x14ac:dyDescent="0.2">
      <c r="A203" s="5"/>
      <c r="B203" s="5"/>
      <c r="C203" s="5"/>
      <c r="D203" s="28"/>
      <c r="E203" s="13"/>
      <c r="F203" s="113"/>
      <c r="G203" s="13"/>
      <c r="H203" s="113"/>
      <c r="I203" s="5"/>
    </row>
    <row r="204" spans="1:9" x14ac:dyDescent="0.2">
      <c r="A204" s="5"/>
      <c r="B204" s="5"/>
      <c r="C204" s="5"/>
      <c r="D204" s="28"/>
      <c r="E204" s="13"/>
      <c r="F204" s="113"/>
      <c r="G204" s="13"/>
      <c r="H204" s="113"/>
      <c r="I204" s="5"/>
    </row>
    <row r="205" spans="1:9" x14ac:dyDescent="0.2">
      <c r="A205" s="5" t="s">
        <v>1183</v>
      </c>
      <c r="B205" s="5"/>
      <c r="C205" s="14" t="s">
        <v>3761</v>
      </c>
      <c r="D205" s="28" t="s">
        <v>1736</v>
      </c>
      <c r="E205" s="13">
        <v>8099</v>
      </c>
      <c r="F205" s="113">
        <f t="shared" ref="F205:F210" si="5">E205/17643*100</f>
        <v>45.904891458368759</v>
      </c>
      <c r="G205" s="13"/>
      <c r="H205" s="113"/>
      <c r="I205" s="5"/>
    </row>
    <row r="206" spans="1:9" x14ac:dyDescent="0.2">
      <c r="A206" s="5"/>
      <c r="B206" s="5"/>
      <c r="C206" s="5" t="s">
        <v>3762</v>
      </c>
      <c r="D206" s="28" t="s">
        <v>2103</v>
      </c>
      <c r="E206" s="13">
        <v>255</v>
      </c>
      <c r="F206" s="113">
        <f t="shared" si="5"/>
        <v>1.4453324264580854</v>
      </c>
      <c r="G206" s="13"/>
      <c r="H206" s="113"/>
      <c r="I206" s="5"/>
    </row>
    <row r="207" spans="1:9" x14ac:dyDescent="0.2">
      <c r="A207" s="5"/>
      <c r="B207" s="5"/>
      <c r="C207" s="5" t="s">
        <v>3763</v>
      </c>
      <c r="D207" s="28" t="s">
        <v>1072</v>
      </c>
      <c r="E207" s="13">
        <v>3614</v>
      </c>
      <c r="F207" s="113">
        <f t="shared" si="5"/>
        <v>20.484044663605964</v>
      </c>
      <c r="G207" s="13"/>
      <c r="H207" s="113"/>
      <c r="I207" s="5"/>
    </row>
    <row r="208" spans="1:9" x14ac:dyDescent="0.2">
      <c r="A208" s="5"/>
      <c r="B208" s="5"/>
      <c r="C208" s="5" t="s">
        <v>3764</v>
      </c>
      <c r="D208" s="28" t="s">
        <v>655</v>
      </c>
      <c r="E208" s="13">
        <v>817</v>
      </c>
      <c r="F208" s="113">
        <f t="shared" si="5"/>
        <v>4.6307317349657087</v>
      </c>
      <c r="G208" s="13"/>
      <c r="H208" s="113"/>
      <c r="I208" s="5"/>
    </row>
    <row r="209" spans="1:9" x14ac:dyDescent="0.2">
      <c r="A209" s="5"/>
      <c r="B209" s="5"/>
      <c r="C209" s="5" t="s">
        <v>3765</v>
      </c>
      <c r="D209" s="5" t="s">
        <v>3275</v>
      </c>
      <c r="E209" s="13">
        <v>4624</v>
      </c>
      <c r="F209" s="113">
        <f t="shared" si="5"/>
        <v>26.208694666439946</v>
      </c>
      <c r="G209" s="13"/>
      <c r="H209" s="113"/>
      <c r="I209" s="5"/>
    </row>
    <row r="210" spans="1:9" x14ac:dyDescent="0.2">
      <c r="A210" s="5"/>
      <c r="B210" s="5"/>
      <c r="C210" s="5" t="s">
        <v>3766</v>
      </c>
      <c r="D210" s="28" t="s">
        <v>3639</v>
      </c>
      <c r="E210" s="13">
        <v>234</v>
      </c>
      <c r="F210" s="113">
        <f t="shared" si="5"/>
        <v>1.326305050161537</v>
      </c>
      <c r="G210" s="13"/>
      <c r="H210" s="113"/>
      <c r="I210" s="5"/>
    </row>
    <row r="211" spans="1:9" x14ac:dyDescent="0.2">
      <c r="A211" s="5"/>
      <c r="B211" s="5"/>
      <c r="C211" s="5"/>
      <c r="D211" s="28"/>
      <c r="E211" s="162" t="s">
        <v>3767</v>
      </c>
      <c r="F211" s="165">
        <f>SUM(F205:F210)</f>
        <v>100.00000000000001</v>
      </c>
      <c r="G211" s="162">
        <v>29688</v>
      </c>
      <c r="H211" s="165">
        <v>59.7</v>
      </c>
      <c r="I211" s="5"/>
    </row>
    <row r="212" spans="1:9" x14ac:dyDescent="0.2">
      <c r="A212" s="5"/>
      <c r="B212" s="5"/>
      <c r="C212" s="5"/>
      <c r="D212" s="28"/>
      <c r="E212" s="13"/>
      <c r="F212" s="113"/>
      <c r="G212" s="13"/>
      <c r="H212" s="113"/>
      <c r="I212" s="5"/>
    </row>
    <row r="213" spans="1:9" x14ac:dyDescent="0.2">
      <c r="A213" s="5" t="s">
        <v>1188</v>
      </c>
      <c r="B213" s="5"/>
      <c r="C213" s="5" t="s">
        <v>3768</v>
      </c>
      <c r="D213" s="5" t="s">
        <v>3275</v>
      </c>
      <c r="E213" s="13">
        <v>6094</v>
      </c>
      <c r="F213" s="113">
        <f t="shared" ref="F213:F218" si="6">E213/16342*100</f>
        <v>37.290417329580222</v>
      </c>
      <c r="G213" s="13"/>
      <c r="H213" s="113"/>
      <c r="I213" s="5"/>
    </row>
    <row r="214" spans="1:9" x14ac:dyDescent="0.2">
      <c r="A214" s="5"/>
      <c r="B214" s="5"/>
      <c r="C214" s="5" t="s">
        <v>3769</v>
      </c>
      <c r="D214" s="28" t="s">
        <v>2103</v>
      </c>
      <c r="E214" s="13">
        <v>158</v>
      </c>
      <c r="F214" s="113">
        <f t="shared" si="6"/>
        <v>0.96683392485619868</v>
      </c>
      <c r="G214" s="13"/>
      <c r="H214" s="113"/>
      <c r="I214" s="5"/>
    </row>
    <row r="215" spans="1:9" x14ac:dyDescent="0.2">
      <c r="A215" s="5"/>
      <c r="B215" s="5"/>
      <c r="C215" s="5" t="s">
        <v>3770</v>
      </c>
      <c r="D215" s="28" t="s">
        <v>3639</v>
      </c>
      <c r="E215" s="13">
        <v>212</v>
      </c>
      <c r="F215" s="113">
        <f t="shared" si="6"/>
        <v>1.297270835883001</v>
      </c>
      <c r="G215" s="13"/>
      <c r="H215" s="113"/>
      <c r="I215" s="5"/>
    </row>
    <row r="216" spans="1:9" x14ac:dyDescent="0.2">
      <c r="A216" s="5"/>
      <c r="B216" s="5"/>
      <c r="C216" s="14" t="s">
        <v>3771</v>
      </c>
      <c r="D216" s="28" t="s">
        <v>1736</v>
      </c>
      <c r="E216" s="13">
        <v>8160</v>
      </c>
      <c r="F216" s="113">
        <f t="shared" si="6"/>
        <v>49.932688777383426</v>
      </c>
      <c r="G216" s="13"/>
      <c r="H216" s="113"/>
      <c r="I216" s="5"/>
    </row>
    <row r="217" spans="1:9" x14ac:dyDescent="0.2">
      <c r="A217" s="5"/>
      <c r="B217" s="5"/>
      <c r="C217" s="5" t="s">
        <v>3772</v>
      </c>
      <c r="D217" s="28" t="s">
        <v>1072</v>
      </c>
      <c r="E217" s="13">
        <v>1219</v>
      </c>
      <c r="F217" s="113">
        <f t="shared" si="6"/>
        <v>7.459307306327255</v>
      </c>
      <c r="G217" s="13"/>
      <c r="H217" s="113"/>
      <c r="I217" s="5"/>
    </row>
    <row r="218" spans="1:9" x14ac:dyDescent="0.2">
      <c r="A218" s="5"/>
      <c r="B218" s="5"/>
      <c r="C218" s="5" t="s">
        <v>3773</v>
      </c>
      <c r="D218" s="28" t="s">
        <v>655</v>
      </c>
      <c r="E218" s="13">
        <v>499</v>
      </c>
      <c r="F218" s="113">
        <f t="shared" si="6"/>
        <v>3.0534818259698935</v>
      </c>
      <c r="G218" s="13"/>
      <c r="H218" s="113"/>
      <c r="I218" s="5"/>
    </row>
    <row r="219" spans="1:9" x14ac:dyDescent="0.2">
      <c r="A219" s="5"/>
      <c r="B219" s="5"/>
      <c r="C219" s="5"/>
      <c r="D219" s="28"/>
      <c r="E219" s="162" t="s">
        <v>3774</v>
      </c>
      <c r="F219" s="165">
        <f>SUM(F213:F218)</f>
        <v>100</v>
      </c>
      <c r="G219" s="162">
        <v>27975</v>
      </c>
      <c r="H219" s="165">
        <v>58.8</v>
      </c>
      <c r="I219" s="5"/>
    </row>
    <row r="220" spans="1:9" x14ac:dyDescent="0.2">
      <c r="A220" s="5"/>
      <c r="B220" s="5"/>
      <c r="C220" s="5"/>
      <c r="D220" s="28"/>
      <c r="E220" s="13"/>
      <c r="F220" s="113"/>
      <c r="G220" s="13"/>
      <c r="H220" s="113"/>
      <c r="I220" s="5"/>
    </row>
    <row r="221" spans="1:9" x14ac:dyDescent="0.2">
      <c r="A221" s="77" t="s">
        <v>1023</v>
      </c>
      <c r="B221" s="5"/>
      <c r="C221" s="14" t="s">
        <v>3775</v>
      </c>
      <c r="D221" s="5" t="s">
        <v>3275</v>
      </c>
      <c r="E221" s="13">
        <v>6116</v>
      </c>
      <c r="F221" s="113">
        <f>E221/11208*100</f>
        <v>54.568165596002856</v>
      </c>
      <c r="G221" s="13"/>
      <c r="H221" s="113"/>
      <c r="I221" s="5"/>
    </row>
    <row r="222" spans="1:9" x14ac:dyDescent="0.2">
      <c r="A222" s="5"/>
      <c r="B222" s="5"/>
      <c r="C222" s="5" t="s">
        <v>3776</v>
      </c>
      <c r="D222" s="28" t="s">
        <v>655</v>
      </c>
      <c r="E222" s="13">
        <v>482</v>
      </c>
      <c r="F222" s="113">
        <f>E222/11208*100</f>
        <v>4.3004996431120626</v>
      </c>
      <c r="G222" s="13"/>
      <c r="H222" s="113"/>
      <c r="I222" s="5"/>
    </row>
    <row r="223" spans="1:9" x14ac:dyDescent="0.2">
      <c r="A223" s="5"/>
      <c r="B223" s="5"/>
      <c r="C223" s="5" t="s">
        <v>3538</v>
      </c>
      <c r="D223" s="28" t="s">
        <v>1072</v>
      </c>
      <c r="E223" s="13">
        <v>341</v>
      </c>
      <c r="F223" s="113">
        <f>E223/11208*100</f>
        <v>3.0424696645253388</v>
      </c>
      <c r="G223" s="13"/>
      <c r="H223" s="113"/>
      <c r="I223" s="5"/>
    </row>
    <row r="224" spans="1:9" x14ac:dyDescent="0.2">
      <c r="A224" s="5"/>
      <c r="B224" s="5"/>
      <c r="C224" s="5" t="s">
        <v>3777</v>
      </c>
      <c r="D224" s="28" t="s">
        <v>1736</v>
      </c>
      <c r="E224" s="13">
        <v>4269</v>
      </c>
      <c r="F224" s="113">
        <f>E224/11208*100</f>
        <v>38.08886509635974</v>
      </c>
      <c r="G224" s="13"/>
      <c r="H224" s="113"/>
      <c r="I224" s="5"/>
    </row>
    <row r="225" spans="1:9" x14ac:dyDescent="0.2">
      <c r="A225" s="5"/>
      <c r="B225" s="5"/>
      <c r="C225" s="5"/>
      <c r="D225" s="28"/>
      <c r="E225" s="162" t="s">
        <v>3778</v>
      </c>
      <c r="F225" s="165">
        <f>SUM(F221:F224)</f>
        <v>100</v>
      </c>
      <c r="G225" s="162">
        <v>24845</v>
      </c>
      <c r="H225" s="165">
        <v>45.3</v>
      </c>
      <c r="I225" s="5"/>
    </row>
    <row r="226" spans="1:9" x14ac:dyDescent="0.2">
      <c r="A226" s="5"/>
      <c r="B226" s="5"/>
      <c r="C226" s="5"/>
      <c r="D226" s="28"/>
      <c r="E226" s="13"/>
      <c r="F226" s="113"/>
      <c r="G226" s="13"/>
      <c r="H226" s="113"/>
      <c r="I226" s="5"/>
    </row>
    <row r="227" spans="1:9" x14ac:dyDescent="0.2">
      <c r="A227" s="5" t="s">
        <v>3779</v>
      </c>
      <c r="B227" s="5"/>
      <c r="C227" s="14" t="s">
        <v>3780</v>
      </c>
      <c r="D227" s="5" t="s">
        <v>3275</v>
      </c>
      <c r="E227" s="13">
        <v>10165</v>
      </c>
      <c r="F227" s="113">
        <f>E227/17419*100</f>
        <v>58.355818359262877</v>
      </c>
      <c r="G227" s="13"/>
      <c r="H227" s="113"/>
      <c r="I227" s="5"/>
    </row>
    <row r="228" spans="1:9" x14ac:dyDescent="0.2">
      <c r="A228" s="5"/>
      <c r="B228" s="5"/>
      <c r="C228" s="5" t="s">
        <v>3493</v>
      </c>
      <c r="D228" s="28" t="s">
        <v>1736</v>
      </c>
      <c r="E228" s="13">
        <v>6154</v>
      </c>
      <c r="F228" s="113">
        <f>E228/17419*100</f>
        <v>35.329238188185315</v>
      </c>
      <c r="G228" s="13"/>
      <c r="H228" s="113"/>
      <c r="I228" s="5"/>
    </row>
    <row r="229" spans="1:9" x14ac:dyDescent="0.2">
      <c r="A229" s="5"/>
      <c r="B229" s="5"/>
      <c r="C229" s="5" t="s">
        <v>3781</v>
      </c>
      <c r="D229" s="28" t="s">
        <v>1072</v>
      </c>
      <c r="E229" s="13">
        <v>564</v>
      </c>
      <c r="F229" s="113">
        <f>E229/17419*100</f>
        <v>3.2378437338538379</v>
      </c>
      <c r="G229" s="13"/>
      <c r="H229" s="113"/>
      <c r="I229" s="5"/>
    </row>
    <row r="230" spans="1:9" x14ac:dyDescent="0.2">
      <c r="A230" s="5"/>
      <c r="B230" s="5"/>
      <c r="C230" s="5" t="s">
        <v>3782</v>
      </c>
      <c r="D230" s="28" t="s">
        <v>655</v>
      </c>
      <c r="E230" s="13">
        <v>536</v>
      </c>
      <c r="F230" s="113">
        <f>E230/17419*100</f>
        <v>3.0770997186979736</v>
      </c>
      <c r="G230" s="13"/>
      <c r="H230" s="113"/>
      <c r="I230" s="5"/>
    </row>
    <row r="231" spans="1:9" x14ac:dyDescent="0.2">
      <c r="A231" s="5"/>
      <c r="B231" s="5"/>
      <c r="C231" s="5"/>
      <c r="D231" s="28"/>
      <c r="E231" s="13" t="s">
        <v>3783</v>
      </c>
      <c r="F231" s="165">
        <f>SUM(F227:F230)</f>
        <v>100.00000000000001</v>
      </c>
      <c r="G231" s="13">
        <v>31652</v>
      </c>
      <c r="H231" s="113">
        <v>55.2</v>
      </c>
      <c r="I231" s="5"/>
    </row>
    <row r="232" spans="1:9" x14ac:dyDescent="0.2">
      <c r="A232" s="5"/>
      <c r="B232" s="5"/>
      <c r="C232" s="5"/>
      <c r="D232" s="28"/>
      <c r="E232" s="13"/>
      <c r="F232" s="113"/>
      <c r="G232" s="13"/>
      <c r="H232" s="113"/>
      <c r="I232" s="5"/>
    </row>
    <row r="233" spans="1:9" x14ac:dyDescent="0.2">
      <c r="A233" s="5"/>
      <c r="B233" s="5"/>
      <c r="C233" s="5"/>
      <c r="D233" s="5"/>
      <c r="E233" s="13"/>
      <c r="F233" s="113"/>
      <c r="G233" s="13"/>
      <c r="H233" s="113"/>
      <c r="I233" s="5"/>
    </row>
    <row r="234" spans="1:9" x14ac:dyDescent="0.2">
      <c r="A234" s="5" t="s">
        <v>1335</v>
      </c>
      <c r="B234" s="5"/>
      <c r="C234" s="14" t="s">
        <v>3784</v>
      </c>
      <c r="D234" s="5" t="s">
        <v>3275</v>
      </c>
      <c r="E234" s="13">
        <v>7098</v>
      </c>
      <c r="F234" s="113">
        <f>E234/13243*100</f>
        <v>53.598127312542474</v>
      </c>
      <c r="G234" s="13"/>
      <c r="H234" s="113"/>
      <c r="I234" s="5"/>
    </row>
    <row r="235" spans="1:9" x14ac:dyDescent="0.2">
      <c r="A235" s="5"/>
      <c r="B235" s="5"/>
      <c r="C235" s="5" t="s">
        <v>3403</v>
      </c>
      <c r="D235" s="28" t="s">
        <v>655</v>
      </c>
      <c r="E235" s="13">
        <v>637</v>
      </c>
      <c r="F235" s="113">
        <f>E235/13243*100</f>
        <v>4.8100883485615045</v>
      </c>
      <c r="G235" s="13"/>
      <c r="H235" s="113"/>
      <c r="I235" s="5"/>
    </row>
    <row r="236" spans="1:9" x14ac:dyDescent="0.2">
      <c r="A236" s="5"/>
      <c r="B236" s="5"/>
      <c r="C236" s="5" t="s">
        <v>3785</v>
      </c>
      <c r="D236" s="28" t="s">
        <v>1072</v>
      </c>
      <c r="E236" s="13">
        <v>770</v>
      </c>
      <c r="F236" s="113">
        <f>E236/13243*100</f>
        <v>5.8143925092501698</v>
      </c>
      <c r="G236" s="13"/>
      <c r="H236" s="113"/>
      <c r="I236" s="5"/>
    </row>
    <row r="237" spans="1:9" x14ac:dyDescent="0.2">
      <c r="A237" s="5"/>
      <c r="B237" s="5"/>
      <c r="C237" s="5" t="s">
        <v>3405</v>
      </c>
      <c r="D237" s="28" t="s">
        <v>1736</v>
      </c>
      <c r="E237" s="13">
        <v>4738</v>
      </c>
      <c r="F237" s="113">
        <f>E237/13243*100</f>
        <v>35.77739182964585</v>
      </c>
      <c r="G237" s="13"/>
      <c r="H237" s="113"/>
      <c r="I237" s="5"/>
    </row>
    <row r="238" spans="1:9" x14ac:dyDescent="0.2">
      <c r="A238" s="5"/>
      <c r="B238" s="5"/>
      <c r="C238" s="5"/>
      <c r="D238" s="28"/>
      <c r="E238" s="162" t="s">
        <v>3786</v>
      </c>
      <c r="F238" s="165">
        <f>SUM(F234:F237)</f>
        <v>100</v>
      </c>
      <c r="G238" s="162">
        <v>26199</v>
      </c>
      <c r="H238" s="165">
        <v>50.9</v>
      </c>
      <c r="I238" s="5"/>
    </row>
    <row r="239" spans="1:9" x14ac:dyDescent="0.2">
      <c r="A239" s="5"/>
      <c r="B239" s="5"/>
      <c r="C239" s="5"/>
      <c r="D239" s="28"/>
      <c r="E239" s="13"/>
      <c r="F239" s="113"/>
      <c r="G239" s="13"/>
      <c r="H239" s="113"/>
      <c r="I239" s="5"/>
    </row>
    <row r="240" spans="1:9" x14ac:dyDescent="0.2">
      <c r="A240" s="5" t="s">
        <v>3787</v>
      </c>
      <c r="B240" s="5"/>
      <c r="C240" s="5" t="s">
        <v>2351</v>
      </c>
      <c r="D240" s="28" t="s">
        <v>655</v>
      </c>
      <c r="E240" s="13">
        <v>878</v>
      </c>
      <c r="F240" s="113">
        <f>E240/14248*100</f>
        <v>6.162268388545761</v>
      </c>
      <c r="G240" s="13"/>
      <c r="H240" s="113"/>
      <c r="I240" s="5"/>
    </row>
    <row r="241" spans="1:9" x14ac:dyDescent="0.2">
      <c r="A241" s="5"/>
      <c r="B241" s="5"/>
      <c r="C241" s="5" t="s">
        <v>3789</v>
      </c>
      <c r="D241" s="28" t="s">
        <v>1072</v>
      </c>
      <c r="E241" s="13">
        <v>544</v>
      </c>
      <c r="F241" s="113">
        <f>E241/14248*100</f>
        <v>3.8180797304884897</v>
      </c>
      <c r="G241" s="13"/>
      <c r="H241" s="113"/>
      <c r="I241" s="5"/>
    </row>
    <row r="242" spans="1:9" x14ac:dyDescent="0.2">
      <c r="A242" s="5"/>
      <c r="B242" s="5"/>
      <c r="C242" s="14" t="s">
        <v>3409</v>
      </c>
      <c r="D242" s="28" t="s">
        <v>1736</v>
      </c>
      <c r="E242" s="13">
        <v>7359</v>
      </c>
      <c r="F242" s="113">
        <f>E242/14248*100</f>
        <v>51.649354295339698</v>
      </c>
      <c r="G242" s="13"/>
      <c r="H242" s="113"/>
      <c r="I242" s="5"/>
    </row>
    <row r="243" spans="1:9" x14ac:dyDescent="0.2">
      <c r="A243" s="5"/>
      <c r="B243" s="5"/>
      <c r="C243" s="5" t="s">
        <v>3788</v>
      </c>
      <c r="D243" s="5" t="s">
        <v>3275</v>
      </c>
      <c r="E243" s="13">
        <v>5467</v>
      </c>
      <c r="F243" s="113">
        <f>E243/14248*100</f>
        <v>38.370297585626048</v>
      </c>
      <c r="G243" s="13"/>
      <c r="H243" s="113"/>
      <c r="I243" s="5"/>
    </row>
    <row r="244" spans="1:9" x14ac:dyDescent="0.2">
      <c r="A244" s="5"/>
      <c r="B244" s="5"/>
      <c r="C244" s="5"/>
      <c r="D244" s="28"/>
      <c r="E244" s="162" t="s">
        <v>3790</v>
      </c>
      <c r="F244" s="165">
        <f>SUM(F240:F243)</f>
        <v>100</v>
      </c>
      <c r="G244" s="162">
        <v>25705</v>
      </c>
      <c r="H244" s="165">
        <v>55.6</v>
      </c>
      <c r="I244" s="5"/>
    </row>
    <row r="245" spans="1:9" x14ac:dyDescent="0.2">
      <c r="A245" s="5"/>
      <c r="B245" s="5"/>
      <c r="C245" s="5"/>
      <c r="D245" s="28"/>
      <c r="E245" s="13"/>
      <c r="F245" s="113"/>
      <c r="G245" s="13"/>
      <c r="H245" s="113"/>
      <c r="I245" s="5"/>
    </row>
    <row r="246" spans="1:9" x14ac:dyDescent="0.2">
      <c r="A246" s="77" t="s">
        <v>2045</v>
      </c>
      <c r="B246" s="5"/>
      <c r="C246" s="5" t="s">
        <v>3791</v>
      </c>
      <c r="D246" s="28" t="s">
        <v>2103</v>
      </c>
      <c r="E246" s="5">
        <v>281</v>
      </c>
      <c r="F246" s="113">
        <f>E246/15090*100</f>
        <v>1.8621603711066932</v>
      </c>
      <c r="G246" s="13"/>
      <c r="H246" s="113"/>
      <c r="I246" s="5"/>
    </row>
    <row r="247" spans="1:9" x14ac:dyDescent="0.2">
      <c r="A247" s="5"/>
      <c r="B247" s="5"/>
      <c r="C247" s="5" t="s">
        <v>3414</v>
      </c>
      <c r="D247" s="28" t="s">
        <v>1736</v>
      </c>
      <c r="E247" s="13">
        <v>6587</v>
      </c>
      <c r="F247" s="113">
        <f>E247/15090*100</f>
        <v>43.651424784625583</v>
      </c>
      <c r="G247" s="13"/>
      <c r="H247" s="113"/>
      <c r="I247" s="5"/>
    </row>
    <row r="248" spans="1:9" x14ac:dyDescent="0.2">
      <c r="A248" s="5"/>
      <c r="B248" s="5"/>
      <c r="C248" s="5" t="s">
        <v>3792</v>
      </c>
      <c r="D248" s="28" t="s">
        <v>655</v>
      </c>
      <c r="E248" s="13">
        <v>408</v>
      </c>
      <c r="F248" s="113">
        <f>E248/15090*100</f>
        <v>2.7037773359840953</v>
      </c>
      <c r="G248" s="13"/>
      <c r="H248" s="113"/>
      <c r="I248" s="5"/>
    </row>
    <row r="249" spans="1:9" x14ac:dyDescent="0.2">
      <c r="A249" s="5"/>
      <c r="B249" s="5"/>
      <c r="C249" s="5" t="s">
        <v>3793</v>
      </c>
      <c r="D249" s="28" t="s">
        <v>1072</v>
      </c>
      <c r="E249" s="13">
        <v>362</v>
      </c>
      <c r="F249" s="113">
        <f>E249/15090*100</f>
        <v>2.3989396951623592</v>
      </c>
      <c r="G249" s="13"/>
      <c r="H249" s="113"/>
      <c r="I249" s="5"/>
    </row>
    <row r="250" spans="1:9" x14ac:dyDescent="0.2">
      <c r="A250" s="5"/>
      <c r="B250" s="5"/>
      <c r="C250" s="14" t="s">
        <v>3794</v>
      </c>
      <c r="D250" s="5" t="s">
        <v>3275</v>
      </c>
      <c r="E250" s="13">
        <v>7452</v>
      </c>
      <c r="F250" s="113">
        <f>E250/15090*100</f>
        <v>49.383697813121273</v>
      </c>
      <c r="G250" s="13"/>
      <c r="H250" s="113"/>
      <c r="I250" s="5"/>
    </row>
    <row r="251" spans="1:9" x14ac:dyDescent="0.2">
      <c r="A251" s="5"/>
      <c r="B251" s="5"/>
      <c r="C251" s="5"/>
      <c r="D251" s="28"/>
      <c r="E251" s="162" t="s">
        <v>3795</v>
      </c>
      <c r="F251" s="165">
        <f>SUM(F246:F250)</f>
        <v>100</v>
      </c>
      <c r="G251" s="162">
        <v>24788</v>
      </c>
      <c r="H251" s="165">
        <v>61.1</v>
      </c>
      <c r="I251" s="5"/>
    </row>
    <row r="252" spans="1:9" x14ac:dyDescent="0.2">
      <c r="A252" s="5"/>
      <c r="B252" s="5"/>
      <c r="C252" s="5"/>
      <c r="D252" s="28"/>
      <c r="E252" s="13"/>
      <c r="F252" s="113"/>
      <c r="G252" s="13"/>
      <c r="H252" s="113"/>
      <c r="I252" s="5"/>
    </row>
    <row r="253" spans="1:9" x14ac:dyDescent="0.2">
      <c r="A253" s="5" t="s">
        <v>3624</v>
      </c>
      <c r="B253" s="5"/>
      <c r="C253" s="49" t="s">
        <v>3626</v>
      </c>
      <c r="D253" s="28" t="s">
        <v>1072</v>
      </c>
      <c r="E253" s="177">
        <v>238</v>
      </c>
      <c r="F253" s="113">
        <f>E253/8820*100</f>
        <v>2.6984126984126986</v>
      </c>
      <c r="G253" s="98"/>
      <c r="H253" s="118"/>
      <c r="I253" s="45"/>
    </row>
    <row r="254" spans="1:9" x14ac:dyDescent="0.2">
      <c r="A254" s="5"/>
      <c r="B254" s="5"/>
      <c r="C254" s="14" t="s">
        <v>1352</v>
      </c>
      <c r="D254" s="28" t="s">
        <v>1736</v>
      </c>
      <c r="E254" s="13">
        <v>3981</v>
      </c>
      <c r="F254" s="113">
        <f>E254/8820*100</f>
        <v>45.136054421768705</v>
      </c>
      <c r="G254" s="13"/>
      <c r="H254" s="113"/>
      <c r="I254" s="5"/>
    </row>
    <row r="255" spans="1:9" x14ac:dyDescent="0.2">
      <c r="A255" s="5"/>
      <c r="B255" s="5"/>
      <c r="C255" s="5" t="s">
        <v>3627</v>
      </c>
      <c r="D255" s="5" t="s">
        <v>3275</v>
      </c>
      <c r="E255" s="13">
        <v>3755</v>
      </c>
      <c r="F255" s="113">
        <f>E255/8820*100</f>
        <v>42.573696145124714</v>
      </c>
      <c r="G255" s="13"/>
      <c r="H255" s="113"/>
      <c r="I255" s="5"/>
    </row>
    <row r="256" spans="1:9" x14ac:dyDescent="0.2">
      <c r="A256" s="5"/>
      <c r="B256" s="5"/>
      <c r="C256" s="5" t="s">
        <v>3416</v>
      </c>
      <c r="D256" s="28" t="s">
        <v>655</v>
      </c>
      <c r="E256" s="13">
        <v>846</v>
      </c>
      <c r="F256" s="113">
        <f>E256/8820*100</f>
        <v>9.591836734693878</v>
      </c>
      <c r="G256" s="13"/>
      <c r="H256" s="113"/>
      <c r="I256" s="5"/>
    </row>
    <row r="257" spans="1:9" x14ac:dyDescent="0.2">
      <c r="A257" s="5"/>
      <c r="B257" s="5"/>
      <c r="C257" s="5"/>
      <c r="D257" s="28"/>
      <c r="E257" s="162" t="s">
        <v>3628</v>
      </c>
      <c r="F257" s="165">
        <f>SUM(F253:F256)</f>
        <v>100</v>
      </c>
      <c r="G257" s="162">
        <v>15067</v>
      </c>
      <c r="H257" s="165">
        <v>58.9</v>
      </c>
      <c r="I257" s="5"/>
    </row>
    <row r="258" spans="1:9" x14ac:dyDescent="0.2">
      <c r="A258" s="5"/>
      <c r="B258" s="5"/>
      <c r="C258" s="5"/>
      <c r="D258" s="28"/>
      <c r="E258" s="13"/>
      <c r="F258" s="113"/>
      <c r="G258" s="13"/>
      <c r="H258" s="113"/>
      <c r="I258" s="5"/>
    </row>
    <row r="259" spans="1:9" x14ac:dyDescent="0.2">
      <c r="A259" s="5" t="s">
        <v>1192</v>
      </c>
      <c r="B259" s="5"/>
      <c r="C259" s="14" t="s">
        <v>3431</v>
      </c>
      <c r="D259" s="28" t="s">
        <v>655</v>
      </c>
      <c r="E259" s="13">
        <v>5264</v>
      </c>
      <c r="F259" s="113">
        <f>E259/14238*100</f>
        <v>36.971484759095382</v>
      </c>
      <c r="G259" s="13"/>
      <c r="H259" s="113"/>
      <c r="I259" s="5"/>
    </row>
    <row r="260" spans="1:9" x14ac:dyDescent="0.2">
      <c r="A260" s="5"/>
      <c r="B260" s="5"/>
      <c r="C260" s="5" t="s">
        <v>3796</v>
      </c>
      <c r="D260" s="28" t="s">
        <v>3639</v>
      </c>
      <c r="E260" s="13">
        <v>151</v>
      </c>
      <c r="F260" s="113">
        <f>E260/14238*100</f>
        <v>1.0605422109846889</v>
      </c>
      <c r="G260" s="13"/>
      <c r="H260" s="113"/>
      <c r="I260" s="5"/>
    </row>
    <row r="261" spans="1:9" x14ac:dyDescent="0.2">
      <c r="A261" s="5"/>
      <c r="B261" s="5"/>
      <c r="C261" s="5" t="s">
        <v>3797</v>
      </c>
      <c r="D261" s="28" t="s">
        <v>1072</v>
      </c>
      <c r="E261" s="13">
        <v>895</v>
      </c>
      <c r="F261" s="113">
        <f>E261/14238*100</f>
        <v>6.285995224048321</v>
      </c>
      <c r="G261" s="13"/>
      <c r="H261" s="113"/>
      <c r="I261" s="5"/>
    </row>
    <row r="262" spans="1:9" x14ac:dyDescent="0.2">
      <c r="A262" s="5"/>
      <c r="B262" s="5"/>
      <c r="C262" s="5" t="s">
        <v>3798</v>
      </c>
      <c r="D262" s="5" t="s">
        <v>3275</v>
      </c>
      <c r="E262" s="13">
        <v>2909</v>
      </c>
      <c r="F262" s="113">
        <f>E262/14238*100</f>
        <v>20.431240342744765</v>
      </c>
      <c r="G262" s="13"/>
      <c r="H262" s="113"/>
      <c r="I262" s="5"/>
    </row>
    <row r="263" spans="1:9" x14ac:dyDescent="0.2">
      <c r="A263" s="5"/>
      <c r="B263" s="5"/>
      <c r="C263" s="5" t="s">
        <v>1112</v>
      </c>
      <c r="D263" s="28" t="s">
        <v>1736</v>
      </c>
      <c r="E263" s="13">
        <v>5019</v>
      </c>
      <c r="F263" s="113">
        <f>E263/14238*100</f>
        <v>35.250737463126839</v>
      </c>
      <c r="G263" s="13"/>
      <c r="H263" s="113"/>
      <c r="I263" s="5"/>
    </row>
    <row r="264" spans="1:9" x14ac:dyDescent="0.2">
      <c r="A264" s="5"/>
      <c r="B264" s="5"/>
      <c r="C264" s="5"/>
      <c r="D264" s="28"/>
      <c r="E264" s="162" t="s">
        <v>3799</v>
      </c>
      <c r="F264" s="165">
        <f>SUM(F259:F263)</f>
        <v>99.999999999999986</v>
      </c>
      <c r="G264" s="162">
        <v>30610</v>
      </c>
      <c r="H264" s="165">
        <v>46.7</v>
      </c>
      <c r="I264" s="5"/>
    </row>
    <row r="265" spans="1:9" x14ac:dyDescent="0.2">
      <c r="A265" s="5"/>
      <c r="B265" s="5"/>
      <c r="C265" s="5"/>
      <c r="D265" s="28"/>
      <c r="E265" s="13"/>
      <c r="F265" s="113"/>
      <c r="G265" s="13"/>
      <c r="H265" s="113"/>
      <c r="I265" s="5"/>
    </row>
    <row r="266" spans="1:9" x14ac:dyDescent="0.2">
      <c r="A266" s="5" t="s">
        <v>469</v>
      </c>
      <c r="B266" s="5"/>
      <c r="C266" s="5" t="s">
        <v>3800</v>
      </c>
      <c r="D266" s="28" t="s">
        <v>1072</v>
      </c>
      <c r="E266" s="13">
        <v>976</v>
      </c>
      <c r="F266" s="113">
        <f t="shared" ref="F266:F271" si="7">E266/14915*100</f>
        <v>6.5437479047938316</v>
      </c>
      <c r="G266" s="13"/>
      <c r="H266" s="113"/>
      <c r="I266" s="5"/>
    </row>
    <row r="267" spans="1:9" x14ac:dyDescent="0.2">
      <c r="A267" s="5"/>
      <c r="B267" s="5"/>
      <c r="C267" s="5" t="s">
        <v>3801</v>
      </c>
      <c r="D267" s="28" t="s">
        <v>2103</v>
      </c>
      <c r="E267" s="13">
        <v>189</v>
      </c>
      <c r="F267" s="113">
        <f t="shared" si="7"/>
        <v>1.267180690579953</v>
      </c>
      <c r="G267" s="13"/>
      <c r="H267" s="113"/>
      <c r="I267" s="5"/>
    </row>
    <row r="268" spans="1:9" x14ac:dyDescent="0.2">
      <c r="A268" s="5"/>
      <c r="B268" s="5"/>
      <c r="C268" s="14" t="s">
        <v>479</v>
      </c>
      <c r="D268" s="28" t="s">
        <v>655</v>
      </c>
      <c r="E268" s="13">
        <v>5731</v>
      </c>
      <c r="F268" s="113">
        <f t="shared" si="7"/>
        <v>38.424404961448204</v>
      </c>
      <c r="G268" s="13"/>
      <c r="H268" s="113"/>
      <c r="I268" s="5"/>
    </row>
    <row r="269" spans="1:9" x14ac:dyDescent="0.2">
      <c r="A269" s="5"/>
      <c r="B269" s="5"/>
      <c r="C269" s="5" t="s">
        <v>3802</v>
      </c>
      <c r="D269" s="28" t="s">
        <v>1736</v>
      </c>
      <c r="E269" s="13">
        <v>5177</v>
      </c>
      <c r="F269" s="113">
        <f t="shared" si="7"/>
        <v>34.710023466309089</v>
      </c>
      <c r="G269" s="13"/>
      <c r="H269" s="113"/>
      <c r="I269" s="5"/>
    </row>
    <row r="270" spans="1:9" x14ac:dyDescent="0.2">
      <c r="A270" s="5"/>
      <c r="B270" s="5"/>
      <c r="C270" s="5" t="s">
        <v>3803</v>
      </c>
      <c r="D270" s="5" t="s">
        <v>3275</v>
      </c>
      <c r="E270" s="13">
        <v>2790</v>
      </c>
      <c r="F270" s="113">
        <f t="shared" si="7"/>
        <v>18.706000670465976</v>
      </c>
      <c r="G270" s="13"/>
      <c r="H270" s="113"/>
      <c r="I270" s="5"/>
    </row>
    <row r="271" spans="1:9" x14ac:dyDescent="0.2">
      <c r="A271" s="5"/>
      <c r="B271" s="5"/>
      <c r="C271" s="5" t="s">
        <v>3434</v>
      </c>
      <c r="D271" s="5" t="s">
        <v>1071</v>
      </c>
      <c r="E271" s="13">
        <v>52</v>
      </c>
      <c r="F271" s="113">
        <f t="shared" si="7"/>
        <v>0.34864230640295008</v>
      </c>
      <c r="G271" s="13"/>
      <c r="H271" s="113"/>
      <c r="I271" s="5"/>
    </row>
    <row r="272" spans="1:9" x14ac:dyDescent="0.2">
      <c r="A272" s="5"/>
      <c r="B272" s="5"/>
      <c r="C272" s="5"/>
      <c r="D272" s="28"/>
      <c r="E272" s="162" t="s">
        <v>3804</v>
      </c>
      <c r="F272" s="165">
        <f>SUM(F266:F271)</f>
        <v>100</v>
      </c>
      <c r="G272" s="162">
        <v>29535</v>
      </c>
      <c r="H272" s="165">
        <v>50.9</v>
      </c>
      <c r="I272" s="5"/>
    </row>
    <row r="273" spans="1:9" x14ac:dyDescent="0.2">
      <c r="A273" s="5"/>
      <c r="B273" s="5"/>
      <c r="C273" s="5"/>
      <c r="D273" s="28"/>
      <c r="E273" s="13"/>
      <c r="F273" s="113"/>
      <c r="G273" s="13"/>
      <c r="H273" s="113"/>
      <c r="I273" s="5"/>
    </row>
    <row r="274" spans="1:9" x14ac:dyDescent="0.2">
      <c r="A274" s="77" t="s">
        <v>473</v>
      </c>
      <c r="B274" s="77"/>
      <c r="C274" s="77" t="s">
        <v>1107</v>
      </c>
      <c r="D274" s="152" t="s">
        <v>1072</v>
      </c>
      <c r="E274" s="153">
        <v>1768</v>
      </c>
      <c r="F274" s="154">
        <f>E274/15311*100</f>
        <v>11.547253608516753</v>
      </c>
      <c r="G274" s="153"/>
      <c r="H274" s="154"/>
      <c r="I274" s="77"/>
    </row>
    <row r="275" spans="1:9" x14ac:dyDescent="0.2">
      <c r="A275" s="77"/>
      <c r="B275" s="77"/>
      <c r="C275" s="77" t="s">
        <v>3805</v>
      </c>
      <c r="D275" s="77" t="s">
        <v>2103</v>
      </c>
      <c r="E275" s="153">
        <v>260</v>
      </c>
      <c r="F275" s="154">
        <f>E275/15311*100</f>
        <v>1.6981255306642282</v>
      </c>
      <c r="G275" s="153"/>
      <c r="H275" s="154"/>
      <c r="I275" s="77"/>
    </row>
    <row r="276" spans="1:9" x14ac:dyDescent="0.2">
      <c r="A276" s="77"/>
      <c r="B276" s="77"/>
      <c r="C276" s="77" t="s">
        <v>3806</v>
      </c>
      <c r="D276" s="28" t="s">
        <v>655</v>
      </c>
      <c r="E276" s="153">
        <v>1934</v>
      </c>
      <c r="F276" s="154">
        <f>E276/15311*100</f>
        <v>12.631441447325454</v>
      </c>
      <c r="G276" s="153"/>
      <c r="H276" s="154"/>
      <c r="I276" s="77"/>
    </row>
    <row r="277" spans="1:9" x14ac:dyDescent="0.2">
      <c r="A277" s="77"/>
      <c r="B277" s="77"/>
      <c r="C277" s="127" t="s">
        <v>1155</v>
      </c>
      <c r="D277" s="152" t="s">
        <v>1736</v>
      </c>
      <c r="E277" s="153">
        <v>8054</v>
      </c>
      <c r="F277" s="154">
        <f>E277/15311*100</f>
        <v>52.602703938344987</v>
      </c>
      <c r="G277" s="153"/>
      <c r="H277" s="154"/>
      <c r="I277" s="77"/>
    </row>
    <row r="278" spans="1:9" x14ac:dyDescent="0.2">
      <c r="A278" s="77"/>
      <c r="B278" s="77"/>
      <c r="C278" s="77" t="s">
        <v>3807</v>
      </c>
      <c r="D278" s="5" t="s">
        <v>3275</v>
      </c>
      <c r="E278" s="153">
        <v>3295</v>
      </c>
      <c r="F278" s="154">
        <f>E278/15311*100</f>
        <v>21.520475475148586</v>
      </c>
      <c r="G278" s="153"/>
      <c r="H278" s="154"/>
      <c r="I278" s="77"/>
    </row>
    <row r="279" spans="1:9" x14ac:dyDescent="0.2">
      <c r="A279" s="77"/>
      <c r="B279" s="77"/>
      <c r="C279" s="77"/>
      <c r="D279" s="152"/>
      <c r="E279" s="169" t="s">
        <v>3808</v>
      </c>
      <c r="F279" s="171">
        <f>SUM(F274:F278)</f>
        <v>100.00000000000001</v>
      </c>
      <c r="G279" s="169">
        <v>30804</v>
      </c>
      <c r="H279" s="171">
        <v>49.9</v>
      </c>
      <c r="I279" s="77"/>
    </row>
    <row r="280" spans="1:9" x14ac:dyDescent="0.2">
      <c r="A280" s="5"/>
      <c r="B280" s="5"/>
      <c r="C280" s="5"/>
      <c r="D280" s="28"/>
      <c r="E280" s="13"/>
      <c r="F280" s="113"/>
      <c r="G280" s="13"/>
      <c r="H280" s="113"/>
      <c r="I280" s="5"/>
    </row>
    <row r="281" spans="1:9" x14ac:dyDescent="0.2">
      <c r="A281" s="5" t="s">
        <v>477</v>
      </c>
      <c r="B281" s="5"/>
      <c r="C281" s="5" t="s">
        <v>3809</v>
      </c>
      <c r="D281" s="28" t="s">
        <v>655</v>
      </c>
      <c r="E281" s="13">
        <v>2257</v>
      </c>
      <c r="F281" s="113">
        <f>E281/13937*100</f>
        <v>16.194302934634429</v>
      </c>
      <c r="G281" s="13"/>
      <c r="H281" s="113"/>
      <c r="I281" s="5"/>
    </row>
    <row r="282" spans="1:9" x14ac:dyDescent="0.2">
      <c r="A282" s="5"/>
      <c r="B282" s="5"/>
      <c r="C282" s="14" t="s">
        <v>478</v>
      </c>
      <c r="D282" s="28" t="s">
        <v>1072</v>
      </c>
      <c r="E282" s="13">
        <v>5626</v>
      </c>
      <c r="F282" s="113">
        <f>E282/13937*100</f>
        <v>40.367367439190645</v>
      </c>
      <c r="G282" s="13"/>
      <c r="H282" s="113"/>
      <c r="I282" s="5"/>
    </row>
    <row r="283" spans="1:9" x14ac:dyDescent="0.2">
      <c r="A283" s="5"/>
      <c r="B283" s="5"/>
      <c r="C283" s="5" t="s">
        <v>4044</v>
      </c>
      <c r="D283" s="5" t="s">
        <v>3275</v>
      </c>
      <c r="E283" s="13">
        <v>1758</v>
      </c>
      <c r="F283" s="113">
        <f>E283/13937*100</f>
        <v>12.613905431584991</v>
      </c>
      <c r="G283" s="13"/>
      <c r="H283" s="113"/>
      <c r="I283" s="5"/>
    </row>
    <row r="284" spans="1:9" x14ac:dyDescent="0.2">
      <c r="A284" s="5"/>
      <c r="B284" s="5"/>
      <c r="C284" s="5" t="s">
        <v>3810</v>
      </c>
      <c r="D284" s="28" t="s">
        <v>1736</v>
      </c>
      <c r="E284" s="13">
        <v>4296</v>
      </c>
      <c r="F284" s="113">
        <f>E284/13937*100</f>
        <v>30.824424194589938</v>
      </c>
      <c r="G284" s="13"/>
      <c r="H284" s="113"/>
      <c r="I284" s="5"/>
    </row>
    <row r="285" spans="1:9" x14ac:dyDescent="0.2">
      <c r="A285" s="5"/>
      <c r="B285" s="5"/>
      <c r="C285" s="5"/>
      <c r="D285" s="28"/>
      <c r="E285" s="162" t="s">
        <v>3811</v>
      </c>
      <c r="F285" s="165">
        <f>SUM(F281:F284)</f>
        <v>100</v>
      </c>
      <c r="G285" s="162">
        <v>28358</v>
      </c>
      <c r="H285" s="165">
        <v>49.5</v>
      </c>
      <c r="I285" s="5"/>
    </row>
    <row r="286" spans="1:9" x14ac:dyDescent="0.2">
      <c r="A286" s="5"/>
      <c r="B286" s="5"/>
      <c r="C286" s="5"/>
      <c r="D286" s="28"/>
      <c r="E286" s="13"/>
      <c r="F286" s="113"/>
      <c r="G286" s="13"/>
      <c r="H286" s="113"/>
      <c r="I286" s="5"/>
    </row>
    <row r="287" spans="1:9" x14ac:dyDescent="0.2">
      <c r="A287" s="5" t="s">
        <v>2047</v>
      </c>
      <c r="B287" s="5"/>
      <c r="C287" s="5" t="s">
        <v>3812</v>
      </c>
      <c r="D287" s="28" t="s">
        <v>1072</v>
      </c>
      <c r="E287" s="13">
        <v>2153</v>
      </c>
      <c r="F287" s="113">
        <f>E287/13507*100</f>
        <v>15.939883023617385</v>
      </c>
      <c r="G287" s="13"/>
      <c r="H287" s="113"/>
      <c r="I287" s="5"/>
    </row>
    <row r="288" spans="1:9" x14ac:dyDescent="0.2">
      <c r="A288" s="5"/>
      <c r="B288" s="5"/>
      <c r="C288" s="5" t="s">
        <v>3813</v>
      </c>
      <c r="D288" s="5" t="s">
        <v>3275</v>
      </c>
      <c r="E288" s="13">
        <v>2911</v>
      </c>
      <c r="F288" s="113">
        <f>E288/13507*100</f>
        <v>21.551787961797586</v>
      </c>
      <c r="G288" s="13"/>
      <c r="H288" s="113"/>
      <c r="I288" s="5"/>
    </row>
    <row r="289" spans="1:9" x14ac:dyDescent="0.2">
      <c r="A289" s="5"/>
      <c r="B289" s="5"/>
      <c r="C289" s="5" t="s">
        <v>3428</v>
      </c>
      <c r="D289" s="28" t="s">
        <v>655</v>
      </c>
      <c r="E289" s="13">
        <v>2721</v>
      </c>
      <c r="F289" s="113">
        <f>E289/13507*100</f>
        <v>20.145109942992523</v>
      </c>
      <c r="G289" s="13"/>
      <c r="H289" s="113"/>
      <c r="I289" s="5"/>
    </row>
    <row r="290" spans="1:9" x14ac:dyDescent="0.2">
      <c r="A290" s="5"/>
      <c r="B290" s="5"/>
      <c r="C290" s="14" t="s">
        <v>3438</v>
      </c>
      <c r="D290" s="28" t="s">
        <v>1736</v>
      </c>
      <c r="E290" s="13">
        <v>5722</v>
      </c>
      <c r="F290" s="113">
        <f>E290/13507*100</f>
        <v>42.363219071592503</v>
      </c>
      <c r="G290" s="13"/>
      <c r="H290" s="113"/>
      <c r="I290" s="5"/>
    </row>
    <row r="291" spans="1:9" x14ac:dyDescent="0.2">
      <c r="A291" s="5"/>
      <c r="B291" s="5"/>
      <c r="C291" s="5"/>
      <c r="D291" s="28"/>
      <c r="E291" s="162" t="s">
        <v>3814</v>
      </c>
      <c r="F291" s="165">
        <f>SUM(F287:F290)</f>
        <v>100</v>
      </c>
      <c r="G291" s="162">
        <v>28766</v>
      </c>
      <c r="H291" s="165">
        <v>47.3</v>
      </c>
      <c r="I291" s="5"/>
    </row>
    <row r="292" spans="1:9" x14ac:dyDescent="0.2">
      <c r="A292" s="5"/>
      <c r="B292" s="5"/>
      <c r="C292" s="5"/>
      <c r="D292" s="28"/>
      <c r="E292" s="13"/>
      <c r="F292" s="113"/>
      <c r="G292" s="13"/>
      <c r="H292" s="113"/>
      <c r="I292" s="5"/>
    </row>
    <row r="293" spans="1:9" x14ac:dyDescent="0.2">
      <c r="A293" s="5" t="s">
        <v>1088</v>
      </c>
      <c r="B293" s="5"/>
      <c r="C293" s="5" t="s">
        <v>3815</v>
      </c>
      <c r="D293" s="28" t="s">
        <v>653</v>
      </c>
      <c r="E293" s="13">
        <v>137</v>
      </c>
      <c r="F293" s="113">
        <f t="shared" ref="F293:F298" si="8">E293/13213*100</f>
        <v>1.0368576402028307</v>
      </c>
      <c r="G293" s="13"/>
      <c r="H293" s="113"/>
      <c r="I293" s="5"/>
    </row>
    <row r="294" spans="1:9" x14ac:dyDescent="0.2">
      <c r="A294" s="5"/>
      <c r="B294" s="5"/>
      <c r="C294" s="14" t="s">
        <v>1839</v>
      </c>
      <c r="D294" s="28" t="s">
        <v>1736</v>
      </c>
      <c r="E294" s="13">
        <v>5677</v>
      </c>
      <c r="F294" s="113">
        <f t="shared" si="8"/>
        <v>42.965261484901234</v>
      </c>
      <c r="G294" s="13"/>
      <c r="H294" s="113"/>
      <c r="I294" s="5"/>
    </row>
    <row r="295" spans="1:9" x14ac:dyDescent="0.2">
      <c r="A295" s="5"/>
      <c r="B295" s="5"/>
      <c r="C295" s="5" t="s">
        <v>3816</v>
      </c>
      <c r="D295" s="28" t="s">
        <v>1072</v>
      </c>
      <c r="E295" s="13">
        <v>1504</v>
      </c>
      <c r="F295" s="113">
        <f t="shared" si="8"/>
        <v>11.382729130401877</v>
      </c>
      <c r="G295" s="13"/>
      <c r="H295" s="113"/>
      <c r="I295" s="5"/>
    </row>
    <row r="296" spans="1:9" x14ac:dyDescent="0.2">
      <c r="A296" s="5"/>
      <c r="B296" s="5"/>
      <c r="C296" s="5" t="s">
        <v>3817</v>
      </c>
      <c r="D296" s="5" t="s">
        <v>3275</v>
      </c>
      <c r="E296" s="13">
        <v>3258</v>
      </c>
      <c r="F296" s="113">
        <f t="shared" si="8"/>
        <v>24.657534246575342</v>
      </c>
      <c r="G296" s="13"/>
      <c r="H296" s="113"/>
      <c r="I296" s="5"/>
    </row>
    <row r="297" spans="1:9" x14ac:dyDescent="0.2">
      <c r="A297" s="5"/>
      <c r="B297" s="5"/>
      <c r="C297" s="5" t="s">
        <v>4045</v>
      </c>
      <c r="D297" s="28" t="s">
        <v>655</v>
      </c>
      <c r="E297" s="13">
        <v>2114</v>
      </c>
      <c r="F297" s="113">
        <f t="shared" si="8"/>
        <v>15.999394535684551</v>
      </c>
      <c r="G297" s="13"/>
      <c r="H297" s="113"/>
      <c r="I297" s="5"/>
    </row>
    <row r="298" spans="1:9" x14ac:dyDescent="0.2">
      <c r="A298" s="5"/>
      <c r="B298" s="5"/>
      <c r="C298" s="5" t="s">
        <v>3819</v>
      </c>
      <c r="D298" s="77" t="s">
        <v>2103</v>
      </c>
      <c r="E298" s="13">
        <v>523</v>
      </c>
      <c r="F298" s="113">
        <f t="shared" si="8"/>
        <v>3.9582229622341631</v>
      </c>
      <c r="G298" s="13"/>
      <c r="H298" s="113"/>
      <c r="I298" s="5"/>
    </row>
    <row r="299" spans="1:9" x14ac:dyDescent="0.2">
      <c r="A299" s="5"/>
      <c r="B299" s="5"/>
      <c r="C299" s="5"/>
      <c r="D299" s="28"/>
      <c r="E299" s="162" t="s">
        <v>3820</v>
      </c>
      <c r="F299" s="165">
        <f>SUM(F293:F298)</f>
        <v>99.999999999999986</v>
      </c>
      <c r="G299" s="162">
        <v>26721</v>
      </c>
      <c r="H299" s="165">
        <v>49.9</v>
      </c>
      <c r="I299" s="5"/>
    </row>
    <row r="300" spans="1:9" x14ac:dyDescent="0.2">
      <c r="A300" s="5"/>
      <c r="B300" s="5"/>
      <c r="C300" s="5"/>
      <c r="D300" s="28"/>
      <c r="E300" s="13"/>
      <c r="F300" s="113"/>
      <c r="G300" s="13"/>
      <c r="H300" s="113"/>
      <c r="I300" s="5"/>
    </row>
    <row r="301" spans="1:9" x14ac:dyDescent="0.2">
      <c r="A301" s="5" t="s">
        <v>1096</v>
      </c>
      <c r="B301" s="5"/>
      <c r="C301" s="5" t="s">
        <v>3821</v>
      </c>
      <c r="D301" s="77" t="s">
        <v>2103</v>
      </c>
      <c r="E301" s="13">
        <v>1441</v>
      </c>
      <c r="F301" s="113">
        <f>E301/16169*100</f>
        <v>8.9121157771043364</v>
      </c>
      <c r="G301" s="13"/>
      <c r="H301" s="113"/>
      <c r="I301" s="5"/>
    </row>
    <row r="302" spans="1:9" x14ac:dyDescent="0.2">
      <c r="A302" s="5"/>
      <c r="B302" s="5"/>
      <c r="C302" s="14" t="s">
        <v>3445</v>
      </c>
      <c r="D302" s="28" t="s">
        <v>1736</v>
      </c>
      <c r="E302" s="13">
        <v>6183</v>
      </c>
      <c r="F302" s="113">
        <f>E302/16169*100</f>
        <v>38.239841672335949</v>
      </c>
      <c r="G302" s="13"/>
      <c r="H302" s="113"/>
      <c r="I302" s="5"/>
    </row>
    <row r="303" spans="1:9" x14ac:dyDescent="0.2">
      <c r="A303" s="5"/>
      <c r="B303" s="5"/>
      <c r="C303" s="5" t="s">
        <v>3822</v>
      </c>
      <c r="D303" s="5" t="s">
        <v>3275</v>
      </c>
      <c r="E303" s="13">
        <v>2732</v>
      </c>
      <c r="F303" s="113">
        <f>E303/16169*100</f>
        <v>16.89653039767456</v>
      </c>
      <c r="G303" s="13"/>
      <c r="H303" s="113"/>
      <c r="I303" s="5"/>
    </row>
    <row r="304" spans="1:9" x14ac:dyDescent="0.2">
      <c r="A304" s="5"/>
      <c r="B304" s="5"/>
      <c r="C304" s="5" t="s">
        <v>1196</v>
      </c>
      <c r="D304" s="28" t="s">
        <v>655</v>
      </c>
      <c r="E304" s="13">
        <v>4143</v>
      </c>
      <c r="F304" s="113">
        <f>E304/16169*100</f>
        <v>25.623105943472073</v>
      </c>
      <c r="G304" s="13"/>
      <c r="H304" s="113"/>
      <c r="I304" s="5"/>
    </row>
    <row r="305" spans="1:9" x14ac:dyDescent="0.2">
      <c r="A305" s="5"/>
      <c r="B305" s="5"/>
      <c r="C305" s="5" t="s">
        <v>2213</v>
      </c>
      <c r="D305" s="28" t="s">
        <v>1072</v>
      </c>
      <c r="E305" s="13">
        <v>1670</v>
      </c>
      <c r="F305" s="113">
        <f>E305/16169*100</f>
        <v>10.328406209413075</v>
      </c>
      <c r="G305" s="13"/>
      <c r="H305" s="113"/>
      <c r="I305" s="5"/>
    </row>
    <row r="306" spans="1:9" x14ac:dyDescent="0.2">
      <c r="A306" s="5"/>
      <c r="B306" s="5"/>
      <c r="C306" s="5"/>
      <c r="D306" s="28"/>
      <c r="E306" s="162" t="s">
        <v>3823</v>
      </c>
      <c r="F306" s="165">
        <f>SUM(F301:F305)</f>
        <v>99.999999999999986</v>
      </c>
      <c r="G306" s="162">
        <v>29262</v>
      </c>
      <c r="H306" s="165">
        <v>55.7</v>
      </c>
      <c r="I306" s="5"/>
    </row>
    <row r="307" spans="1:9" x14ac:dyDescent="0.2">
      <c r="A307" s="5"/>
      <c r="B307" s="5"/>
      <c r="C307" s="5"/>
      <c r="D307" s="28"/>
      <c r="E307" s="13"/>
      <c r="F307" s="113"/>
      <c r="G307" s="13"/>
      <c r="H307" s="113"/>
      <c r="I307" s="5"/>
    </row>
    <row r="308" spans="1:9" x14ac:dyDescent="0.2">
      <c r="A308" s="5" t="s">
        <v>1100</v>
      </c>
      <c r="B308" s="5"/>
      <c r="C308" s="5" t="s">
        <v>3824</v>
      </c>
      <c r="D308" s="5" t="s">
        <v>3275</v>
      </c>
      <c r="E308" s="13">
        <v>3169</v>
      </c>
      <c r="F308" s="113">
        <f t="shared" ref="F308:F313" si="9">E308/20327*100</f>
        <v>15.590101834997785</v>
      </c>
      <c r="G308" s="13"/>
      <c r="H308" s="113"/>
      <c r="I308" s="5"/>
    </row>
    <row r="309" spans="1:9" x14ac:dyDescent="0.2">
      <c r="A309" s="5"/>
      <c r="B309" s="5"/>
      <c r="C309" s="14" t="s">
        <v>3825</v>
      </c>
      <c r="D309" s="28" t="s">
        <v>1736</v>
      </c>
      <c r="E309" s="13">
        <v>6701</v>
      </c>
      <c r="F309" s="113">
        <f t="shared" si="9"/>
        <v>32.96600580508683</v>
      </c>
      <c r="G309" s="13"/>
      <c r="H309" s="113"/>
      <c r="I309" s="5"/>
    </row>
    <row r="310" spans="1:9" x14ac:dyDescent="0.2">
      <c r="A310" s="5"/>
      <c r="B310" s="5"/>
      <c r="C310" s="5" t="s">
        <v>4046</v>
      </c>
      <c r="D310" s="77" t="s">
        <v>2103</v>
      </c>
      <c r="E310" s="13">
        <v>345</v>
      </c>
      <c r="F310" s="113">
        <f t="shared" si="9"/>
        <v>1.6972499631032618</v>
      </c>
      <c r="G310" s="13"/>
      <c r="H310" s="113"/>
      <c r="I310" s="5"/>
    </row>
    <row r="311" spans="1:9" x14ac:dyDescent="0.2">
      <c r="A311" s="5"/>
      <c r="B311" s="5"/>
      <c r="C311" s="5" t="s">
        <v>676</v>
      </c>
      <c r="D311" s="28" t="s">
        <v>3639</v>
      </c>
      <c r="E311" s="13">
        <v>198</v>
      </c>
      <c r="F311" s="113">
        <f t="shared" si="9"/>
        <v>0.97407389186795901</v>
      </c>
      <c r="G311" s="13"/>
      <c r="H311" s="113"/>
      <c r="I311" s="5"/>
    </row>
    <row r="312" spans="1:9" x14ac:dyDescent="0.2">
      <c r="A312" s="5"/>
      <c r="B312" s="5"/>
      <c r="C312" s="5" t="s">
        <v>3826</v>
      </c>
      <c r="D312" s="28" t="s">
        <v>1072</v>
      </c>
      <c r="E312" s="13">
        <v>4078</v>
      </c>
      <c r="F312" s="113">
        <f t="shared" si="9"/>
        <v>20.061986520391599</v>
      </c>
      <c r="G312" s="13"/>
      <c r="H312" s="113"/>
      <c r="I312" s="5"/>
    </row>
    <row r="313" spans="1:9" x14ac:dyDescent="0.2">
      <c r="A313" s="5"/>
      <c r="B313" s="5"/>
      <c r="C313" s="5" t="s">
        <v>3827</v>
      </c>
      <c r="D313" s="28" t="s">
        <v>655</v>
      </c>
      <c r="E313" s="13">
        <v>5836</v>
      </c>
      <c r="F313" s="113">
        <f t="shared" si="9"/>
        <v>28.710581984552562</v>
      </c>
      <c r="G313" s="13"/>
      <c r="H313" s="113"/>
      <c r="I313" s="5"/>
    </row>
    <row r="314" spans="1:9" x14ac:dyDescent="0.2">
      <c r="A314" s="5"/>
      <c r="B314" s="5"/>
      <c r="C314" s="5"/>
      <c r="D314" s="28"/>
      <c r="E314" s="162" t="s">
        <v>3828</v>
      </c>
      <c r="F314" s="165">
        <f>SUM(F308:F313)</f>
        <v>100</v>
      </c>
      <c r="G314" s="162">
        <v>32868</v>
      </c>
      <c r="H314" s="165">
        <v>62.3</v>
      </c>
      <c r="I314" s="5"/>
    </row>
    <row r="315" spans="1:9" x14ac:dyDescent="0.2">
      <c r="A315" s="5"/>
      <c r="B315" s="5"/>
      <c r="C315" s="5"/>
      <c r="D315" s="28"/>
      <c r="E315" s="13"/>
      <c r="F315" s="113"/>
      <c r="G315" s="13"/>
      <c r="H315" s="113"/>
      <c r="I315" s="5"/>
    </row>
    <row r="316" spans="1:9" x14ac:dyDescent="0.2">
      <c r="A316" s="5" t="s">
        <v>2048</v>
      </c>
      <c r="B316" s="5"/>
      <c r="C316" s="5" t="s">
        <v>4047</v>
      </c>
      <c r="D316" s="28" t="s">
        <v>1736</v>
      </c>
      <c r="E316" s="13">
        <v>2778</v>
      </c>
      <c r="F316" s="113">
        <f t="shared" ref="F316:F321" si="10">E316/12599 *100</f>
        <v>22.049368997539489</v>
      </c>
      <c r="G316" s="13"/>
      <c r="H316" s="113"/>
      <c r="I316" s="5"/>
    </row>
    <row r="317" spans="1:9" x14ac:dyDescent="0.2">
      <c r="A317" s="5"/>
      <c r="B317" s="5"/>
      <c r="C317" s="5" t="s">
        <v>3829</v>
      </c>
      <c r="D317" s="5" t="s">
        <v>3275</v>
      </c>
      <c r="E317" s="13">
        <v>2022</v>
      </c>
      <c r="F317" s="113">
        <f t="shared" si="10"/>
        <v>16.048892769267404</v>
      </c>
      <c r="G317" s="13"/>
      <c r="H317" s="113"/>
      <c r="I317" s="5"/>
    </row>
    <row r="318" spans="1:9" x14ac:dyDescent="0.2">
      <c r="A318" s="5"/>
      <c r="B318" s="5"/>
      <c r="C318" s="5" t="s">
        <v>3830</v>
      </c>
      <c r="D318" s="28" t="s">
        <v>3639</v>
      </c>
      <c r="E318" s="13">
        <v>188</v>
      </c>
      <c r="F318" s="113">
        <f t="shared" si="10"/>
        <v>1.4921819191999366</v>
      </c>
      <c r="G318" s="13"/>
      <c r="H318" s="113"/>
      <c r="I318" s="5"/>
    </row>
    <row r="319" spans="1:9" x14ac:dyDescent="0.2">
      <c r="A319" s="5"/>
      <c r="B319" s="5"/>
      <c r="C319" s="14" t="s">
        <v>1108</v>
      </c>
      <c r="D319" s="28" t="s">
        <v>655</v>
      </c>
      <c r="E319" s="13">
        <v>6824</v>
      </c>
      <c r="F319" s="113">
        <f t="shared" si="10"/>
        <v>54.163028811810463</v>
      </c>
      <c r="G319" s="13"/>
      <c r="H319" s="113"/>
      <c r="I319" s="5"/>
    </row>
    <row r="320" spans="1:9" x14ac:dyDescent="0.2">
      <c r="A320" s="5"/>
      <c r="B320" s="5"/>
      <c r="C320" s="5" t="s">
        <v>3831</v>
      </c>
      <c r="D320" s="28" t="s">
        <v>2103</v>
      </c>
      <c r="E320" s="13">
        <v>200</v>
      </c>
      <c r="F320" s="113">
        <f t="shared" si="10"/>
        <v>1.5874275736169539</v>
      </c>
      <c r="G320" s="13"/>
      <c r="H320" s="113"/>
      <c r="I320" s="5"/>
    </row>
    <row r="321" spans="1:9" x14ac:dyDescent="0.2">
      <c r="A321" s="5"/>
      <c r="B321" s="5"/>
      <c r="C321" s="5" t="s">
        <v>3832</v>
      </c>
      <c r="D321" s="28" t="s">
        <v>1072</v>
      </c>
      <c r="E321" s="13">
        <v>587</v>
      </c>
      <c r="F321" s="113">
        <f t="shared" si="10"/>
        <v>4.6590999285657588</v>
      </c>
      <c r="G321" s="13"/>
      <c r="H321" s="113"/>
      <c r="I321" s="5"/>
    </row>
    <row r="322" spans="1:9" x14ac:dyDescent="0.2">
      <c r="A322" s="5"/>
      <c r="B322" s="5"/>
      <c r="C322" s="5"/>
      <c r="D322" s="28"/>
      <c r="E322" s="162" t="s">
        <v>3833</v>
      </c>
      <c r="F322" s="165">
        <f>SUM(F316:F321)</f>
        <v>100</v>
      </c>
      <c r="G322" s="162">
        <v>28251</v>
      </c>
      <c r="H322" s="165">
        <v>45</v>
      </c>
      <c r="I322" s="5"/>
    </row>
    <row r="323" spans="1:9" x14ac:dyDescent="0.2">
      <c r="A323" s="77"/>
      <c r="B323" s="77"/>
      <c r="C323" s="77"/>
      <c r="D323" s="152"/>
      <c r="E323" s="153"/>
      <c r="F323" s="154"/>
      <c r="G323" s="153"/>
      <c r="H323" s="154"/>
      <c r="I323" s="77"/>
    </row>
    <row r="324" spans="1:9" x14ac:dyDescent="0.2">
      <c r="A324" s="5" t="s">
        <v>1109</v>
      </c>
      <c r="B324" s="5"/>
      <c r="C324" s="5" t="s">
        <v>3834</v>
      </c>
      <c r="D324" s="28" t="s">
        <v>653</v>
      </c>
      <c r="E324" s="13">
        <v>103</v>
      </c>
      <c r="F324" s="113">
        <f>E324/13729*100</f>
        <v>0.75023672518027529</v>
      </c>
      <c r="G324" s="13"/>
      <c r="H324" s="113"/>
      <c r="I324" s="5"/>
    </row>
    <row r="325" spans="1:9" x14ac:dyDescent="0.2">
      <c r="A325" s="5"/>
      <c r="B325" s="5"/>
      <c r="C325" s="5" t="s">
        <v>3835</v>
      </c>
      <c r="D325" s="28" t="s">
        <v>1072</v>
      </c>
      <c r="E325" s="13">
        <v>1089</v>
      </c>
      <c r="F325" s="113">
        <f t="shared" ref="F325:F330" si="11">E325/13729*100</f>
        <v>7.9321145021487363</v>
      </c>
      <c r="G325" s="13"/>
      <c r="H325" s="113"/>
      <c r="I325" s="5"/>
    </row>
    <row r="326" spans="1:9" x14ac:dyDescent="0.2">
      <c r="A326" s="5"/>
      <c r="B326" s="5"/>
      <c r="C326" s="5" t="s">
        <v>3836</v>
      </c>
      <c r="D326" s="28" t="s">
        <v>655</v>
      </c>
      <c r="E326" s="13">
        <v>3383</v>
      </c>
      <c r="F326" s="113">
        <f t="shared" si="11"/>
        <v>24.641270303736615</v>
      </c>
      <c r="G326" s="13"/>
      <c r="H326" s="113"/>
      <c r="I326" s="5"/>
    </row>
    <row r="327" spans="1:9" x14ac:dyDescent="0.2">
      <c r="A327" s="5"/>
      <c r="B327" s="5"/>
      <c r="C327" s="5" t="s">
        <v>3837</v>
      </c>
      <c r="D327" s="5" t="s">
        <v>3275</v>
      </c>
      <c r="E327" s="13">
        <v>3412</v>
      </c>
      <c r="F327" s="113">
        <f t="shared" si="11"/>
        <v>24.852502003059218</v>
      </c>
      <c r="G327" s="13"/>
      <c r="H327" s="113"/>
      <c r="I327" s="5"/>
    </row>
    <row r="328" spans="1:9" x14ac:dyDescent="0.2">
      <c r="A328" s="5"/>
      <c r="B328" s="5"/>
      <c r="C328" s="14" t="s">
        <v>3458</v>
      </c>
      <c r="D328" s="28" t="s">
        <v>1736</v>
      </c>
      <c r="E328" s="13">
        <v>5454</v>
      </c>
      <c r="F328" s="113">
        <f t="shared" si="11"/>
        <v>39.726127176050696</v>
      </c>
      <c r="G328" s="13"/>
      <c r="H328" s="113"/>
      <c r="I328" s="5"/>
    </row>
    <row r="329" spans="1:9" x14ac:dyDescent="0.2">
      <c r="A329" s="5"/>
      <c r="B329" s="5"/>
      <c r="C329" s="5" t="s">
        <v>3838</v>
      </c>
      <c r="D329" s="5" t="s">
        <v>3639</v>
      </c>
      <c r="E329" s="13">
        <v>100</v>
      </c>
      <c r="F329" s="113">
        <f t="shared" si="11"/>
        <v>0.72838517007793724</v>
      </c>
      <c r="G329" s="13"/>
      <c r="H329" s="113"/>
      <c r="I329" s="5"/>
    </row>
    <row r="330" spans="1:9" x14ac:dyDescent="0.2">
      <c r="A330" s="5"/>
      <c r="B330" s="5"/>
      <c r="C330" s="5" t="s">
        <v>3840</v>
      </c>
      <c r="D330" s="28" t="s">
        <v>2103</v>
      </c>
      <c r="E330" s="13">
        <v>188</v>
      </c>
      <c r="F330" s="113">
        <f t="shared" si="11"/>
        <v>1.3693641197465218</v>
      </c>
      <c r="G330" s="13"/>
      <c r="H330" s="113"/>
      <c r="I330" s="5"/>
    </row>
    <row r="331" spans="1:9" x14ac:dyDescent="0.2">
      <c r="A331" s="5"/>
      <c r="B331" s="5"/>
      <c r="C331" s="5"/>
      <c r="D331" s="28"/>
      <c r="E331" s="162" t="s">
        <v>3839</v>
      </c>
      <c r="F331" s="165">
        <f>SUM(F324:F330)</f>
        <v>100</v>
      </c>
      <c r="G331" s="162">
        <v>28953</v>
      </c>
      <c r="H331" s="165">
        <v>47.7</v>
      </c>
      <c r="I331" s="5"/>
    </row>
    <row r="332" spans="1:9" x14ac:dyDescent="0.2">
      <c r="A332" s="5"/>
      <c r="B332" s="5"/>
      <c r="C332" s="5"/>
      <c r="D332" s="28"/>
      <c r="E332" s="13"/>
      <c r="F332" s="113"/>
      <c r="G332" s="13"/>
      <c r="H332" s="113"/>
      <c r="I332" s="5"/>
    </row>
    <row r="333" spans="1:9" x14ac:dyDescent="0.2">
      <c r="A333" s="5" t="s">
        <v>1113</v>
      </c>
      <c r="B333" s="5"/>
      <c r="C333" s="5" t="s">
        <v>1114</v>
      </c>
      <c r="D333" s="28" t="s">
        <v>655</v>
      </c>
      <c r="E333" s="13">
        <v>1172</v>
      </c>
      <c r="F333" s="113">
        <f t="shared" ref="F333:F338" si="12">E333/15685*100</f>
        <v>7.4721071087025814</v>
      </c>
      <c r="G333" s="13"/>
      <c r="H333" s="113"/>
      <c r="I333" s="5"/>
    </row>
    <row r="334" spans="1:9" x14ac:dyDescent="0.2">
      <c r="A334" s="5"/>
      <c r="B334" s="5"/>
      <c r="C334" s="5" t="s">
        <v>1826</v>
      </c>
      <c r="D334" s="28" t="s">
        <v>1072</v>
      </c>
      <c r="E334" s="13">
        <v>3856</v>
      </c>
      <c r="F334" s="113">
        <f t="shared" si="12"/>
        <v>24.583997449792797</v>
      </c>
      <c r="G334" s="13"/>
      <c r="H334" s="113"/>
      <c r="I334" s="5"/>
    </row>
    <row r="335" spans="1:9" x14ac:dyDescent="0.2">
      <c r="A335" s="5"/>
      <c r="B335" s="5"/>
      <c r="C335" s="5" t="s">
        <v>3841</v>
      </c>
      <c r="D335" s="5" t="s">
        <v>3639</v>
      </c>
      <c r="E335" s="13">
        <v>107</v>
      </c>
      <c r="F335" s="113">
        <f t="shared" si="12"/>
        <v>0.68218042715970673</v>
      </c>
      <c r="G335" s="13"/>
      <c r="H335" s="113"/>
      <c r="I335" s="5"/>
    </row>
    <row r="336" spans="1:9" x14ac:dyDescent="0.2">
      <c r="A336" s="5"/>
      <c r="B336" s="5"/>
      <c r="C336" s="5" t="s">
        <v>296</v>
      </c>
      <c r="D336" s="28" t="s">
        <v>2103</v>
      </c>
      <c r="E336" s="13">
        <v>423</v>
      </c>
      <c r="F336" s="113">
        <f t="shared" si="12"/>
        <v>2.696844118584635</v>
      </c>
      <c r="G336" s="13"/>
      <c r="H336" s="113"/>
      <c r="I336" s="5"/>
    </row>
    <row r="337" spans="1:9" x14ac:dyDescent="0.2">
      <c r="A337" s="5"/>
      <c r="B337" s="5"/>
      <c r="C337" s="5" t="s">
        <v>3842</v>
      </c>
      <c r="D337" s="5" t="s">
        <v>3275</v>
      </c>
      <c r="E337" s="13">
        <v>2840</v>
      </c>
      <c r="F337" s="113">
        <f t="shared" si="12"/>
        <v>18.106471150781001</v>
      </c>
      <c r="G337" s="13"/>
      <c r="H337" s="113"/>
      <c r="I337" s="5"/>
    </row>
    <row r="338" spans="1:9" x14ac:dyDescent="0.2">
      <c r="A338" s="5"/>
      <c r="B338" s="5"/>
      <c r="C338" s="14" t="s">
        <v>3463</v>
      </c>
      <c r="D338" s="28" t="s">
        <v>1736</v>
      </c>
      <c r="E338" s="13">
        <v>7287</v>
      </c>
      <c r="F338" s="113">
        <f t="shared" si="12"/>
        <v>46.458399744979282</v>
      </c>
      <c r="G338" s="13"/>
      <c r="H338" s="113"/>
      <c r="I338" s="5"/>
    </row>
    <row r="339" spans="1:9" x14ac:dyDescent="0.2">
      <c r="A339" s="5"/>
      <c r="B339" s="5"/>
      <c r="C339" s="5"/>
      <c r="D339" s="5"/>
      <c r="E339" s="162" t="s">
        <v>3843</v>
      </c>
      <c r="F339" s="165">
        <f>SUM(F333:F338)</f>
        <v>100</v>
      </c>
      <c r="G339" s="162">
        <v>27238</v>
      </c>
      <c r="H339" s="165">
        <v>57.8</v>
      </c>
      <c r="I339" s="5"/>
    </row>
    <row r="340" spans="1:9" x14ac:dyDescent="0.2">
      <c r="A340" s="5"/>
      <c r="B340" s="5"/>
      <c r="C340" s="5"/>
      <c r="D340" s="5"/>
      <c r="E340" s="13"/>
      <c r="F340" s="113"/>
      <c r="G340" s="13"/>
      <c r="H340" s="113"/>
      <c r="I340" s="5"/>
    </row>
    <row r="341" spans="1:9" x14ac:dyDescent="0.2">
      <c r="A341" s="5" t="s">
        <v>1118</v>
      </c>
      <c r="B341" s="5"/>
      <c r="C341" s="5" t="s">
        <v>1121</v>
      </c>
      <c r="D341" s="28" t="s">
        <v>1736</v>
      </c>
      <c r="E341" s="13">
        <v>5031</v>
      </c>
      <c r="F341" s="113">
        <f>E341/14511*100</f>
        <v>34.670250155054788</v>
      </c>
      <c r="G341" s="13"/>
      <c r="H341" s="113"/>
      <c r="I341" s="5"/>
    </row>
    <row r="342" spans="1:9" x14ac:dyDescent="0.2">
      <c r="A342" s="5"/>
      <c r="B342" s="5"/>
      <c r="C342" s="5" t="s">
        <v>3844</v>
      </c>
      <c r="D342" s="28" t="s">
        <v>2103</v>
      </c>
      <c r="E342" s="13">
        <v>262</v>
      </c>
      <c r="F342" s="113">
        <f>E342/14511*100</f>
        <v>1.8055268417062917</v>
      </c>
      <c r="G342" s="13"/>
      <c r="H342" s="113"/>
      <c r="I342" s="5"/>
    </row>
    <row r="343" spans="1:9" x14ac:dyDescent="0.2">
      <c r="A343" s="5"/>
      <c r="B343" s="5"/>
      <c r="C343" s="5" t="s">
        <v>3845</v>
      </c>
      <c r="D343" s="5" t="s">
        <v>3275</v>
      </c>
      <c r="E343" s="13">
        <v>2977</v>
      </c>
      <c r="F343" s="113">
        <f>E343/14511*100</f>
        <v>20.515471021983323</v>
      </c>
      <c r="G343" s="13"/>
      <c r="H343" s="113"/>
      <c r="I343" s="5"/>
    </row>
    <row r="344" spans="1:9" x14ac:dyDescent="0.2">
      <c r="A344" s="5"/>
      <c r="B344" s="5"/>
      <c r="C344" s="14" t="s">
        <v>3468</v>
      </c>
      <c r="D344" s="5" t="s">
        <v>1072</v>
      </c>
      <c r="E344" s="13">
        <v>5149</v>
      </c>
      <c r="F344" s="113">
        <f>E344/14511*100</f>
        <v>35.483426366204945</v>
      </c>
      <c r="G344" s="13"/>
      <c r="H344" s="113"/>
      <c r="I344" s="5"/>
    </row>
    <row r="345" spans="1:9" x14ac:dyDescent="0.2">
      <c r="A345" s="5"/>
      <c r="B345" s="5"/>
      <c r="C345" s="5" t="s">
        <v>3461</v>
      </c>
      <c r="D345" s="28" t="s">
        <v>655</v>
      </c>
      <c r="E345" s="13">
        <v>1092</v>
      </c>
      <c r="F345" s="113">
        <f>E345/14511*100</f>
        <v>7.5253256150506518</v>
      </c>
      <c r="G345" s="13"/>
      <c r="H345" s="113"/>
      <c r="I345" s="5"/>
    </row>
    <row r="346" spans="1:9" x14ac:dyDescent="0.2">
      <c r="A346" s="5"/>
      <c r="B346" s="5"/>
      <c r="C346" s="5"/>
      <c r="D346" s="28"/>
      <c r="E346" s="162" t="s">
        <v>3846</v>
      </c>
      <c r="F346" s="165">
        <f>SUM(F341:F345)</f>
        <v>99.999999999999986</v>
      </c>
      <c r="G346" s="162">
        <v>27506</v>
      </c>
      <c r="H346" s="165">
        <v>53.1</v>
      </c>
      <c r="I346" s="5"/>
    </row>
    <row r="347" spans="1:9" x14ac:dyDescent="0.2">
      <c r="A347" s="5"/>
      <c r="B347" s="5"/>
      <c r="C347" s="5"/>
      <c r="D347" s="28"/>
      <c r="E347" s="13"/>
      <c r="F347" s="113"/>
      <c r="G347" s="13"/>
      <c r="H347" s="113"/>
      <c r="I347" s="5"/>
    </row>
    <row r="348" spans="1:9" x14ac:dyDescent="0.2">
      <c r="A348" s="5" t="s">
        <v>1123</v>
      </c>
      <c r="B348" s="5"/>
      <c r="C348" s="5" t="s">
        <v>3482</v>
      </c>
      <c r="D348" s="28" t="s">
        <v>1072</v>
      </c>
      <c r="E348" s="13">
        <v>1640</v>
      </c>
      <c r="F348" s="113">
        <f t="shared" ref="F348:F353" si="13">E348/12029*100</f>
        <v>13.633718513592152</v>
      </c>
      <c r="G348" s="13"/>
      <c r="H348" s="113"/>
      <c r="I348" s="5"/>
    </row>
    <row r="349" spans="1:9" x14ac:dyDescent="0.2">
      <c r="A349" s="5"/>
      <c r="B349" s="5"/>
      <c r="C349" s="5" t="s">
        <v>3847</v>
      </c>
      <c r="D349" s="5" t="s">
        <v>3275</v>
      </c>
      <c r="E349" s="13">
        <v>2193</v>
      </c>
      <c r="F349" s="113">
        <f t="shared" si="13"/>
        <v>18.230941890431456</v>
      </c>
      <c r="G349" s="13"/>
      <c r="H349" s="113"/>
      <c r="I349" s="5"/>
    </row>
    <row r="350" spans="1:9" x14ac:dyDescent="0.2">
      <c r="A350" s="5"/>
      <c r="B350" s="5"/>
      <c r="C350" s="5" t="s">
        <v>480</v>
      </c>
      <c r="D350" s="28" t="s">
        <v>486</v>
      </c>
      <c r="E350" s="13">
        <v>43</v>
      </c>
      <c r="F350" s="113">
        <f t="shared" si="13"/>
        <v>0.35746944883198933</v>
      </c>
      <c r="G350" s="13"/>
      <c r="H350" s="113"/>
      <c r="I350" s="5"/>
    </row>
    <row r="351" spans="1:9" x14ac:dyDescent="0.2">
      <c r="A351" s="5"/>
      <c r="B351" s="5"/>
      <c r="C351" s="5" t="s">
        <v>3848</v>
      </c>
      <c r="D351" s="28" t="s">
        <v>655</v>
      </c>
      <c r="E351" s="13">
        <v>1336</v>
      </c>
      <c r="F351" s="113">
        <f t="shared" si="13"/>
        <v>11.106492642779948</v>
      </c>
      <c r="G351" s="13"/>
      <c r="H351" s="113"/>
      <c r="I351" s="5"/>
    </row>
    <row r="352" spans="1:9" x14ac:dyDescent="0.2">
      <c r="A352" s="5"/>
      <c r="B352" s="5"/>
      <c r="C352" s="5" t="s">
        <v>3849</v>
      </c>
      <c r="D352" s="28" t="s">
        <v>2103</v>
      </c>
      <c r="E352" s="13">
        <v>194</v>
      </c>
      <c r="F352" s="113">
        <f t="shared" si="13"/>
        <v>1.6127691412419987</v>
      </c>
      <c r="G352" s="13"/>
      <c r="H352" s="113"/>
      <c r="I352" s="5"/>
    </row>
    <row r="353" spans="1:9" x14ac:dyDescent="0.2">
      <c r="A353" s="5"/>
      <c r="B353" s="5"/>
      <c r="C353" s="14" t="s">
        <v>976</v>
      </c>
      <c r="D353" s="28" t="s">
        <v>1736</v>
      </c>
      <c r="E353" s="13">
        <v>6623</v>
      </c>
      <c r="F353" s="113">
        <f t="shared" si="13"/>
        <v>55.058608363122453</v>
      </c>
      <c r="G353" s="13"/>
      <c r="H353" s="113"/>
      <c r="I353" s="5"/>
    </row>
    <row r="354" spans="1:9" x14ac:dyDescent="0.2">
      <c r="A354" s="5"/>
      <c r="B354" s="5"/>
      <c r="C354" s="5"/>
      <c r="D354" s="28"/>
      <c r="E354" s="162" t="s">
        <v>3850</v>
      </c>
      <c r="F354" s="165">
        <f>SUM(F348:F353)</f>
        <v>100</v>
      </c>
      <c r="G354" s="162">
        <v>25250</v>
      </c>
      <c r="H354" s="165">
        <v>48.1</v>
      </c>
      <c r="I354" s="5"/>
    </row>
    <row r="355" spans="1:9" x14ac:dyDescent="0.2">
      <c r="A355" s="5"/>
      <c r="B355" s="5"/>
      <c r="C355" s="5"/>
      <c r="D355" s="28"/>
      <c r="E355" s="13"/>
      <c r="F355" s="113"/>
      <c r="G355" s="13"/>
      <c r="H355" s="113"/>
      <c r="I355" s="5"/>
    </row>
    <row r="356" spans="1:9" x14ac:dyDescent="0.2">
      <c r="A356" s="5" t="s">
        <v>977</v>
      </c>
      <c r="B356" s="5"/>
      <c r="C356" s="5" t="s">
        <v>3851</v>
      </c>
      <c r="D356" s="5" t="s">
        <v>3275</v>
      </c>
      <c r="E356" s="13">
        <v>3312</v>
      </c>
      <c r="F356" s="113">
        <f t="shared" ref="F356:F361" si="14">E356/14034*100</f>
        <v>23.599828986746473</v>
      </c>
      <c r="G356" s="13"/>
      <c r="H356" s="113"/>
      <c r="I356" s="5"/>
    </row>
    <row r="357" spans="1:9" x14ac:dyDescent="0.2">
      <c r="A357" s="5"/>
      <c r="B357" s="5"/>
      <c r="C357" s="5" t="s">
        <v>3852</v>
      </c>
      <c r="D357" s="28" t="s">
        <v>655</v>
      </c>
      <c r="E357" s="13">
        <v>1985</v>
      </c>
      <c r="F357" s="113">
        <f t="shared" si="14"/>
        <v>14.144221177141228</v>
      </c>
      <c r="G357" s="13"/>
      <c r="H357" s="113"/>
      <c r="I357" s="5"/>
    </row>
    <row r="358" spans="1:9" x14ac:dyDescent="0.2">
      <c r="A358" s="5"/>
      <c r="B358" s="5"/>
      <c r="C358" s="5" t="s">
        <v>978</v>
      </c>
      <c r="D358" s="28" t="s">
        <v>653</v>
      </c>
      <c r="E358" s="13">
        <v>545</v>
      </c>
      <c r="F358" s="113">
        <f t="shared" si="14"/>
        <v>3.8834259655123269</v>
      </c>
      <c r="G358" s="13"/>
      <c r="H358" s="113"/>
      <c r="I358" s="5"/>
    </row>
    <row r="359" spans="1:9" x14ac:dyDescent="0.2">
      <c r="A359" s="5"/>
      <c r="B359" s="5"/>
      <c r="C359" s="5" t="s">
        <v>3475</v>
      </c>
      <c r="D359" s="5" t="s">
        <v>2103</v>
      </c>
      <c r="E359" s="13">
        <v>262</v>
      </c>
      <c r="F359" s="113">
        <f t="shared" si="14"/>
        <v>1.8668946843380361</v>
      </c>
      <c r="G359" s="13"/>
      <c r="H359" s="113"/>
      <c r="I359" s="5"/>
    </row>
    <row r="360" spans="1:9" x14ac:dyDescent="0.2">
      <c r="A360" s="5"/>
      <c r="B360" s="5"/>
      <c r="C360" s="5" t="s">
        <v>1840</v>
      </c>
      <c r="D360" s="28" t="s">
        <v>1072</v>
      </c>
      <c r="E360" s="13">
        <v>2988</v>
      </c>
      <c r="F360" s="113">
        <f t="shared" si="14"/>
        <v>21.291150064129972</v>
      </c>
      <c r="G360" s="13"/>
      <c r="H360" s="113"/>
      <c r="I360" s="5"/>
    </row>
    <row r="361" spans="1:9" x14ac:dyDescent="0.2">
      <c r="A361" s="5"/>
      <c r="B361" s="5"/>
      <c r="C361" s="14" t="s">
        <v>3853</v>
      </c>
      <c r="D361" s="28" t="s">
        <v>1736</v>
      </c>
      <c r="E361" s="13">
        <v>4942</v>
      </c>
      <c r="F361" s="113">
        <f t="shared" si="14"/>
        <v>35.214479122131962</v>
      </c>
      <c r="G361" s="13"/>
      <c r="H361" s="113"/>
      <c r="I361" s="5"/>
    </row>
    <row r="362" spans="1:9" x14ac:dyDescent="0.2">
      <c r="A362" s="5"/>
      <c r="B362" s="5"/>
      <c r="C362" s="5"/>
      <c r="D362" s="28"/>
      <c r="E362" s="162" t="s">
        <v>3854</v>
      </c>
      <c r="F362" s="165">
        <f>SUM(F356:F361)</f>
        <v>100</v>
      </c>
      <c r="G362" s="162">
        <v>25920</v>
      </c>
      <c r="H362" s="165">
        <v>54.6</v>
      </c>
      <c r="I362" s="5"/>
    </row>
    <row r="363" spans="1:9" x14ac:dyDescent="0.2">
      <c r="A363" s="5"/>
      <c r="B363" s="5"/>
      <c r="C363" s="5"/>
      <c r="D363" s="28"/>
      <c r="E363" s="13"/>
      <c r="F363" s="113"/>
      <c r="G363" s="13"/>
      <c r="H363" s="113"/>
      <c r="I363" s="5"/>
    </row>
    <row r="364" spans="1:9" x14ac:dyDescent="0.2">
      <c r="A364" s="5" t="s">
        <v>985</v>
      </c>
      <c r="B364" s="5"/>
      <c r="C364" s="5" t="s">
        <v>3855</v>
      </c>
      <c r="D364" s="5" t="s">
        <v>3275</v>
      </c>
      <c r="E364" s="13">
        <v>2721</v>
      </c>
      <c r="F364" s="113">
        <f>E364/18409*100</f>
        <v>14.780813732413495</v>
      </c>
      <c r="G364" s="13"/>
      <c r="H364" s="113"/>
      <c r="I364" s="5"/>
    </row>
    <row r="365" spans="1:9" x14ac:dyDescent="0.2">
      <c r="A365" s="5"/>
      <c r="B365" s="5"/>
      <c r="C365" s="5" t="s">
        <v>3856</v>
      </c>
      <c r="D365" s="28" t="s">
        <v>1072</v>
      </c>
      <c r="E365" s="13">
        <v>4202</v>
      </c>
      <c r="F365" s="113">
        <f>E365/18409*100</f>
        <v>22.82579173230485</v>
      </c>
      <c r="G365" s="13"/>
      <c r="H365" s="113"/>
      <c r="I365" s="5"/>
    </row>
    <row r="366" spans="1:9" x14ac:dyDescent="0.2">
      <c r="A366" s="5"/>
      <c r="B366" s="5"/>
      <c r="C366" s="5" t="s">
        <v>3857</v>
      </c>
      <c r="D366" s="28" t="s">
        <v>655</v>
      </c>
      <c r="E366" s="13">
        <v>3892</v>
      </c>
      <c r="F366" s="113">
        <f>E366/18409*100</f>
        <v>21.141832799174317</v>
      </c>
      <c r="G366" s="13"/>
      <c r="H366" s="113"/>
      <c r="I366" s="5"/>
    </row>
    <row r="367" spans="1:9" x14ac:dyDescent="0.2">
      <c r="A367" s="5"/>
      <c r="B367" s="5"/>
      <c r="C367" s="5" t="s">
        <v>3858</v>
      </c>
      <c r="D367" s="5" t="s">
        <v>2103</v>
      </c>
      <c r="E367" s="13">
        <v>306</v>
      </c>
      <c r="F367" s="113">
        <f>E367/18409*100</f>
        <v>1.6622304307675595</v>
      </c>
      <c r="G367" s="13"/>
      <c r="H367" s="113"/>
      <c r="I367" s="5"/>
    </row>
    <row r="368" spans="1:9" x14ac:dyDescent="0.2">
      <c r="A368" s="5"/>
      <c r="B368" s="5"/>
      <c r="C368" s="14" t="s">
        <v>3859</v>
      </c>
      <c r="D368" s="28" t="s">
        <v>1736</v>
      </c>
      <c r="E368" s="13">
        <v>7288</v>
      </c>
      <c r="F368" s="113">
        <f>E368/18409*100</f>
        <v>39.589331305339783</v>
      </c>
      <c r="G368" s="13"/>
      <c r="H368" s="113"/>
      <c r="I368" s="5"/>
    </row>
    <row r="369" spans="1:9" x14ac:dyDescent="0.2">
      <c r="A369" s="5"/>
      <c r="B369" s="5"/>
      <c r="C369" s="5"/>
      <c r="D369" s="28"/>
      <c r="E369" s="162" t="s">
        <v>3860</v>
      </c>
      <c r="F369" s="165">
        <f>SUM(F364:F368)</f>
        <v>100</v>
      </c>
      <c r="G369" s="162">
        <v>28975</v>
      </c>
      <c r="H369" s="165">
        <v>63.9</v>
      </c>
      <c r="I369" s="5"/>
    </row>
    <row r="370" spans="1:9" x14ac:dyDescent="0.2">
      <c r="A370" s="5"/>
      <c r="B370" s="5"/>
      <c r="C370" s="5"/>
      <c r="D370" s="28"/>
      <c r="E370" s="13"/>
      <c r="F370" s="113"/>
      <c r="G370" s="13"/>
      <c r="H370" s="113"/>
      <c r="I370" s="5"/>
    </row>
    <row r="371" spans="1:9" x14ac:dyDescent="0.2">
      <c r="A371" s="5" t="s">
        <v>990</v>
      </c>
      <c r="B371" s="5"/>
      <c r="C371" s="14" t="s">
        <v>1845</v>
      </c>
      <c r="D371" s="28" t="s">
        <v>1736</v>
      </c>
      <c r="E371" s="13">
        <v>6942</v>
      </c>
      <c r="F371" s="113">
        <f t="shared" ref="F371:F376" si="15">E371/16451*100</f>
        <v>42.198042672177984</v>
      </c>
      <c r="G371" s="13"/>
      <c r="H371" s="113"/>
      <c r="I371" s="5"/>
    </row>
    <row r="372" spans="1:9" x14ac:dyDescent="0.2">
      <c r="A372" s="5"/>
      <c r="B372" s="5"/>
      <c r="C372" s="5" t="s">
        <v>3861</v>
      </c>
      <c r="D372" s="5" t="s">
        <v>3275</v>
      </c>
      <c r="E372" s="13">
        <v>2765</v>
      </c>
      <c r="F372" s="113">
        <f t="shared" si="15"/>
        <v>16.807488906449457</v>
      </c>
      <c r="G372" s="13"/>
      <c r="H372" s="113"/>
      <c r="I372" s="5"/>
    </row>
    <row r="373" spans="1:9" x14ac:dyDescent="0.2">
      <c r="A373" s="5"/>
      <c r="B373" s="5"/>
      <c r="C373" s="5" t="s">
        <v>993</v>
      </c>
      <c r="D373" s="28" t="s">
        <v>1072</v>
      </c>
      <c r="E373" s="13">
        <v>3619</v>
      </c>
      <c r="F373" s="113">
        <f t="shared" si="15"/>
        <v>21.998662695276884</v>
      </c>
      <c r="G373" s="13"/>
      <c r="H373" s="113"/>
      <c r="I373" s="5"/>
    </row>
    <row r="374" spans="1:9" x14ac:dyDescent="0.2">
      <c r="A374" s="5"/>
      <c r="B374" s="5"/>
      <c r="C374" s="5" t="s">
        <v>3862</v>
      </c>
      <c r="D374" s="28" t="s">
        <v>655</v>
      </c>
      <c r="E374" s="13">
        <v>1368</v>
      </c>
      <c r="F374" s="113">
        <f t="shared" si="15"/>
        <v>8.3156039146556431</v>
      </c>
      <c r="G374" s="13"/>
      <c r="H374" s="113"/>
      <c r="I374" s="5"/>
    </row>
    <row r="375" spans="1:9" x14ac:dyDescent="0.2">
      <c r="A375" s="5"/>
      <c r="B375" s="5"/>
      <c r="C375" s="5" t="s">
        <v>3863</v>
      </c>
      <c r="D375" s="28" t="s">
        <v>3639</v>
      </c>
      <c r="E375" s="13">
        <v>85</v>
      </c>
      <c r="F375" s="113">
        <f t="shared" si="15"/>
        <v>0.51668591574980249</v>
      </c>
      <c r="G375" s="13"/>
      <c r="H375" s="113"/>
      <c r="I375" s="5"/>
    </row>
    <row r="376" spans="1:9" x14ac:dyDescent="0.2">
      <c r="A376" s="5"/>
      <c r="B376" s="5"/>
      <c r="C376" s="5" t="s">
        <v>3864</v>
      </c>
      <c r="D376" s="5" t="s">
        <v>2103</v>
      </c>
      <c r="E376" s="13">
        <v>1672</v>
      </c>
      <c r="F376" s="113">
        <f t="shared" si="15"/>
        <v>10.163515895690232</v>
      </c>
      <c r="G376" s="13"/>
      <c r="H376" s="113"/>
      <c r="I376" s="5"/>
    </row>
    <row r="377" spans="1:9" x14ac:dyDescent="0.2">
      <c r="A377" s="5"/>
      <c r="B377" s="5"/>
      <c r="C377" s="5"/>
      <c r="D377" s="28"/>
      <c r="E377" s="162" t="s">
        <v>3865</v>
      </c>
      <c r="F377" s="165">
        <f>SUM(F371:F376)</f>
        <v>100</v>
      </c>
      <c r="G377" s="162">
        <v>27115</v>
      </c>
      <c r="H377" s="165">
        <v>61</v>
      </c>
      <c r="I377" s="5"/>
    </row>
    <row r="378" spans="1:9" x14ac:dyDescent="0.2">
      <c r="A378" s="5"/>
      <c r="B378" s="5"/>
      <c r="C378" s="5"/>
      <c r="D378" s="28"/>
      <c r="E378" s="13"/>
      <c r="F378" s="113"/>
      <c r="G378" s="13"/>
      <c r="H378" s="113"/>
      <c r="I378" s="5"/>
    </row>
    <row r="379" spans="1:9" x14ac:dyDescent="0.2">
      <c r="A379" s="5" t="s">
        <v>3866</v>
      </c>
      <c r="B379" s="5"/>
      <c r="C379" s="5" t="s">
        <v>3867</v>
      </c>
      <c r="D379" s="28" t="s">
        <v>1072</v>
      </c>
      <c r="E379" s="13">
        <v>2251</v>
      </c>
      <c r="F379" s="113">
        <f>E379/15057*100</f>
        <v>14.949857209271435</v>
      </c>
      <c r="G379" s="13"/>
      <c r="H379" s="113"/>
      <c r="I379" s="5"/>
    </row>
    <row r="380" spans="1:9" x14ac:dyDescent="0.2">
      <c r="A380" s="5"/>
      <c r="B380" s="5"/>
      <c r="C380" s="5" t="s">
        <v>3868</v>
      </c>
      <c r="D380" s="5" t="s">
        <v>3275</v>
      </c>
      <c r="E380" s="13">
        <v>2713</v>
      </c>
      <c r="F380" s="113">
        <f>E380/15057*100</f>
        <v>18.018197516105467</v>
      </c>
      <c r="G380" s="13"/>
      <c r="H380" s="113"/>
      <c r="I380" s="5"/>
    </row>
    <row r="381" spans="1:9" x14ac:dyDescent="0.2">
      <c r="A381" s="5"/>
      <c r="B381" s="5"/>
      <c r="C381" s="14" t="s">
        <v>3869</v>
      </c>
      <c r="D381" s="28" t="s">
        <v>1736</v>
      </c>
      <c r="E381" s="13">
        <v>8502</v>
      </c>
      <c r="F381" s="113">
        <f>E381/15057*100</f>
        <v>56.465431360828852</v>
      </c>
      <c r="G381" s="13"/>
      <c r="H381" s="113"/>
      <c r="I381" s="5"/>
    </row>
    <row r="382" spans="1:9" x14ac:dyDescent="0.2">
      <c r="A382" s="5"/>
      <c r="B382" s="5"/>
      <c r="C382" s="5" t="s">
        <v>3870</v>
      </c>
      <c r="D382" s="28" t="s">
        <v>2103</v>
      </c>
      <c r="E382" s="13">
        <v>308</v>
      </c>
      <c r="F382" s="113">
        <f>E382/15057*100</f>
        <v>2.0455602045560206</v>
      </c>
      <c r="G382" s="13"/>
      <c r="H382" s="113"/>
      <c r="I382" s="5"/>
    </row>
    <row r="383" spans="1:9" x14ac:dyDescent="0.2">
      <c r="A383" s="5"/>
      <c r="B383" s="5"/>
      <c r="C383" s="5" t="s">
        <v>3001</v>
      </c>
      <c r="D383" s="28" t="s">
        <v>655</v>
      </c>
      <c r="E383" s="13">
        <v>1283</v>
      </c>
      <c r="F383" s="113">
        <f>E383/15057*100</f>
        <v>8.5209537092382277</v>
      </c>
      <c r="G383" s="13"/>
      <c r="H383" s="113"/>
      <c r="I383" s="5"/>
    </row>
    <row r="384" spans="1:9" x14ac:dyDescent="0.2">
      <c r="A384" s="5"/>
      <c r="B384" s="5"/>
      <c r="C384" s="5"/>
      <c r="D384" s="28"/>
      <c r="E384" s="13" t="s">
        <v>3871</v>
      </c>
      <c r="F384" s="113">
        <f>SUM(F379:F383)</f>
        <v>100.00000000000001</v>
      </c>
      <c r="G384" s="13">
        <v>29493</v>
      </c>
      <c r="H384" s="113">
        <v>51.3</v>
      </c>
      <c r="I384" s="5"/>
    </row>
    <row r="385" spans="1:9" x14ac:dyDescent="0.2">
      <c r="A385" s="5"/>
      <c r="B385" s="5"/>
      <c r="C385" s="5"/>
      <c r="D385" s="28"/>
      <c r="E385" s="13"/>
      <c r="F385" s="113"/>
      <c r="G385" s="13"/>
      <c r="H385" s="113"/>
      <c r="I385" s="5"/>
    </row>
    <row r="386" spans="1:9" x14ac:dyDescent="0.2">
      <c r="A386" s="5" t="s">
        <v>994</v>
      </c>
      <c r="B386" s="5"/>
      <c r="C386" s="5" t="s">
        <v>3872</v>
      </c>
      <c r="D386" s="5" t="s">
        <v>3275</v>
      </c>
      <c r="E386" s="13">
        <v>1788</v>
      </c>
      <c r="F386" s="176">
        <f>E386/15175*100</f>
        <v>11.782537067545306</v>
      </c>
      <c r="G386" s="13"/>
      <c r="H386" s="113"/>
      <c r="I386" s="5"/>
    </row>
    <row r="387" spans="1:9" x14ac:dyDescent="0.2">
      <c r="A387" s="5"/>
      <c r="B387" s="5"/>
      <c r="C387" s="5" t="s">
        <v>3873</v>
      </c>
      <c r="D387" s="28" t="s">
        <v>1736</v>
      </c>
      <c r="E387" s="13">
        <v>3038</v>
      </c>
      <c r="F387" s="176">
        <f>E387/15175*100</f>
        <v>20.019769357495882</v>
      </c>
      <c r="G387" s="13"/>
      <c r="H387" s="113"/>
      <c r="I387" s="5"/>
    </row>
    <row r="388" spans="1:9" x14ac:dyDescent="0.2">
      <c r="A388" s="5"/>
      <c r="B388" s="5"/>
      <c r="C388" s="5" t="s">
        <v>3874</v>
      </c>
      <c r="D388" s="28" t="s">
        <v>3639</v>
      </c>
      <c r="E388" s="13">
        <v>183</v>
      </c>
      <c r="F388" s="176">
        <f>E388/15175*100</f>
        <v>1.2059308072487644</v>
      </c>
      <c r="G388" s="13"/>
      <c r="H388" s="113"/>
      <c r="I388" s="5"/>
    </row>
    <row r="389" spans="1:9" x14ac:dyDescent="0.2">
      <c r="A389" s="5"/>
      <c r="B389" s="5"/>
      <c r="C389" s="14" t="s">
        <v>3486</v>
      </c>
      <c r="D389" s="28" t="s">
        <v>655</v>
      </c>
      <c r="E389" s="13">
        <v>9496</v>
      </c>
      <c r="F389" s="176">
        <f>E389/15175*100</f>
        <v>62.576606260296543</v>
      </c>
      <c r="G389" s="13"/>
      <c r="H389" s="113"/>
      <c r="I389" s="5"/>
    </row>
    <row r="390" spans="1:9" x14ac:dyDescent="0.2">
      <c r="A390" s="5"/>
      <c r="B390" s="5"/>
      <c r="C390" s="5" t="s">
        <v>3875</v>
      </c>
      <c r="D390" s="28" t="s">
        <v>1072</v>
      </c>
      <c r="E390" s="13">
        <v>670</v>
      </c>
      <c r="F390" s="176">
        <f>E390/15175*100</f>
        <v>4.4151565074135091</v>
      </c>
      <c r="G390" s="13"/>
      <c r="H390" s="113"/>
      <c r="I390" s="5"/>
    </row>
    <row r="391" spans="1:9" x14ac:dyDescent="0.2">
      <c r="A391" s="5"/>
      <c r="B391" s="5"/>
      <c r="C391" s="5"/>
      <c r="D391" s="28"/>
      <c r="E391" s="162" t="s">
        <v>3876</v>
      </c>
      <c r="F391" s="165">
        <f>SUM(F386:F390)</f>
        <v>100</v>
      </c>
      <c r="G391" s="162">
        <v>28079</v>
      </c>
      <c r="H391" s="165">
        <v>54.4</v>
      </c>
      <c r="I391" s="5"/>
    </row>
    <row r="392" spans="1:9" x14ac:dyDescent="0.2">
      <c r="A392" s="5"/>
      <c r="B392" s="5"/>
      <c r="C392" s="5"/>
      <c r="D392" s="28"/>
      <c r="E392" s="13"/>
      <c r="F392" s="113"/>
      <c r="G392" s="13"/>
      <c r="H392" s="113"/>
      <c r="I392" s="5"/>
    </row>
    <row r="393" spans="1:9" x14ac:dyDescent="0.2">
      <c r="A393" s="5" t="s">
        <v>999</v>
      </c>
      <c r="B393" s="5"/>
      <c r="C393" s="5" t="s">
        <v>3877</v>
      </c>
      <c r="D393" s="5" t="s">
        <v>3275</v>
      </c>
      <c r="E393" s="13">
        <v>3307</v>
      </c>
      <c r="F393" s="113">
        <f>E393/19960*100</f>
        <v>16.56813627254509</v>
      </c>
      <c r="G393" s="13"/>
      <c r="H393" s="113"/>
      <c r="I393" s="5"/>
    </row>
    <row r="394" spans="1:9" x14ac:dyDescent="0.2">
      <c r="A394" s="5"/>
      <c r="B394" s="5"/>
      <c r="C394" s="5" t="s">
        <v>2689</v>
      </c>
      <c r="D394" s="28" t="s">
        <v>655</v>
      </c>
      <c r="E394" s="13">
        <v>1728</v>
      </c>
      <c r="F394" s="113">
        <f>E394/19960*100</f>
        <v>8.6573146292585168</v>
      </c>
      <c r="G394" s="13"/>
      <c r="H394" s="113"/>
      <c r="I394" s="5"/>
    </row>
    <row r="395" spans="1:9" x14ac:dyDescent="0.2">
      <c r="A395" s="5"/>
      <c r="B395" s="5"/>
      <c r="C395" s="14" t="s">
        <v>21</v>
      </c>
      <c r="D395" s="28" t="s">
        <v>1736</v>
      </c>
      <c r="E395" s="13">
        <v>12123</v>
      </c>
      <c r="F395" s="113">
        <f>E395/19960*100</f>
        <v>60.736472945891784</v>
      </c>
      <c r="G395" s="13"/>
      <c r="H395" s="113"/>
      <c r="I395" s="5"/>
    </row>
    <row r="396" spans="1:9" x14ac:dyDescent="0.2">
      <c r="A396" s="5"/>
      <c r="B396" s="5"/>
      <c r="C396" s="5" t="s">
        <v>3878</v>
      </c>
      <c r="D396" s="28" t="s">
        <v>2103</v>
      </c>
      <c r="E396" s="13">
        <v>446</v>
      </c>
      <c r="F396" s="113">
        <f>E396/19960*100</f>
        <v>2.2344689378757514</v>
      </c>
      <c r="G396" s="13"/>
      <c r="H396" s="113"/>
      <c r="I396" s="5"/>
    </row>
    <row r="397" spans="1:9" x14ac:dyDescent="0.2">
      <c r="A397" s="5"/>
      <c r="B397" s="5"/>
      <c r="C397" s="5" t="s">
        <v>3879</v>
      </c>
      <c r="D397" s="28" t="s">
        <v>1072</v>
      </c>
      <c r="E397" s="13">
        <v>2356</v>
      </c>
      <c r="F397" s="113">
        <f>E397/19960*100</f>
        <v>11.803607214428858</v>
      </c>
      <c r="G397" s="13"/>
      <c r="H397" s="113"/>
      <c r="I397" s="5"/>
    </row>
    <row r="398" spans="1:9" x14ac:dyDescent="0.2">
      <c r="A398" s="5"/>
      <c r="B398" s="5"/>
      <c r="C398" s="5"/>
      <c r="D398" s="28"/>
      <c r="E398" s="162" t="s">
        <v>3880</v>
      </c>
      <c r="F398" s="165">
        <f>SUM(F393:F397)</f>
        <v>100</v>
      </c>
      <c r="G398" s="162">
        <v>34015</v>
      </c>
      <c r="H398" s="165">
        <v>59</v>
      </c>
      <c r="I398" s="5"/>
    </row>
    <row r="399" spans="1:9" x14ac:dyDescent="0.2">
      <c r="A399" s="5"/>
      <c r="B399" s="5"/>
      <c r="C399" s="5"/>
      <c r="D399" s="28"/>
      <c r="E399" s="13"/>
      <c r="F399" s="113"/>
      <c r="G399" s="13"/>
      <c r="H399" s="113"/>
      <c r="I399" s="5"/>
    </row>
    <row r="400" spans="1:9" x14ac:dyDescent="0.2">
      <c r="A400" s="5" t="s">
        <v>3888</v>
      </c>
      <c r="B400" s="5"/>
      <c r="C400" s="5" t="s">
        <v>3889</v>
      </c>
      <c r="D400" s="5" t="s">
        <v>3275</v>
      </c>
      <c r="E400" s="13">
        <v>2123</v>
      </c>
      <c r="F400" s="113">
        <f>E400/5287*100</f>
        <v>40.155097408738413</v>
      </c>
      <c r="G400" s="13"/>
      <c r="H400" s="113"/>
      <c r="I400" s="5"/>
    </row>
    <row r="401" spans="1:9" x14ac:dyDescent="0.2">
      <c r="A401" s="5"/>
      <c r="B401" s="5"/>
      <c r="C401" s="5" t="s">
        <v>3890</v>
      </c>
      <c r="D401" s="28" t="s">
        <v>655</v>
      </c>
      <c r="E401" s="13">
        <v>419</v>
      </c>
      <c r="F401" s="113">
        <f>E401/5287*100</f>
        <v>7.9250993001702286</v>
      </c>
      <c r="G401" s="13"/>
      <c r="H401" s="113"/>
      <c r="I401" s="5"/>
    </row>
    <row r="402" spans="1:9" x14ac:dyDescent="0.2">
      <c r="A402" s="5"/>
      <c r="B402" s="5"/>
      <c r="C402" s="5" t="s">
        <v>3891</v>
      </c>
      <c r="D402" s="28" t="s">
        <v>1072</v>
      </c>
      <c r="E402" s="13">
        <v>157</v>
      </c>
      <c r="F402" s="113">
        <f>E402/5287*100</f>
        <v>2.9695479477964821</v>
      </c>
      <c r="G402" s="13"/>
      <c r="H402" s="113"/>
      <c r="I402" s="5"/>
    </row>
    <row r="403" spans="1:9" x14ac:dyDescent="0.2">
      <c r="A403" s="5"/>
      <c r="B403" s="5"/>
      <c r="C403" s="14" t="s">
        <v>3892</v>
      </c>
      <c r="D403" s="28" t="s">
        <v>1736</v>
      </c>
      <c r="E403" s="13">
        <v>2588</v>
      </c>
      <c r="F403" s="113">
        <f>E403/5287*100</f>
        <v>48.950255343294877</v>
      </c>
      <c r="G403" s="13"/>
      <c r="H403" s="113"/>
      <c r="I403" s="5"/>
    </row>
    <row r="404" spans="1:9" x14ac:dyDescent="0.2">
      <c r="A404" s="5"/>
      <c r="B404" s="5"/>
      <c r="C404" s="5"/>
      <c r="D404" s="28"/>
      <c r="E404" s="162" t="s">
        <v>3893</v>
      </c>
      <c r="F404" s="165">
        <f>SUM(F400:F403)</f>
        <v>100</v>
      </c>
      <c r="G404" s="162">
        <v>14686</v>
      </c>
      <c r="H404" s="165">
        <v>36.200000000000003</v>
      </c>
      <c r="I404" s="5"/>
    </row>
    <row r="405" spans="1:9" x14ac:dyDescent="0.2">
      <c r="A405" s="5"/>
      <c r="B405" s="5"/>
      <c r="C405" s="5"/>
      <c r="D405" s="28"/>
      <c r="E405" s="13"/>
      <c r="F405" s="113"/>
      <c r="G405" s="13"/>
      <c r="H405" s="113"/>
      <c r="I405" s="5"/>
    </row>
    <row r="406" spans="1:9" x14ac:dyDescent="0.2">
      <c r="A406" s="5" t="s">
        <v>2050</v>
      </c>
      <c r="B406" s="5"/>
      <c r="C406" s="14" t="s">
        <v>3894</v>
      </c>
      <c r="D406" s="28" t="s">
        <v>1736</v>
      </c>
      <c r="E406" s="13">
        <v>3609</v>
      </c>
      <c r="F406" s="113">
        <f>E406/7367*100</f>
        <v>48.988733541468712</v>
      </c>
      <c r="G406" s="13"/>
      <c r="H406" s="113"/>
      <c r="I406" s="5"/>
    </row>
    <row r="407" spans="1:9" x14ac:dyDescent="0.2">
      <c r="A407" s="5"/>
      <c r="B407" s="5"/>
      <c r="C407" s="5" t="s">
        <v>1357</v>
      </c>
      <c r="D407" s="5" t="s">
        <v>3275</v>
      </c>
      <c r="E407" s="13">
        <v>3164</v>
      </c>
      <c r="F407" s="113">
        <f>E407/7367*100</f>
        <v>42.948282883127462</v>
      </c>
      <c r="G407" s="13"/>
      <c r="H407" s="113"/>
      <c r="I407" s="5"/>
    </row>
    <row r="408" spans="1:9" x14ac:dyDescent="0.2">
      <c r="A408" s="5"/>
      <c r="B408" s="5"/>
      <c r="C408" s="5" t="s">
        <v>3895</v>
      </c>
      <c r="D408" s="28" t="s">
        <v>1072</v>
      </c>
      <c r="E408" s="13">
        <v>222</v>
      </c>
      <c r="F408" s="113">
        <f>E408/7367*100</f>
        <v>3.0134383059590064</v>
      </c>
      <c r="G408" s="13"/>
      <c r="H408" s="113"/>
      <c r="I408" s="5"/>
    </row>
    <row r="409" spans="1:9" x14ac:dyDescent="0.2">
      <c r="A409" s="5"/>
      <c r="B409" s="5"/>
      <c r="C409" s="5" t="s">
        <v>3896</v>
      </c>
      <c r="D409" s="28" t="s">
        <v>655</v>
      </c>
      <c r="E409" s="13">
        <v>372</v>
      </c>
      <c r="F409" s="113">
        <f>E409/7367*100</f>
        <v>5.0495452694448222</v>
      </c>
      <c r="G409" s="13"/>
      <c r="H409" s="113"/>
      <c r="I409" s="5"/>
    </row>
    <row r="410" spans="1:9" x14ac:dyDescent="0.2">
      <c r="A410" s="5"/>
      <c r="B410" s="5"/>
      <c r="C410" s="5"/>
      <c r="D410" s="28"/>
      <c r="E410" s="162" t="s">
        <v>3897</v>
      </c>
      <c r="F410" s="165">
        <f>SUM(F406:F409)</f>
        <v>100</v>
      </c>
      <c r="G410" s="162">
        <v>21843</v>
      </c>
      <c r="H410" s="165">
        <v>34</v>
      </c>
      <c r="I410" s="5"/>
    </row>
    <row r="411" spans="1:9" x14ac:dyDescent="0.2">
      <c r="A411" s="5"/>
      <c r="B411" s="5"/>
      <c r="C411" s="5"/>
      <c r="D411" s="28"/>
      <c r="E411" s="13"/>
      <c r="F411" s="113"/>
      <c r="G411" s="13"/>
      <c r="H411" s="113"/>
      <c r="I411" s="5"/>
    </row>
    <row r="412" spans="1:9" x14ac:dyDescent="0.2">
      <c r="A412" s="5" t="s">
        <v>2051</v>
      </c>
      <c r="B412" s="5"/>
      <c r="C412" s="5" t="s">
        <v>3898</v>
      </c>
      <c r="D412" s="28" t="s">
        <v>1072</v>
      </c>
      <c r="E412" s="13">
        <v>843</v>
      </c>
      <c r="F412" s="113">
        <f t="shared" ref="F412:F417" si="16">E412/16978*100</f>
        <v>4.965249145953587</v>
      </c>
      <c r="G412" s="13"/>
      <c r="H412" s="113"/>
      <c r="I412" s="5"/>
    </row>
    <row r="413" spans="1:9" x14ac:dyDescent="0.2">
      <c r="A413" s="5"/>
      <c r="B413" s="5"/>
      <c r="C413" s="14" t="s">
        <v>3899</v>
      </c>
      <c r="D413" s="28" t="s">
        <v>1736</v>
      </c>
      <c r="E413" s="13">
        <v>8370</v>
      </c>
      <c r="F413" s="113">
        <f t="shared" si="16"/>
        <v>49.299092943809633</v>
      </c>
      <c r="G413" s="13"/>
      <c r="H413" s="113"/>
      <c r="I413" s="5"/>
    </row>
    <row r="414" spans="1:9" x14ac:dyDescent="0.2">
      <c r="A414" s="5"/>
      <c r="B414" s="5"/>
      <c r="C414" s="5" t="s">
        <v>3900</v>
      </c>
      <c r="D414" s="28" t="s">
        <v>655</v>
      </c>
      <c r="E414" s="13">
        <v>1553</v>
      </c>
      <c r="F414" s="113">
        <f t="shared" si="16"/>
        <v>9.1471315820473542</v>
      </c>
      <c r="G414" s="13"/>
      <c r="H414" s="113"/>
      <c r="I414" s="5"/>
    </row>
    <row r="415" spans="1:9" x14ac:dyDescent="0.2">
      <c r="A415" s="5"/>
      <c r="B415" s="5"/>
      <c r="C415" s="5" t="s">
        <v>3901</v>
      </c>
      <c r="D415" s="5" t="s">
        <v>3639</v>
      </c>
      <c r="E415" s="13">
        <v>229</v>
      </c>
      <c r="F415" s="113">
        <f t="shared" si="16"/>
        <v>1.3488043350217929</v>
      </c>
      <c r="G415" s="13"/>
      <c r="H415" s="113"/>
      <c r="I415" s="5"/>
    </row>
    <row r="416" spans="1:9" x14ac:dyDescent="0.2">
      <c r="A416" s="5"/>
      <c r="B416" s="5"/>
      <c r="C416" s="5" t="s">
        <v>3008</v>
      </c>
      <c r="D416" s="5" t="s">
        <v>653</v>
      </c>
      <c r="E416" s="13">
        <v>180</v>
      </c>
      <c r="F416" s="113">
        <f t="shared" si="16"/>
        <v>1.0601955471787019</v>
      </c>
      <c r="G416" s="13"/>
      <c r="H416" s="113"/>
      <c r="I416" s="5"/>
    </row>
    <row r="417" spans="1:9" x14ac:dyDescent="0.2">
      <c r="A417" s="5"/>
      <c r="B417" s="5"/>
      <c r="C417" s="5" t="s">
        <v>17</v>
      </c>
      <c r="D417" s="5" t="s">
        <v>3275</v>
      </c>
      <c r="E417" s="13">
        <v>5803</v>
      </c>
      <c r="F417" s="113">
        <f t="shared" si="16"/>
        <v>34.179526445988927</v>
      </c>
      <c r="G417" s="13"/>
      <c r="H417" s="113"/>
      <c r="I417" s="5"/>
    </row>
    <row r="418" spans="1:9" x14ac:dyDescent="0.2">
      <c r="A418" s="5"/>
      <c r="B418" s="5"/>
      <c r="C418" s="5"/>
      <c r="D418" s="28"/>
      <c r="E418" s="162" t="s">
        <v>3902</v>
      </c>
      <c r="F418" s="165">
        <f>SUM(F412:F417)</f>
        <v>100</v>
      </c>
      <c r="G418" s="162">
        <v>29561</v>
      </c>
      <c r="H418" s="165">
        <v>57.7</v>
      </c>
      <c r="I418" s="5"/>
    </row>
    <row r="419" spans="1:9" x14ac:dyDescent="0.2">
      <c r="A419" s="5"/>
      <c r="B419" s="5"/>
      <c r="C419" s="5"/>
      <c r="D419" s="28"/>
      <c r="E419" s="13"/>
      <c r="F419" s="113"/>
      <c r="G419" s="13"/>
      <c r="H419" s="113"/>
      <c r="I419" s="5"/>
    </row>
    <row r="420" spans="1:9" x14ac:dyDescent="0.2">
      <c r="A420" s="5" t="s">
        <v>1360</v>
      </c>
      <c r="B420" s="5"/>
      <c r="C420" s="5" t="s">
        <v>3903</v>
      </c>
      <c r="D420" s="28" t="s">
        <v>655</v>
      </c>
      <c r="E420" s="13">
        <v>757</v>
      </c>
      <c r="F420" s="113">
        <f>E420/11919*100</f>
        <v>6.3512039600637644</v>
      </c>
      <c r="G420" s="13"/>
      <c r="H420" s="113"/>
      <c r="I420" s="5"/>
    </row>
    <row r="421" spans="1:9" x14ac:dyDescent="0.2">
      <c r="A421" s="5"/>
      <c r="B421" s="5"/>
      <c r="C421" s="5" t="s">
        <v>3504</v>
      </c>
      <c r="D421" s="5" t="s">
        <v>3275</v>
      </c>
      <c r="E421" s="13">
        <v>4912</v>
      </c>
      <c r="F421" s="113">
        <f>E421/11919*100</f>
        <v>41.211511032804765</v>
      </c>
      <c r="G421" s="13"/>
      <c r="H421" s="113"/>
      <c r="I421" s="5"/>
    </row>
    <row r="422" spans="1:9" x14ac:dyDescent="0.2">
      <c r="A422" s="5"/>
      <c r="B422" s="5"/>
      <c r="C422" s="14" t="s">
        <v>3904</v>
      </c>
      <c r="D422" s="28" t="s">
        <v>1736</v>
      </c>
      <c r="E422" s="13">
        <v>5458</v>
      </c>
      <c r="F422" s="113">
        <f>E422/11919*100</f>
        <v>45.792432251027769</v>
      </c>
      <c r="G422" s="13"/>
      <c r="H422" s="113"/>
      <c r="I422" s="5"/>
    </row>
    <row r="423" spans="1:9" x14ac:dyDescent="0.2">
      <c r="A423" s="5"/>
      <c r="B423" s="5"/>
      <c r="C423" s="5" t="s">
        <v>3905</v>
      </c>
      <c r="D423" s="28" t="s">
        <v>1072</v>
      </c>
      <c r="E423" s="13">
        <v>583</v>
      </c>
      <c r="F423" s="113">
        <f>E423/11919*100</f>
        <v>4.8913499454652243</v>
      </c>
      <c r="G423" s="13"/>
      <c r="H423" s="113"/>
      <c r="I423" s="5"/>
    </row>
    <row r="424" spans="1:9" x14ac:dyDescent="0.2">
      <c r="A424" s="5"/>
      <c r="B424" s="5"/>
      <c r="C424" s="5" t="s">
        <v>3906</v>
      </c>
      <c r="D424" s="28" t="s">
        <v>653</v>
      </c>
      <c r="E424" s="13">
        <v>209</v>
      </c>
      <c r="F424" s="113">
        <f>E424/11919*100</f>
        <v>1.7535028106384762</v>
      </c>
      <c r="G424" s="13"/>
      <c r="H424" s="113"/>
      <c r="I424" s="5"/>
    </row>
    <row r="425" spans="1:9" x14ac:dyDescent="0.2">
      <c r="A425" s="5"/>
      <c r="B425" s="5"/>
      <c r="C425" s="5"/>
      <c r="D425" s="28"/>
      <c r="E425" s="162" t="s">
        <v>3907</v>
      </c>
      <c r="F425" s="165">
        <f>SUM(F420:F424)</f>
        <v>100</v>
      </c>
      <c r="G425" s="162">
        <v>28126</v>
      </c>
      <c r="H425" s="165">
        <v>42.5</v>
      </c>
      <c r="I425" s="5"/>
    </row>
    <row r="426" spans="1:9" x14ac:dyDescent="0.2">
      <c r="A426" s="5"/>
      <c r="B426" s="5"/>
      <c r="C426" s="5"/>
      <c r="D426" s="28"/>
      <c r="E426" s="13"/>
      <c r="F426" s="113"/>
      <c r="G426" s="13"/>
      <c r="H426" s="113"/>
      <c r="I426" s="5"/>
    </row>
    <row r="427" spans="1:9" x14ac:dyDescent="0.2">
      <c r="A427" s="5" t="s">
        <v>1365</v>
      </c>
      <c r="B427" s="5"/>
      <c r="C427" s="5" t="s">
        <v>3908</v>
      </c>
      <c r="D427" s="28" t="s">
        <v>655</v>
      </c>
      <c r="E427" s="13">
        <v>1209</v>
      </c>
      <c r="F427" s="113">
        <f>E427/12999*100</f>
        <v>9.3007154396492044</v>
      </c>
      <c r="G427" s="13"/>
      <c r="H427" s="113"/>
      <c r="I427" s="5"/>
    </row>
    <row r="428" spans="1:9" x14ac:dyDescent="0.2">
      <c r="A428" s="5"/>
      <c r="B428" s="5"/>
      <c r="C428" s="5" t="s">
        <v>3909</v>
      </c>
      <c r="D428" s="28" t="s">
        <v>653</v>
      </c>
      <c r="E428" s="13">
        <v>204</v>
      </c>
      <c r="F428" s="113">
        <f>E428/12999*100</f>
        <v>1.5693514885760442</v>
      </c>
      <c r="G428" s="13"/>
      <c r="H428" s="113"/>
      <c r="I428" s="5"/>
    </row>
    <row r="429" spans="1:9" x14ac:dyDescent="0.2">
      <c r="A429" s="5"/>
      <c r="B429" s="5"/>
      <c r="C429" s="14" t="s">
        <v>3509</v>
      </c>
      <c r="D429" s="28" t="s">
        <v>1736</v>
      </c>
      <c r="E429" s="13">
        <v>6712</v>
      </c>
      <c r="F429" s="113">
        <f>E429/12999*100</f>
        <v>51.634741133933382</v>
      </c>
      <c r="G429" s="13"/>
      <c r="H429" s="113"/>
      <c r="I429" s="5"/>
    </row>
    <row r="430" spans="1:9" x14ac:dyDescent="0.2">
      <c r="A430" s="5"/>
      <c r="B430" s="5"/>
      <c r="C430" s="5" t="s">
        <v>3910</v>
      </c>
      <c r="D430" s="5" t="s">
        <v>3275</v>
      </c>
      <c r="E430" s="13">
        <v>4509</v>
      </c>
      <c r="F430" s="113">
        <f>E430/12999*100</f>
        <v>34.68728363720286</v>
      </c>
      <c r="G430" s="13"/>
      <c r="H430" s="113"/>
      <c r="I430" s="5"/>
    </row>
    <row r="431" spans="1:9" x14ac:dyDescent="0.2">
      <c r="A431" s="5"/>
      <c r="B431" s="5"/>
      <c r="C431" s="5" t="s">
        <v>3911</v>
      </c>
      <c r="D431" s="28" t="s">
        <v>1072</v>
      </c>
      <c r="E431" s="13">
        <v>365</v>
      </c>
      <c r="F431" s="113">
        <f>E431/12999*100</f>
        <v>2.8079083006385104</v>
      </c>
      <c r="G431" s="13"/>
      <c r="H431" s="113"/>
      <c r="I431" s="5"/>
    </row>
    <row r="432" spans="1:9" x14ac:dyDescent="0.2">
      <c r="A432" s="5"/>
      <c r="B432" s="5"/>
      <c r="C432" s="5"/>
      <c r="D432" s="28"/>
      <c r="E432" s="162" t="s">
        <v>3912</v>
      </c>
      <c r="F432" s="165">
        <f>SUM(F427:F431)</f>
        <v>100.00000000000001</v>
      </c>
      <c r="G432" s="162">
        <v>30764</v>
      </c>
      <c r="H432" s="165">
        <v>42.4</v>
      </c>
      <c r="I432" s="5"/>
    </row>
    <row r="433" spans="1:9" x14ac:dyDescent="0.2">
      <c r="A433" s="5"/>
      <c r="B433" s="5"/>
      <c r="C433" s="5"/>
      <c r="D433" s="28"/>
      <c r="E433" s="13"/>
      <c r="F433" s="113"/>
      <c r="G433" s="13"/>
      <c r="H433" s="113"/>
      <c r="I433" s="5"/>
    </row>
    <row r="434" spans="1:9" x14ac:dyDescent="0.2">
      <c r="A434" s="5" t="s">
        <v>1372</v>
      </c>
      <c r="B434" s="5"/>
      <c r="C434" s="5" t="s">
        <v>3913</v>
      </c>
      <c r="D434" s="28" t="s">
        <v>1736</v>
      </c>
      <c r="E434" s="13">
        <v>8159</v>
      </c>
      <c r="F434" s="113">
        <f>E434/19192*100</f>
        <v>42.512505210504372</v>
      </c>
      <c r="G434" s="13"/>
      <c r="H434" s="113"/>
      <c r="I434" s="5"/>
    </row>
    <row r="435" spans="1:9" x14ac:dyDescent="0.2">
      <c r="A435" s="5"/>
      <c r="B435" s="5"/>
      <c r="C435" s="5" t="s">
        <v>3914</v>
      </c>
      <c r="D435" s="28" t="s">
        <v>655</v>
      </c>
      <c r="E435" s="13">
        <v>392</v>
      </c>
      <c r="F435" s="113">
        <f>E435/19192*100</f>
        <v>2.0425177157148813</v>
      </c>
      <c r="G435" s="13"/>
      <c r="H435" s="113"/>
      <c r="I435" s="5"/>
    </row>
    <row r="436" spans="1:9" x14ac:dyDescent="0.2">
      <c r="A436" s="5"/>
      <c r="B436" s="5"/>
      <c r="C436" s="5" t="s">
        <v>3915</v>
      </c>
      <c r="D436" s="28" t="s">
        <v>1072</v>
      </c>
      <c r="E436" s="13">
        <v>547</v>
      </c>
      <c r="F436" s="113">
        <f>E436/19192*100</f>
        <v>2.850145894122551</v>
      </c>
      <c r="G436" s="13"/>
      <c r="H436" s="113"/>
      <c r="I436" s="5"/>
    </row>
    <row r="437" spans="1:9" x14ac:dyDescent="0.2">
      <c r="A437" s="5"/>
      <c r="B437" s="5"/>
      <c r="C437" s="14" t="s">
        <v>3916</v>
      </c>
      <c r="D437" s="5" t="s">
        <v>3275</v>
      </c>
      <c r="E437" s="13">
        <v>10094</v>
      </c>
      <c r="F437" s="113">
        <f>E437/19192*100</f>
        <v>52.594831179658186</v>
      </c>
      <c r="G437" s="13"/>
      <c r="H437" s="113"/>
      <c r="I437" s="5"/>
    </row>
    <row r="438" spans="1:9" x14ac:dyDescent="0.2">
      <c r="A438" s="5"/>
      <c r="B438" s="5"/>
      <c r="C438" s="5"/>
      <c r="D438" s="28"/>
      <c r="E438" s="162" t="s">
        <v>3917</v>
      </c>
      <c r="F438" s="165">
        <f>SUM(F434:F437)</f>
        <v>99.999999999999986</v>
      </c>
      <c r="G438" s="162">
        <v>32659</v>
      </c>
      <c r="H438" s="165">
        <v>58.9</v>
      </c>
      <c r="I438" s="5"/>
    </row>
    <row r="439" spans="1:9" x14ac:dyDescent="0.2">
      <c r="A439" s="5"/>
      <c r="B439" s="5"/>
      <c r="C439" s="5"/>
      <c r="D439" s="28"/>
      <c r="E439" s="13"/>
      <c r="F439" s="113"/>
      <c r="G439" s="13"/>
      <c r="H439" s="113"/>
      <c r="I439" s="5"/>
    </row>
    <row r="440" spans="1:9" x14ac:dyDescent="0.2">
      <c r="A440" s="5" t="s">
        <v>1377</v>
      </c>
      <c r="B440" s="5"/>
      <c r="C440" s="5" t="s">
        <v>3918</v>
      </c>
      <c r="D440" s="28" t="s">
        <v>2103</v>
      </c>
      <c r="E440" s="13">
        <v>747</v>
      </c>
      <c r="F440" s="113">
        <f>E440/15328*100</f>
        <v>4.8734342379958244</v>
      </c>
      <c r="G440" s="13"/>
      <c r="H440" s="113"/>
      <c r="I440" s="5"/>
    </row>
    <row r="441" spans="1:9" x14ac:dyDescent="0.2">
      <c r="A441" s="5"/>
      <c r="B441" s="5"/>
      <c r="C441" s="5" t="s">
        <v>3919</v>
      </c>
      <c r="D441" s="28" t="s">
        <v>655</v>
      </c>
      <c r="E441" s="13">
        <v>715</v>
      </c>
      <c r="F441" s="113">
        <f>E441/15328*100</f>
        <v>4.6646659707724432</v>
      </c>
      <c r="G441" s="13"/>
      <c r="H441" s="113"/>
      <c r="I441" s="5"/>
    </row>
    <row r="442" spans="1:9" x14ac:dyDescent="0.2">
      <c r="A442" s="5"/>
      <c r="B442" s="5"/>
      <c r="C442" s="5" t="s">
        <v>1380</v>
      </c>
      <c r="D442" s="28" t="s">
        <v>1736</v>
      </c>
      <c r="E442" s="13">
        <v>6140</v>
      </c>
      <c r="F442" s="113">
        <f>E442/15328*100</f>
        <v>40.05741127348643</v>
      </c>
      <c r="G442" s="13"/>
      <c r="H442" s="113"/>
      <c r="I442" s="5"/>
    </row>
    <row r="443" spans="1:9" x14ac:dyDescent="0.2">
      <c r="A443" s="5"/>
      <c r="B443" s="5"/>
      <c r="C443" s="14" t="s">
        <v>3920</v>
      </c>
      <c r="D443" s="5" t="s">
        <v>3275</v>
      </c>
      <c r="E443" s="13">
        <v>7084</v>
      </c>
      <c r="F443" s="113">
        <f>E443/15328*100</f>
        <v>46.216075156576203</v>
      </c>
      <c r="G443" s="13"/>
      <c r="H443" s="113"/>
      <c r="I443" s="5"/>
    </row>
    <row r="444" spans="1:9" x14ac:dyDescent="0.2">
      <c r="A444" s="1"/>
      <c r="B444" s="1"/>
      <c r="C444" s="1" t="s">
        <v>3921</v>
      </c>
      <c r="D444" s="28" t="s">
        <v>1072</v>
      </c>
      <c r="E444" s="19">
        <v>642</v>
      </c>
      <c r="F444" s="113">
        <f>E444/15328*100</f>
        <v>4.1884133611691023</v>
      </c>
      <c r="G444" s="19"/>
      <c r="H444" s="115"/>
      <c r="I444" s="1"/>
    </row>
    <row r="445" spans="1:9" x14ac:dyDescent="0.2">
      <c r="A445" s="5"/>
      <c r="B445" s="5"/>
      <c r="C445" s="5"/>
      <c r="D445" s="28"/>
      <c r="E445" s="162" t="s">
        <v>3922</v>
      </c>
      <c r="F445" s="165">
        <f>SUM(F440:F444)</f>
        <v>100</v>
      </c>
      <c r="G445" s="162">
        <v>28167</v>
      </c>
      <c r="H445" s="165">
        <v>54.7</v>
      </c>
      <c r="I445" s="5"/>
    </row>
    <row r="446" spans="1:9" x14ac:dyDescent="0.2">
      <c r="A446" s="5"/>
      <c r="B446" s="5"/>
      <c r="C446" s="5"/>
      <c r="D446" s="28"/>
      <c r="E446" s="13"/>
      <c r="F446" s="113"/>
      <c r="G446" s="13"/>
      <c r="H446" s="113"/>
      <c r="I446" s="5"/>
    </row>
    <row r="447" spans="1:9" x14ac:dyDescent="0.2">
      <c r="A447" s="5" t="s">
        <v>3923</v>
      </c>
      <c r="B447" s="5"/>
      <c r="C447" s="5" t="s">
        <v>1382</v>
      </c>
      <c r="D447" s="28" t="s">
        <v>1736</v>
      </c>
      <c r="E447" s="13">
        <v>5413</v>
      </c>
      <c r="F447" s="113">
        <f>E447/12788*100</f>
        <v>42.328745699092899</v>
      </c>
      <c r="G447" s="13"/>
      <c r="H447" s="113"/>
      <c r="I447" s="5"/>
    </row>
    <row r="448" spans="1:9" x14ac:dyDescent="0.2">
      <c r="A448" s="5"/>
      <c r="B448" s="5"/>
      <c r="C448" s="5" t="s">
        <v>3924</v>
      </c>
      <c r="D448" s="28" t="s">
        <v>655</v>
      </c>
      <c r="E448" s="13">
        <v>712</v>
      </c>
      <c r="F448" s="113">
        <f>E448/12788*100</f>
        <v>5.5677197372536753</v>
      </c>
      <c r="G448" s="13"/>
      <c r="H448" s="113"/>
      <c r="I448" s="5"/>
    </row>
    <row r="449" spans="1:9" x14ac:dyDescent="0.2">
      <c r="A449" s="5"/>
      <c r="B449" s="5"/>
      <c r="C449" s="5" t="s">
        <v>3925</v>
      </c>
      <c r="D449" s="28" t="s">
        <v>1072</v>
      </c>
      <c r="E449" s="13">
        <v>704</v>
      </c>
      <c r="F449" s="113">
        <f>E449/12788*100</f>
        <v>5.505161088520488</v>
      </c>
      <c r="G449" s="13"/>
      <c r="H449" s="113"/>
      <c r="I449" s="5"/>
    </row>
    <row r="450" spans="1:9" x14ac:dyDescent="0.2">
      <c r="A450" s="5"/>
      <c r="B450" s="5"/>
      <c r="C450" s="14" t="s">
        <v>3926</v>
      </c>
      <c r="D450" s="5" t="s">
        <v>3275</v>
      </c>
      <c r="E450" s="13">
        <v>5959</v>
      </c>
      <c r="F450" s="113">
        <f>E450/12788*100</f>
        <v>46.598373475132938</v>
      </c>
      <c r="G450" s="13"/>
      <c r="H450" s="113"/>
      <c r="I450" s="5"/>
    </row>
    <row r="451" spans="1:9" x14ac:dyDescent="0.2">
      <c r="A451" s="5"/>
      <c r="B451" s="5"/>
      <c r="C451" s="5"/>
      <c r="D451" s="28"/>
      <c r="E451" s="162" t="s">
        <v>3927</v>
      </c>
      <c r="F451" s="165">
        <f>SUM(F447:F450)</f>
        <v>100</v>
      </c>
      <c r="G451" s="162">
        <v>21729</v>
      </c>
      <c r="H451" s="165">
        <v>59.2</v>
      </c>
      <c r="I451" s="5"/>
    </row>
    <row r="452" spans="1:9" x14ac:dyDescent="0.2">
      <c r="A452" s="5"/>
      <c r="B452" s="5"/>
      <c r="C452" s="5"/>
      <c r="D452" s="28"/>
      <c r="E452" s="13"/>
      <c r="F452" s="113"/>
      <c r="G452" s="13"/>
      <c r="H452" s="113"/>
      <c r="I452" s="5"/>
    </row>
    <row r="453" spans="1:9" x14ac:dyDescent="0.2">
      <c r="A453" s="5" t="s">
        <v>2052</v>
      </c>
      <c r="B453" s="5"/>
      <c r="C453" s="5" t="s">
        <v>3928</v>
      </c>
      <c r="D453" s="28" t="s">
        <v>1736</v>
      </c>
      <c r="E453" s="13">
        <v>5363</v>
      </c>
      <c r="F453" s="113">
        <f>E453/14949*100</f>
        <v>35.875309385243156</v>
      </c>
      <c r="G453" s="13"/>
      <c r="H453" s="113"/>
      <c r="I453" s="5"/>
    </row>
    <row r="454" spans="1:9" x14ac:dyDescent="0.2">
      <c r="A454" s="5"/>
      <c r="B454" s="5"/>
      <c r="C454" s="14" t="s">
        <v>3929</v>
      </c>
      <c r="D454" s="5" t="s">
        <v>3275</v>
      </c>
      <c r="E454" s="13">
        <v>6573</v>
      </c>
      <c r="F454" s="113">
        <f>E454/14949*100</f>
        <v>43.969496287377083</v>
      </c>
      <c r="G454" s="13"/>
      <c r="H454" s="113"/>
      <c r="I454" s="5"/>
    </row>
    <row r="455" spans="1:9" x14ac:dyDescent="0.2">
      <c r="A455" s="5"/>
      <c r="B455" s="5"/>
      <c r="C455" s="5" t="s">
        <v>2523</v>
      </c>
      <c r="D455" s="28" t="s">
        <v>655</v>
      </c>
      <c r="E455" s="13">
        <v>1479</v>
      </c>
      <c r="F455" s="113">
        <f>E455/14949*100</f>
        <v>9.8936383704595627</v>
      </c>
      <c r="G455" s="13"/>
      <c r="H455" s="113"/>
      <c r="I455" s="5"/>
    </row>
    <row r="456" spans="1:9" x14ac:dyDescent="0.2">
      <c r="A456" s="5"/>
      <c r="B456" s="5"/>
      <c r="C456" s="5" t="s">
        <v>3930</v>
      </c>
      <c r="D456" s="28" t="s">
        <v>2103</v>
      </c>
      <c r="E456" s="13">
        <v>781</v>
      </c>
      <c r="F456" s="113">
        <f>E456/14949*100</f>
        <v>5.2244297277409864</v>
      </c>
      <c r="G456" s="13"/>
      <c r="H456" s="113"/>
      <c r="I456" s="5"/>
    </row>
    <row r="457" spans="1:9" x14ac:dyDescent="0.2">
      <c r="A457" s="5"/>
      <c r="B457" s="5"/>
      <c r="C457" s="5" t="s">
        <v>3931</v>
      </c>
      <c r="D457" s="28" t="s">
        <v>1072</v>
      </c>
      <c r="E457" s="13">
        <v>753</v>
      </c>
      <c r="F457" s="113">
        <f>E457/14949*100</f>
        <v>5.0371262291792087</v>
      </c>
      <c r="G457" s="13"/>
      <c r="H457" s="113"/>
      <c r="I457" s="5"/>
    </row>
    <row r="458" spans="1:9" x14ac:dyDescent="0.2">
      <c r="A458" s="5"/>
      <c r="B458" s="5"/>
      <c r="C458" s="5"/>
      <c r="D458" s="28"/>
      <c r="E458" s="162" t="s">
        <v>3932</v>
      </c>
      <c r="F458" s="165">
        <f>SUM(F453:F457)</f>
        <v>99.999999999999986</v>
      </c>
      <c r="G458" s="162">
        <v>26490</v>
      </c>
      <c r="H458" s="165">
        <v>56.7</v>
      </c>
      <c r="I458" s="5"/>
    </row>
    <row r="459" spans="1:9" x14ac:dyDescent="0.2">
      <c r="A459" s="5"/>
      <c r="B459" s="5"/>
      <c r="C459" s="5"/>
      <c r="D459" s="28"/>
      <c r="E459" s="13"/>
      <c r="F459" s="113"/>
      <c r="G459" s="13"/>
      <c r="H459" s="113"/>
      <c r="I459" s="5"/>
    </row>
    <row r="460" spans="1:9" x14ac:dyDescent="0.2">
      <c r="A460" s="5" t="s">
        <v>3933</v>
      </c>
      <c r="B460" s="5"/>
      <c r="C460" s="5" t="s">
        <v>3934</v>
      </c>
      <c r="D460" s="28" t="s">
        <v>1072</v>
      </c>
      <c r="E460" s="13">
        <v>727</v>
      </c>
      <c r="F460" s="113">
        <f t="shared" ref="F460:F465" si="17">E460/16418*100</f>
        <v>4.428066755999513</v>
      </c>
      <c r="G460" s="13"/>
      <c r="H460" s="113"/>
      <c r="I460" s="5"/>
    </row>
    <row r="461" spans="1:9" x14ac:dyDescent="0.2">
      <c r="A461" s="5"/>
      <c r="B461" s="5"/>
      <c r="C461" s="5" t="s">
        <v>3287</v>
      </c>
      <c r="D461" s="28" t="s">
        <v>2103</v>
      </c>
      <c r="E461" s="13">
        <v>453</v>
      </c>
      <c r="F461" s="113">
        <f t="shared" si="17"/>
        <v>2.7591667681812644</v>
      </c>
      <c r="G461" s="13"/>
      <c r="H461" s="113"/>
      <c r="I461" s="5"/>
    </row>
    <row r="462" spans="1:9" x14ac:dyDescent="0.2">
      <c r="A462" s="5"/>
      <c r="B462" s="5"/>
      <c r="C462" s="5" t="s">
        <v>916</v>
      </c>
      <c r="D462" s="28" t="s">
        <v>655</v>
      </c>
      <c r="E462" s="13">
        <v>1391</v>
      </c>
      <c r="F462" s="113">
        <f t="shared" si="17"/>
        <v>8.4724083323181869</v>
      </c>
      <c r="G462" s="13"/>
      <c r="H462" s="113"/>
      <c r="I462" s="5"/>
    </row>
    <row r="463" spans="1:9" x14ac:dyDescent="0.2">
      <c r="A463" s="5"/>
      <c r="B463" s="5"/>
      <c r="C463" s="5" t="s">
        <v>3935</v>
      </c>
      <c r="D463" s="5" t="s">
        <v>3639</v>
      </c>
      <c r="E463" s="13">
        <v>199</v>
      </c>
      <c r="F463" s="113">
        <f t="shared" si="17"/>
        <v>1.2120842977220123</v>
      </c>
      <c r="G463" s="13"/>
      <c r="H463" s="113"/>
      <c r="I463" s="5"/>
    </row>
    <row r="464" spans="1:9" x14ac:dyDescent="0.2">
      <c r="A464" s="5"/>
      <c r="B464" s="5"/>
      <c r="C464" s="14" t="s">
        <v>2695</v>
      </c>
      <c r="D464" s="28" t="s">
        <v>1736</v>
      </c>
      <c r="E464" s="13">
        <v>8420</v>
      </c>
      <c r="F464" s="113">
        <f t="shared" si="17"/>
        <v>51.285174808137413</v>
      </c>
      <c r="G464" s="13"/>
      <c r="H464" s="113"/>
      <c r="I464" s="5"/>
    </row>
    <row r="465" spans="1:9" x14ac:dyDescent="0.2">
      <c r="A465" s="5"/>
      <c r="B465" s="5"/>
      <c r="C465" s="5" t="s">
        <v>3936</v>
      </c>
      <c r="D465" s="5" t="s">
        <v>3275</v>
      </c>
      <c r="E465" s="13">
        <v>5228</v>
      </c>
      <c r="F465" s="113">
        <f t="shared" si="17"/>
        <v>31.843099037641615</v>
      </c>
      <c r="G465" s="13"/>
      <c r="H465" s="113"/>
      <c r="I465" s="5"/>
    </row>
    <row r="466" spans="1:9" x14ac:dyDescent="0.2">
      <c r="A466" s="5"/>
      <c r="B466" s="5"/>
      <c r="C466" s="5"/>
      <c r="D466" s="28"/>
      <c r="E466" s="162" t="s">
        <v>3937</v>
      </c>
      <c r="F466" s="165">
        <f>SUM(F460:F465)</f>
        <v>100</v>
      </c>
      <c r="G466" s="162">
        <v>31534</v>
      </c>
      <c r="H466" s="165">
        <v>52.4</v>
      </c>
      <c r="I466" s="5"/>
    </row>
    <row r="467" spans="1:9" x14ac:dyDescent="0.2">
      <c r="A467" s="5"/>
      <c r="B467" s="5"/>
      <c r="C467" s="5"/>
      <c r="D467" s="28"/>
      <c r="E467" s="13"/>
      <c r="F467" s="113"/>
      <c r="G467" s="13"/>
      <c r="H467" s="113"/>
      <c r="I467" s="5"/>
    </row>
    <row r="468" spans="1:9" x14ac:dyDescent="0.2">
      <c r="A468" s="1" t="s">
        <v>2350</v>
      </c>
      <c r="B468" s="5"/>
      <c r="C468" s="5" t="s">
        <v>3629</v>
      </c>
      <c r="D468" s="5" t="s">
        <v>653</v>
      </c>
      <c r="E468" s="13">
        <v>172</v>
      </c>
      <c r="F468" s="113">
        <f>E468/7193*100</f>
        <v>2.3912136799666341</v>
      </c>
      <c r="G468" s="13"/>
      <c r="H468" s="113"/>
      <c r="I468" s="5"/>
    </row>
    <row r="469" spans="1:9" x14ac:dyDescent="0.2">
      <c r="A469" s="5"/>
      <c r="B469" s="5"/>
      <c r="C469" s="5" t="s">
        <v>3630</v>
      </c>
      <c r="D469" s="5" t="s">
        <v>3275</v>
      </c>
      <c r="E469" s="13">
        <v>2851</v>
      </c>
      <c r="F469" s="113">
        <f>E469/7193*100</f>
        <v>39.635756985958572</v>
      </c>
      <c r="G469" s="13"/>
      <c r="H469" s="113"/>
      <c r="I469" s="5"/>
    </row>
    <row r="470" spans="1:9" x14ac:dyDescent="0.2">
      <c r="A470" s="5"/>
      <c r="C470" s="55" t="s">
        <v>2352</v>
      </c>
      <c r="D470" s="28" t="s">
        <v>1736</v>
      </c>
      <c r="E470" s="13">
        <v>3507</v>
      </c>
      <c r="F470" s="113">
        <f>E470/7193*100</f>
        <v>48.755734742110384</v>
      </c>
      <c r="G470" s="13"/>
      <c r="H470" s="113"/>
      <c r="I470" s="5"/>
    </row>
    <row r="471" spans="1:9" x14ac:dyDescent="0.2">
      <c r="A471" s="5"/>
      <c r="B471" s="5"/>
      <c r="C471" s="5" t="s">
        <v>3631</v>
      </c>
      <c r="D471" s="28" t="s">
        <v>655</v>
      </c>
      <c r="E471" s="13">
        <v>426</v>
      </c>
      <c r="F471" s="113">
        <f>E471/7193*100</f>
        <v>5.9224245794522448</v>
      </c>
      <c r="G471" s="13"/>
      <c r="H471" s="113"/>
      <c r="I471" s="5"/>
    </row>
    <row r="472" spans="1:9" x14ac:dyDescent="0.2">
      <c r="A472" s="53"/>
      <c r="B472" s="53"/>
      <c r="C472" s="53" t="s">
        <v>3632</v>
      </c>
      <c r="D472" s="28" t="s">
        <v>1072</v>
      </c>
      <c r="E472" s="13">
        <v>237</v>
      </c>
      <c r="F472" s="113">
        <f>E472/7193*100</f>
        <v>3.2948700125121646</v>
      </c>
      <c r="G472" s="13"/>
      <c r="H472" s="113"/>
      <c r="I472" s="53"/>
    </row>
    <row r="473" spans="1:9" x14ac:dyDescent="0.2">
      <c r="A473" s="53"/>
      <c r="B473" s="53"/>
      <c r="C473" s="1"/>
      <c r="D473" s="28"/>
      <c r="E473" s="162" t="s">
        <v>3633</v>
      </c>
      <c r="F473" s="165">
        <f>SUM(F468:F472)</f>
        <v>99.999999999999986</v>
      </c>
      <c r="G473" s="162">
        <v>18723</v>
      </c>
      <c r="H473" s="165">
        <v>38.5</v>
      </c>
      <c r="I473" s="53"/>
    </row>
    <row r="474" spans="1:9" x14ac:dyDescent="0.2">
      <c r="A474" s="53"/>
      <c r="B474" s="53"/>
      <c r="C474" s="53"/>
      <c r="D474" s="28"/>
      <c r="E474" s="13"/>
      <c r="F474" s="113"/>
      <c r="G474" s="13"/>
      <c r="H474" s="113"/>
      <c r="I474" s="53"/>
    </row>
    <row r="475" spans="1:9" x14ac:dyDescent="0.2">
      <c r="A475" s="5" t="s">
        <v>1935</v>
      </c>
      <c r="B475" s="5"/>
      <c r="C475" s="5" t="s">
        <v>3938</v>
      </c>
      <c r="D475" s="28" t="s">
        <v>1072</v>
      </c>
      <c r="E475" s="13">
        <v>2364</v>
      </c>
      <c r="F475" s="113">
        <f>E475/16116*100</f>
        <v>14.668652271034995</v>
      </c>
      <c r="G475" s="13"/>
      <c r="H475" s="113"/>
      <c r="I475" s="5"/>
    </row>
    <row r="476" spans="1:9" x14ac:dyDescent="0.2">
      <c r="A476" s="5"/>
      <c r="B476" s="5"/>
      <c r="C476" s="5" t="s">
        <v>3539</v>
      </c>
      <c r="D476" s="28" t="s">
        <v>655</v>
      </c>
      <c r="E476" s="13">
        <v>2007</v>
      </c>
      <c r="F476" s="113">
        <f>E476/16116*100</f>
        <v>12.453462397617274</v>
      </c>
      <c r="G476" s="13"/>
      <c r="H476" s="113"/>
      <c r="I476" s="5"/>
    </row>
    <row r="477" spans="1:9" x14ac:dyDescent="0.2">
      <c r="A477" s="5"/>
      <c r="B477" s="5"/>
      <c r="C477" s="14" t="s">
        <v>2703</v>
      </c>
      <c r="D477" s="28" t="s">
        <v>1736</v>
      </c>
      <c r="E477" s="13">
        <v>6599</v>
      </c>
      <c r="F477" s="113">
        <f>E477/16116*100</f>
        <v>40.94688508314718</v>
      </c>
      <c r="G477" s="13"/>
      <c r="H477" s="113"/>
      <c r="I477" s="5"/>
    </row>
    <row r="478" spans="1:9" x14ac:dyDescent="0.2">
      <c r="A478" s="5"/>
      <c r="B478" s="5"/>
      <c r="C478" s="5" t="s">
        <v>3939</v>
      </c>
      <c r="D478" s="5" t="s">
        <v>3275</v>
      </c>
      <c r="E478" s="13">
        <v>5146</v>
      </c>
      <c r="F478" s="113">
        <f>E478/16116*100</f>
        <v>31.931000248200547</v>
      </c>
      <c r="G478" s="13"/>
      <c r="H478" s="113"/>
      <c r="I478" s="5"/>
    </row>
    <row r="479" spans="1:9" x14ac:dyDescent="0.2">
      <c r="A479" s="5"/>
      <c r="B479" s="5"/>
      <c r="C479" s="5"/>
      <c r="D479" s="28"/>
      <c r="E479" s="162" t="s">
        <v>3940</v>
      </c>
      <c r="F479" s="165">
        <f>SUM(F475:F478)</f>
        <v>100</v>
      </c>
      <c r="G479" s="162">
        <v>31817</v>
      </c>
      <c r="H479" s="165">
        <v>51</v>
      </c>
      <c r="I479" s="5"/>
    </row>
    <row r="480" spans="1:9" x14ac:dyDescent="0.2">
      <c r="A480" s="5"/>
      <c r="B480" s="5"/>
      <c r="C480" s="5"/>
      <c r="D480" s="28"/>
      <c r="E480" s="13"/>
      <c r="F480" s="113"/>
      <c r="G480" s="13"/>
      <c r="H480" s="113"/>
      <c r="I480" s="5"/>
    </row>
    <row r="481" spans="1:9" x14ac:dyDescent="0.2">
      <c r="A481" s="5" t="s">
        <v>3180</v>
      </c>
      <c r="B481" s="5"/>
      <c r="C481" s="5" t="s">
        <v>2705</v>
      </c>
      <c r="D481" s="5" t="s">
        <v>1072</v>
      </c>
      <c r="E481" s="13">
        <v>881</v>
      </c>
      <c r="F481" s="113">
        <f>E481/15849*100</f>
        <v>5.5587103287273649</v>
      </c>
      <c r="G481" s="13"/>
      <c r="H481" s="113"/>
      <c r="I481" s="5"/>
    </row>
    <row r="482" spans="1:9" x14ac:dyDescent="0.2">
      <c r="A482" s="5"/>
      <c r="B482" s="5"/>
      <c r="C482" s="5" t="s">
        <v>3546</v>
      </c>
      <c r="D482" s="5" t="s">
        <v>3275</v>
      </c>
      <c r="E482" s="13">
        <v>4235</v>
      </c>
      <c r="F482" s="113">
        <f>E482/15849*100</f>
        <v>26.720928765221778</v>
      </c>
      <c r="G482" s="13"/>
      <c r="H482" s="113"/>
      <c r="I482" s="5"/>
    </row>
    <row r="483" spans="1:9" x14ac:dyDescent="0.2">
      <c r="A483" s="5"/>
      <c r="B483" s="5"/>
      <c r="C483" s="5" t="s">
        <v>3941</v>
      </c>
      <c r="D483" s="28" t="s">
        <v>655</v>
      </c>
      <c r="E483" s="13">
        <v>4746</v>
      </c>
      <c r="F483" s="113">
        <f>E483/15849*100</f>
        <v>29.945106946810522</v>
      </c>
      <c r="G483" s="13"/>
      <c r="H483" s="113"/>
      <c r="I483" s="5"/>
    </row>
    <row r="484" spans="1:9" x14ac:dyDescent="0.2">
      <c r="A484" s="5"/>
      <c r="B484" s="5"/>
      <c r="C484" s="5" t="s">
        <v>3942</v>
      </c>
      <c r="D484" s="28" t="s">
        <v>2103</v>
      </c>
      <c r="E484" s="13">
        <v>177</v>
      </c>
      <c r="F484" s="113">
        <f>E484/15849*100</f>
        <v>1.116789702820367</v>
      </c>
      <c r="G484" s="13"/>
      <c r="H484" s="113"/>
      <c r="I484" s="5"/>
    </row>
    <row r="485" spans="1:9" x14ac:dyDescent="0.2">
      <c r="A485" s="5"/>
      <c r="B485" s="5"/>
      <c r="C485" s="14" t="s">
        <v>3544</v>
      </c>
      <c r="D485" s="28" t="s">
        <v>1736</v>
      </c>
      <c r="E485" s="13">
        <v>5810</v>
      </c>
      <c r="F485" s="113">
        <f>E485/15849*100</f>
        <v>36.658464256419961</v>
      </c>
      <c r="G485" s="13"/>
      <c r="H485" s="113"/>
      <c r="I485" s="5"/>
    </row>
    <row r="486" spans="1:9" x14ac:dyDescent="0.2">
      <c r="A486" s="5"/>
      <c r="B486" s="5"/>
      <c r="C486" s="5"/>
      <c r="D486" s="28"/>
      <c r="E486" s="162" t="s">
        <v>3943</v>
      </c>
      <c r="F486" s="165">
        <f>SUM(F481:F485)</f>
        <v>100</v>
      </c>
      <c r="G486" s="162">
        <v>29267</v>
      </c>
      <c r="H486" s="165">
        <v>54.7</v>
      </c>
      <c r="I486" s="5"/>
    </row>
    <row r="487" spans="1:9" x14ac:dyDescent="0.2">
      <c r="A487" s="5"/>
      <c r="B487" s="5"/>
      <c r="C487" s="5"/>
      <c r="D487" s="28"/>
      <c r="E487" s="13"/>
      <c r="F487" s="113"/>
      <c r="G487" s="13"/>
      <c r="H487" s="113"/>
      <c r="I487" s="5"/>
    </row>
    <row r="488" spans="1:9" x14ac:dyDescent="0.2">
      <c r="A488" s="5" t="s">
        <v>3185</v>
      </c>
      <c r="B488" s="5"/>
      <c r="C488" s="14" t="s">
        <v>3944</v>
      </c>
      <c r="D488" s="5" t="s">
        <v>3275</v>
      </c>
      <c r="E488" s="13">
        <v>6750</v>
      </c>
      <c r="F488" s="113">
        <f>E488/12493*100</f>
        <v>54.030256943888574</v>
      </c>
      <c r="G488" s="13"/>
      <c r="H488" s="113"/>
      <c r="I488" s="5"/>
    </row>
    <row r="489" spans="1:9" x14ac:dyDescent="0.2">
      <c r="A489" s="5"/>
      <c r="B489" s="5"/>
      <c r="C489" s="5" t="s">
        <v>3945</v>
      </c>
      <c r="D489" s="28" t="s">
        <v>1736</v>
      </c>
      <c r="E489" s="13">
        <v>4502</v>
      </c>
      <c r="F489" s="113">
        <f>E489/12493*100</f>
        <v>36.036180260946132</v>
      </c>
      <c r="G489" s="13"/>
      <c r="H489" s="113"/>
      <c r="I489" s="5"/>
    </row>
    <row r="490" spans="1:9" x14ac:dyDescent="0.2">
      <c r="A490" s="5"/>
      <c r="B490" s="5"/>
      <c r="C490" s="5" t="s">
        <v>3946</v>
      </c>
      <c r="D490" s="28" t="s">
        <v>655</v>
      </c>
      <c r="E490" s="13">
        <v>767</v>
      </c>
      <c r="F490" s="113">
        <f>E490/12493*100</f>
        <v>6.1394380853277832</v>
      </c>
      <c r="G490" s="13"/>
      <c r="H490" s="113"/>
      <c r="I490" s="5"/>
    </row>
    <row r="491" spans="1:9" x14ac:dyDescent="0.2">
      <c r="A491" s="5"/>
      <c r="B491" s="5"/>
      <c r="C491" s="5" t="s">
        <v>3549</v>
      </c>
      <c r="D491" s="5" t="s">
        <v>1072</v>
      </c>
      <c r="E491" s="13">
        <v>474</v>
      </c>
      <c r="F491" s="113">
        <f>E491/12493*100</f>
        <v>3.7941247098375088</v>
      </c>
      <c r="G491" s="13"/>
      <c r="H491" s="113"/>
      <c r="I491" s="5"/>
    </row>
    <row r="492" spans="1:9" x14ac:dyDescent="0.2">
      <c r="A492" s="5"/>
      <c r="B492" s="5"/>
      <c r="C492" s="5"/>
      <c r="D492" s="28"/>
      <c r="E492" s="162" t="s">
        <v>3947</v>
      </c>
      <c r="F492" s="165">
        <f>SUM(F488:F491)</f>
        <v>99.999999999999986</v>
      </c>
      <c r="G492" s="162">
        <v>23572</v>
      </c>
      <c r="H492" s="165">
        <v>53.2</v>
      </c>
      <c r="I492" s="5"/>
    </row>
    <row r="493" spans="1:9" x14ac:dyDescent="0.2">
      <c r="A493" s="5"/>
      <c r="B493" s="5"/>
      <c r="C493" s="5"/>
      <c r="D493" s="28"/>
      <c r="E493" s="13"/>
      <c r="F493" s="113"/>
      <c r="G493" s="13"/>
      <c r="H493" s="113"/>
      <c r="I493" s="5"/>
    </row>
    <row r="494" spans="1:9" x14ac:dyDescent="0.2">
      <c r="A494" s="5" t="s">
        <v>3190</v>
      </c>
      <c r="B494" s="5"/>
      <c r="C494" s="5" t="s">
        <v>3492</v>
      </c>
      <c r="D494" s="28" t="s">
        <v>3639</v>
      </c>
      <c r="E494" s="13">
        <v>346</v>
      </c>
      <c r="F494" s="113">
        <f>E494/17849*100</f>
        <v>1.9384839486805983</v>
      </c>
      <c r="G494" s="13"/>
      <c r="H494" s="113"/>
      <c r="I494" s="5"/>
    </row>
    <row r="495" spans="1:9" x14ac:dyDescent="0.2">
      <c r="A495" s="5"/>
      <c r="B495" s="5"/>
      <c r="C495" s="5" t="s">
        <v>3948</v>
      </c>
      <c r="D495" s="28" t="s">
        <v>1736</v>
      </c>
      <c r="E495" s="13">
        <v>7385</v>
      </c>
      <c r="F495" s="113">
        <f>E495/17849*100</f>
        <v>41.374866939324335</v>
      </c>
      <c r="G495" s="13"/>
      <c r="H495" s="113"/>
      <c r="I495" s="5"/>
    </row>
    <row r="496" spans="1:9" x14ac:dyDescent="0.2">
      <c r="A496" s="5"/>
      <c r="B496" s="5"/>
      <c r="C496" s="5" t="s">
        <v>3949</v>
      </c>
      <c r="D496" s="28" t="s">
        <v>655</v>
      </c>
      <c r="E496" s="13">
        <v>944</v>
      </c>
      <c r="F496" s="113">
        <f>E496/17849*100</f>
        <v>5.2888116981343494</v>
      </c>
      <c r="G496" s="13"/>
      <c r="H496" s="113"/>
      <c r="I496" s="5"/>
    </row>
    <row r="497" spans="1:9" x14ac:dyDescent="0.2">
      <c r="A497" s="5"/>
      <c r="B497" s="5"/>
      <c r="C497" s="5" t="s">
        <v>3950</v>
      </c>
      <c r="D497" s="28" t="s">
        <v>1072</v>
      </c>
      <c r="E497" s="13">
        <v>597</v>
      </c>
      <c r="F497" s="113">
        <f>E497/17849*100</f>
        <v>3.3447251946887779</v>
      </c>
      <c r="G497" s="13"/>
      <c r="H497" s="113"/>
      <c r="I497" s="5"/>
    </row>
    <row r="498" spans="1:9" x14ac:dyDescent="0.2">
      <c r="A498" s="5"/>
      <c r="B498" s="5"/>
      <c r="C498" s="14" t="s">
        <v>3951</v>
      </c>
      <c r="D498" s="5" t="s">
        <v>3275</v>
      </c>
      <c r="E498" s="13">
        <v>8577</v>
      </c>
      <c r="F498" s="113">
        <f>E498/17849*100</f>
        <v>48.053112219171943</v>
      </c>
      <c r="G498" s="13"/>
      <c r="H498" s="113"/>
      <c r="I498" s="5"/>
    </row>
    <row r="499" spans="1:9" x14ac:dyDescent="0.2">
      <c r="A499" s="5"/>
      <c r="B499" s="5"/>
      <c r="C499" s="5"/>
      <c r="D499" s="28"/>
      <c r="E499" s="162" t="s">
        <v>3952</v>
      </c>
      <c r="F499" s="165">
        <f>SUM(F494:F498)</f>
        <v>100</v>
      </c>
      <c r="G499" s="162">
        <v>29644</v>
      </c>
      <c r="H499" s="165">
        <v>60.5</v>
      </c>
      <c r="I499" s="5"/>
    </row>
    <row r="500" spans="1:9" x14ac:dyDescent="0.2">
      <c r="A500" s="5"/>
      <c r="B500" s="5"/>
      <c r="C500" s="5"/>
      <c r="D500" s="28"/>
      <c r="E500" s="13"/>
      <c r="F500" s="113"/>
      <c r="G500" s="13"/>
      <c r="H500" s="113"/>
      <c r="I500" s="5"/>
    </row>
    <row r="501" spans="1:9" x14ac:dyDescent="0.2">
      <c r="A501" s="5" t="s">
        <v>3195</v>
      </c>
      <c r="B501" s="5"/>
      <c r="C501" s="5" t="s">
        <v>3953</v>
      </c>
      <c r="D501" s="28" t="s">
        <v>1736</v>
      </c>
      <c r="E501" s="13">
        <v>5342</v>
      </c>
      <c r="F501" s="113">
        <f>E501/13853*100</f>
        <v>38.562044322529417</v>
      </c>
      <c r="G501" s="13"/>
      <c r="H501" s="113"/>
      <c r="I501" s="5"/>
    </row>
    <row r="502" spans="1:9" x14ac:dyDescent="0.2">
      <c r="A502" s="5"/>
      <c r="B502" s="5"/>
      <c r="C502" s="5" t="s">
        <v>3954</v>
      </c>
      <c r="D502" s="28" t="s">
        <v>3639</v>
      </c>
      <c r="E502" s="13">
        <v>214</v>
      </c>
      <c r="F502" s="113">
        <f>E502/13853*100</f>
        <v>1.5447917418609687</v>
      </c>
      <c r="G502" s="13"/>
      <c r="H502" s="113"/>
      <c r="I502" s="5"/>
    </row>
    <row r="503" spans="1:9" x14ac:dyDescent="0.2">
      <c r="A503" s="5"/>
      <c r="B503" s="5"/>
      <c r="C503" s="14" t="s">
        <v>3955</v>
      </c>
      <c r="D503" s="5" t="s">
        <v>3275</v>
      </c>
      <c r="E503" s="13">
        <v>6034</v>
      </c>
      <c r="F503" s="113">
        <f>E503/13853*100</f>
        <v>43.55735219807984</v>
      </c>
      <c r="G503" s="13"/>
      <c r="H503" s="113"/>
      <c r="I503" s="5"/>
    </row>
    <row r="504" spans="1:9" x14ac:dyDescent="0.2">
      <c r="A504" s="5"/>
      <c r="B504" s="5"/>
      <c r="C504" s="5" t="s">
        <v>3956</v>
      </c>
      <c r="D504" s="28" t="s">
        <v>655</v>
      </c>
      <c r="E504" s="13">
        <v>1168</v>
      </c>
      <c r="F504" s="113">
        <f>E504/13853*100</f>
        <v>8.4313867032411753</v>
      </c>
      <c r="G504" s="13"/>
      <c r="H504" s="113"/>
      <c r="I504" s="5"/>
    </row>
    <row r="505" spans="1:9" x14ac:dyDescent="0.2">
      <c r="A505" s="5"/>
      <c r="B505" s="5"/>
      <c r="C505" s="5" t="s">
        <v>3957</v>
      </c>
      <c r="D505" s="28" t="s">
        <v>1072</v>
      </c>
      <c r="E505" s="13">
        <v>1095</v>
      </c>
      <c r="F505" s="113">
        <f>E505/13853*100</f>
        <v>7.904425034288602</v>
      </c>
      <c r="G505" s="13"/>
      <c r="H505" s="113"/>
      <c r="I505" s="5"/>
    </row>
    <row r="506" spans="1:9" x14ac:dyDescent="0.2">
      <c r="A506" s="5"/>
      <c r="B506" s="5"/>
      <c r="C506" s="5"/>
      <c r="D506" s="28"/>
      <c r="E506" s="162" t="s">
        <v>3958</v>
      </c>
      <c r="F506" s="165">
        <f>SUM(F501:F505)</f>
        <v>100</v>
      </c>
      <c r="G506" s="162">
        <v>29058</v>
      </c>
      <c r="H506" s="165">
        <v>48.1</v>
      </c>
      <c r="I506" s="5"/>
    </row>
    <row r="507" spans="1:9" x14ac:dyDescent="0.2">
      <c r="A507" s="5"/>
      <c r="B507" s="5"/>
      <c r="C507" s="5"/>
      <c r="D507" s="28"/>
      <c r="E507" s="13"/>
      <c r="F507" s="113"/>
      <c r="G507" s="13"/>
      <c r="H507" s="113"/>
      <c r="I507" s="5"/>
    </row>
    <row r="508" spans="1:9" x14ac:dyDescent="0.2">
      <c r="A508" s="5" t="s">
        <v>410</v>
      </c>
      <c r="B508" s="5"/>
      <c r="C508" s="5" t="s">
        <v>3959</v>
      </c>
      <c r="D508" s="28" t="s">
        <v>1736</v>
      </c>
      <c r="E508" s="13">
        <v>6707</v>
      </c>
      <c r="F508" s="113">
        <f>E508/18009*100</f>
        <v>37.242489866178026</v>
      </c>
      <c r="G508" s="13"/>
      <c r="H508" s="113"/>
      <c r="I508" s="5"/>
    </row>
    <row r="509" spans="1:9" x14ac:dyDescent="0.2">
      <c r="A509" s="5"/>
      <c r="B509" s="5"/>
      <c r="C509" s="5" t="s">
        <v>3960</v>
      </c>
      <c r="D509" s="28" t="s">
        <v>1072</v>
      </c>
      <c r="E509" s="13">
        <v>555</v>
      </c>
      <c r="F509" s="113">
        <f>E509/18009*100</f>
        <v>3.081792437114776</v>
      </c>
      <c r="G509" s="13"/>
      <c r="H509" s="113"/>
      <c r="I509" s="5"/>
    </row>
    <row r="510" spans="1:9" x14ac:dyDescent="0.2">
      <c r="A510" s="5"/>
      <c r="B510" s="5"/>
      <c r="C510" s="5" t="s">
        <v>3961</v>
      </c>
      <c r="D510" s="28" t="s">
        <v>655</v>
      </c>
      <c r="E510" s="13">
        <v>565</v>
      </c>
      <c r="F510" s="113">
        <f>E510/18009*100</f>
        <v>3.1373202287745019</v>
      </c>
      <c r="G510" s="13"/>
      <c r="H510" s="113"/>
      <c r="I510" s="5"/>
    </row>
    <row r="511" spans="1:9" x14ac:dyDescent="0.2">
      <c r="A511" s="5"/>
      <c r="B511" s="5"/>
      <c r="C511" s="14" t="s">
        <v>3962</v>
      </c>
      <c r="D511" s="5" t="s">
        <v>3275</v>
      </c>
      <c r="E511" s="13">
        <v>10182</v>
      </c>
      <c r="F511" s="113">
        <f>E511/18009*100</f>
        <v>56.538397467932697</v>
      </c>
      <c r="G511" s="13"/>
      <c r="H511" s="113"/>
      <c r="I511" s="5"/>
    </row>
    <row r="512" spans="1:9" x14ac:dyDescent="0.2">
      <c r="A512" s="5"/>
      <c r="B512" s="5"/>
      <c r="C512" s="5"/>
      <c r="D512" s="28"/>
      <c r="E512" s="162" t="s">
        <v>3963</v>
      </c>
      <c r="F512" s="165">
        <f>SUM(F508:F511)</f>
        <v>100</v>
      </c>
      <c r="G512" s="162">
        <v>29643</v>
      </c>
      <c r="H512" s="165">
        <v>61</v>
      </c>
      <c r="I512" s="5"/>
    </row>
    <row r="513" spans="1:9" x14ac:dyDescent="0.2">
      <c r="A513" s="5"/>
      <c r="B513" s="5"/>
      <c r="C513" s="5"/>
      <c r="D513" s="28"/>
      <c r="E513" s="13"/>
      <c r="F513" s="113"/>
      <c r="G513" s="13"/>
      <c r="H513" s="113"/>
      <c r="I513" s="5"/>
    </row>
    <row r="514" spans="1:9" x14ac:dyDescent="0.2">
      <c r="A514" s="5" t="s">
        <v>415</v>
      </c>
      <c r="B514" s="5"/>
      <c r="C514" s="5" t="s">
        <v>3964</v>
      </c>
      <c r="D514" s="5" t="s">
        <v>3275</v>
      </c>
      <c r="E514" s="13">
        <v>2213</v>
      </c>
      <c r="F514" s="113">
        <f>E514/7791*100</f>
        <v>28.404569374919781</v>
      </c>
      <c r="G514" s="13"/>
      <c r="H514" s="113"/>
      <c r="I514" s="5"/>
    </row>
    <row r="515" spans="1:9" x14ac:dyDescent="0.2">
      <c r="A515" s="5"/>
      <c r="B515" s="5"/>
      <c r="C515" s="5" t="s">
        <v>3965</v>
      </c>
      <c r="D515" s="28" t="s">
        <v>655</v>
      </c>
      <c r="E515" s="13">
        <v>730</v>
      </c>
      <c r="F515" s="113">
        <f>E515/7791*100</f>
        <v>9.3697856501090993</v>
      </c>
      <c r="G515" s="13"/>
      <c r="H515" s="113"/>
      <c r="I515" s="5"/>
    </row>
    <row r="516" spans="1:9" x14ac:dyDescent="0.2">
      <c r="A516" s="5"/>
      <c r="B516" s="5"/>
      <c r="C516" s="14" t="s">
        <v>2734</v>
      </c>
      <c r="D516" s="28" t="s">
        <v>1736</v>
      </c>
      <c r="E516" s="13">
        <v>4339</v>
      </c>
      <c r="F516" s="113">
        <f>E516/7791*100</f>
        <v>55.692465665511492</v>
      </c>
      <c r="G516" s="13"/>
      <c r="H516" s="113"/>
      <c r="I516" s="5"/>
    </row>
    <row r="517" spans="1:9" x14ac:dyDescent="0.2">
      <c r="A517" s="5"/>
      <c r="B517" s="5"/>
      <c r="C517" s="5" t="s">
        <v>3966</v>
      </c>
      <c r="D517" s="28" t="s">
        <v>1072</v>
      </c>
      <c r="E517" s="13">
        <v>509</v>
      </c>
      <c r="F517" s="113">
        <f>E517/7791*100</f>
        <v>6.5331793094596327</v>
      </c>
      <c r="G517" s="13"/>
      <c r="H517" s="113"/>
      <c r="I517" s="5"/>
    </row>
    <row r="518" spans="1:9" x14ac:dyDescent="0.2">
      <c r="A518" s="5"/>
      <c r="B518" s="5"/>
      <c r="C518" s="5"/>
      <c r="D518" s="28"/>
      <c r="E518" s="162" t="s">
        <v>3967</v>
      </c>
      <c r="F518" s="165">
        <f>SUM(F514:F517)</f>
        <v>100</v>
      </c>
      <c r="G518" s="162">
        <v>19452</v>
      </c>
      <c r="H518" s="165">
        <v>40.200000000000003</v>
      </c>
      <c r="I518" s="5"/>
    </row>
    <row r="519" spans="1:9" x14ac:dyDescent="0.2">
      <c r="A519" s="5"/>
      <c r="B519" s="5"/>
      <c r="C519" s="5"/>
      <c r="D519" s="28"/>
      <c r="E519" s="13"/>
      <c r="F519" s="113"/>
      <c r="G519" s="13"/>
      <c r="H519" s="113"/>
      <c r="I519" s="5"/>
    </row>
    <row r="520" spans="1:9" x14ac:dyDescent="0.2">
      <c r="A520" s="5" t="s">
        <v>425</v>
      </c>
      <c r="B520" s="5"/>
      <c r="C520" s="5" t="s">
        <v>3968</v>
      </c>
      <c r="D520" s="28" t="s">
        <v>2103</v>
      </c>
      <c r="E520" s="13">
        <v>249</v>
      </c>
      <c r="F520" s="113">
        <f>E520/13251*100</f>
        <v>1.8791034638895179</v>
      </c>
      <c r="G520" s="13"/>
      <c r="H520" s="113"/>
      <c r="I520" s="5"/>
    </row>
    <row r="521" spans="1:9" x14ac:dyDescent="0.2">
      <c r="A521" s="5"/>
      <c r="B521" s="5"/>
      <c r="C521" s="5" t="s">
        <v>3969</v>
      </c>
      <c r="D521" s="28" t="s">
        <v>1072</v>
      </c>
      <c r="E521" s="13">
        <v>2332</v>
      </c>
      <c r="F521" s="113">
        <f>E521/13251*100</f>
        <v>17.598671798354843</v>
      </c>
      <c r="G521" s="13"/>
      <c r="H521" s="113"/>
      <c r="I521" s="5"/>
    </row>
    <row r="522" spans="1:9" x14ac:dyDescent="0.2">
      <c r="A522" s="5"/>
      <c r="B522" s="5"/>
      <c r="C522" s="14" t="s">
        <v>428</v>
      </c>
      <c r="D522" s="28" t="s">
        <v>1736</v>
      </c>
      <c r="E522" s="13">
        <v>5130</v>
      </c>
      <c r="F522" s="113">
        <f>E522/13251*100</f>
        <v>38.714059316278018</v>
      </c>
      <c r="G522" s="13"/>
      <c r="H522" s="113"/>
      <c r="I522" s="5"/>
    </row>
    <row r="523" spans="1:9" x14ac:dyDescent="0.2">
      <c r="A523" s="5"/>
      <c r="B523" s="5"/>
      <c r="C523" s="5" t="s">
        <v>3970</v>
      </c>
      <c r="D523" s="28" t="s">
        <v>655</v>
      </c>
      <c r="E523" s="13">
        <v>973</v>
      </c>
      <c r="F523" s="113">
        <f>E523/13251*100</f>
        <v>7.34284204965663</v>
      </c>
      <c r="G523" s="13"/>
      <c r="H523" s="113"/>
      <c r="I523" s="5"/>
    </row>
    <row r="524" spans="1:9" x14ac:dyDescent="0.2">
      <c r="A524" s="5"/>
      <c r="B524" s="5"/>
      <c r="C524" s="5" t="s">
        <v>3971</v>
      </c>
      <c r="D524" s="5" t="s">
        <v>3275</v>
      </c>
      <c r="E524" s="13">
        <v>4567</v>
      </c>
      <c r="F524" s="113">
        <f>E524/13251*100</f>
        <v>34.465323371820993</v>
      </c>
      <c r="G524" s="13"/>
      <c r="H524" s="113"/>
      <c r="I524" s="5"/>
    </row>
    <row r="525" spans="1:9" x14ac:dyDescent="0.2">
      <c r="A525" s="5"/>
      <c r="B525" s="5"/>
      <c r="C525" s="5"/>
      <c r="D525" s="28"/>
      <c r="E525" s="162" t="s">
        <v>3972</v>
      </c>
      <c r="F525" s="165">
        <f>SUM(F520:F524)</f>
        <v>100</v>
      </c>
      <c r="G525" s="162">
        <v>29414</v>
      </c>
      <c r="H525" s="165">
        <v>45.2</v>
      </c>
      <c r="I525" s="5"/>
    </row>
    <row r="526" spans="1:9" x14ac:dyDescent="0.2">
      <c r="A526" s="5"/>
      <c r="B526" s="5"/>
      <c r="C526" s="5"/>
      <c r="D526" s="28"/>
      <c r="E526" s="13"/>
      <c r="F526" s="113"/>
      <c r="G526" s="13"/>
      <c r="H526" s="113"/>
      <c r="I526" s="5"/>
    </row>
    <row r="527" spans="1:9" x14ac:dyDescent="0.2">
      <c r="A527" s="5" t="s">
        <v>430</v>
      </c>
      <c r="B527" s="5"/>
      <c r="C527" s="5" t="s">
        <v>3973</v>
      </c>
      <c r="D527" s="28" t="s">
        <v>1072</v>
      </c>
      <c r="E527" s="13">
        <v>1195</v>
      </c>
      <c r="F527" s="113">
        <f>E527/16166*100</f>
        <v>7.3920574044290488</v>
      </c>
      <c r="G527" s="13"/>
      <c r="H527" s="113"/>
      <c r="I527" s="5"/>
    </row>
    <row r="528" spans="1:9" x14ac:dyDescent="0.2">
      <c r="A528" s="5"/>
      <c r="B528" s="5"/>
      <c r="C528" s="14" t="s">
        <v>3574</v>
      </c>
      <c r="D528" s="28" t="s">
        <v>1736</v>
      </c>
      <c r="E528" s="13">
        <v>7048</v>
      </c>
      <c r="F528" s="113">
        <f>E528/16166*100</f>
        <v>43.597674130891996</v>
      </c>
      <c r="G528" s="13"/>
      <c r="H528" s="113"/>
      <c r="I528" s="5"/>
    </row>
    <row r="529" spans="1:9" x14ac:dyDescent="0.2">
      <c r="A529" s="5"/>
      <c r="B529" s="5"/>
      <c r="C529" s="5" t="s">
        <v>3974</v>
      </c>
      <c r="D529" s="5" t="s">
        <v>2103</v>
      </c>
      <c r="E529" s="13">
        <v>604</v>
      </c>
      <c r="F529" s="113">
        <f>E529/16166*100</f>
        <v>3.7362365458369422</v>
      </c>
      <c r="G529" s="13"/>
      <c r="H529" s="113"/>
      <c r="I529" s="5"/>
    </row>
    <row r="530" spans="1:9" x14ac:dyDescent="0.2">
      <c r="A530" s="5"/>
      <c r="B530" s="5"/>
      <c r="C530" s="5" t="s">
        <v>3975</v>
      </c>
      <c r="D530" s="5" t="s">
        <v>3275</v>
      </c>
      <c r="E530" s="13">
        <v>5612</v>
      </c>
      <c r="F530" s="113">
        <f>E530/16166*100</f>
        <v>34.714833601385628</v>
      </c>
      <c r="G530" s="13"/>
      <c r="H530" s="113"/>
      <c r="I530" s="5"/>
    </row>
    <row r="531" spans="1:9" x14ac:dyDescent="0.2">
      <c r="A531" s="5"/>
      <c r="B531" s="5"/>
      <c r="C531" s="5" t="s">
        <v>3976</v>
      </c>
      <c r="D531" s="28" t="s">
        <v>655</v>
      </c>
      <c r="E531" s="13">
        <v>1707</v>
      </c>
      <c r="F531" s="113">
        <f>E531/16166*100</f>
        <v>10.55919831745639</v>
      </c>
      <c r="G531" s="13"/>
      <c r="H531" s="113"/>
      <c r="I531" s="5"/>
    </row>
    <row r="532" spans="1:9" x14ac:dyDescent="0.2">
      <c r="A532" s="5"/>
      <c r="B532" s="5"/>
      <c r="C532" s="5"/>
      <c r="D532" s="28"/>
      <c r="E532" s="162" t="s">
        <v>3977</v>
      </c>
      <c r="F532" s="165">
        <f>SUM(F527:F531)</f>
        <v>100.00000000000001</v>
      </c>
      <c r="G532" s="162">
        <v>32708</v>
      </c>
      <c r="H532" s="165">
        <v>49.7</v>
      </c>
      <c r="I532" s="5"/>
    </row>
    <row r="533" spans="1:9" x14ac:dyDescent="0.2">
      <c r="A533" s="5"/>
      <c r="B533" s="5"/>
      <c r="C533" s="5"/>
      <c r="D533" s="28"/>
      <c r="E533" s="13"/>
      <c r="F533" s="113"/>
      <c r="G533" s="13"/>
      <c r="H533" s="113"/>
      <c r="I533" s="5"/>
    </row>
    <row r="534" spans="1:9" x14ac:dyDescent="0.2">
      <c r="A534" s="5" t="s">
        <v>3978</v>
      </c>
      <c r="B534" s="5"/>
      <c r="C534" s="14" t="s">
        <v>3526</v>
      </c>
      <c r="D534" s="5" t="s">
        <v>3275</v>
      </c>
      <c r="E534" s="13">
        <v>7664</v>
      </c>
      <c r="F534" s="113">
        <f>E534/14904*100</f>
        <v>51.4224369296833</v>
      </c>
      <c r="G534" s="13"/>
      <c r="H534" s="113"/>
      <c r="I534" s="5"/>
    </row>
    <row r="535" spans="1:9" x14ac:dyDescent="0.2">
      <c r="A535" s="5" t="s">
        <v>3979</v>
      </c>
      <c r="B535" s="5"/>
      <c r="C535" s="5" t="s">
        <v>3980</v>
      </c>
      <c r="D535" s="28" t="s">
        <v>655</v>
      </c>
      <c r="E535" s="13">
        <v>776</v>
      </c>
      <c r="F535" s="113">
        <f>E535/14904*100</f>
        <v>5.2066559312936125</v>
      </c>
      <c r="G535" s="13"/>
      <c r="H535" s="113"/>
      <c r="I535" s="5"/>
    </row>
    <row r="536" spans="1:9" x14ac:dyDescent="0.2">
      <c r="A536" s="5"/>
      <c r="B536" s="5"/>
      <c r="C536" s="5" t="s">
        <v>444</v>
      </c>
      <c r="D536" s="28" t="s">
        <v>1736</v>
      </c>
      <c r="E536" s="13">
        <v>6044</v>
      </c>
      <c r="F536" s="113">
        <f>E536/14904*100</f>
        <v>40.552871712292003</v>
      </c>
      <c r="G536" s="13"/>
      <c r="H536" s="113"/>
      <c r="I536" s="5"/>
    </row>
    <row r="537" spans="1:9" x14ac:dyDescent="0.2">
      <c r="A537" s="5"/>
      <c r="B537" s="5"/>
      <c r="C537" s="5" t="s">
        <v>3982</v>
      </c>
      <c r="D537" s="28" t="s">
        <v>1072</v>
      </c>
      <c r="E537" s="13">
        <v>420</v>
      </c>
      <c r="F537" s="113">
        <f>E537/14904*100</f>
        <v>2.818035426731079</v>
      </c>
      <c r="G537" s="13"/>
      <c r="H537" s="113"/>
      <c r="I537" s="5"/>
    </row>
    <row r="538" spans="1:9" x14ac:dyDescent="0.2">
      <c r="A538" s="5"/>
      <c r="B538" s="5"/>
      <c r="C538" s="5"/>
      <c r="D538" s="28"/>
      <c r="E538" s="162" t="s">
        <v>3981</v>
      </c>
      <c r="F538" s="165">
        <f>SUM(F534:F537)</f>
        <v>100</v>
      </c>
      <c r="G538" s="162">
        <v>27863</v>
      </c>
      <c r="H538" s="165">
        <v>53.7</v>
      </c>
      <c r="I538" s="5"/>
    </row>
    <row r="539" spans="1:9" x14ac:dyDescent="0.2">
      <c r="A539" s="5"/>
      <c r="B539" s="5"/>
      <c r="C539" s="5"/>
      <c r="D539" s="28"/>
      <c r="E539" s="13"/>
      <c r="F539" s="113"/>
      <c r="G539" s="13"/>
      <c r="H539" s="113"/>
      <c r="I539" s="5"/>
    </row>
    <row r="540" spans="1:9" x14ac:dyDescent="0.2">
      <c r="A540" s="5" t="s">
        <v>446</v>
      </c>
      <c r="B540" s="5"/>
      <c r="C540" s="5" t="s">
        <v>3983</v>
      </c>
      <c r="D540" s="28" t="s">
        <v>655</v>
      </c>
      <c r="E540" s="13">
        <v>1674</v>
      </c>
      <c r="F540" s="113">
        <f>E540/19494*100</f>
        <v>8.5872576177285325</v>
      </c>
      <c r="G540" s="13"/>
      <c r="H540" s="113"/>
      <c r="I540" s="5"/>
    </row>
    <row r="541" spans="1:9" x14ac:dyDescent="0.2">
      <c r="A541" s="5"/>
      <c r="B541" s="5"/>
      <c r="C541" s="5" t="s">
        <v>3984</v>
      </c>
      <c r="D541" s="28" t="s">
        <v>1072</v>
      </c>
      <c r="E541" s="13">
        <v>2016</v>
      </c>
      <c r="F541" s="113">
        <f>E541/19494*100</f>
        <v>10.341643582640812</v>
      </c>
      <c r="G541" s="13"/>
      <c r="H541" s="113"/>
      <c r="I541" s="5"/>
    </row>
    <row r="542" spans="1:9" x14ac:dyDescent="0.2">
      <c r="A542" s="5"/>
      <c r="B542" s="5"/>
      <c r="C542" s="5" t="s">
        <v>3985</v>
      </c>
      <c r="D542" s="5" t="s">
        <v>3275</v>
      </c>
      <c r="E542" s="13">
        <v>4131</v>
      </c>
      <c r="F542" s="113">
        <f>E542/19494*100</f>
        <v>21.191135734072024</v>
      </c>
      <c r="G542" s="13"/>
      <c r="H542" s="113"/>
      <c r="I542" s="5"/>
    </row>
    <row r="543" spans="1:9" x14ac:dyDescent="0.2">
      <c r="A543" s="5"/>
      <c r="B543" s="5"/>
      <c r="C543" s="14" t="s">
        <v>3986</v>
      </c>
      <c r="D543" s="28" t="s">
        <v>1736</v>
      </c>
      <c r="E543" s="13">
        <v>10476</v>
      </c>
      <c r="F543" s="113">
        <f>E543/19494*100</f>
        <v>53.739612188365648</v>
      </c>
      <c r="G543" s="13"/>
      <c r="H543" s="113"/>
      <c r="I543" s="5"/>
    </row>
    <row r="544" spans="1:9" x14ac:dyDescent="0.2">
      <c r="A544" s="5"/>
      <c r="B544" s="5"/>
      <c r="C544" s="5" t="s">
        <v>3987</v>
      </c>
      <c r="D544" s="28" t="s">
        <v>2103</v>
      </c>
      <c r="E544" s="13">
        <v>1197</v>
      </c>
      <c r="F544" s="113">
        <f>E544/19494*100</f>
        <v>6.140350877192982</v>
      </c>
      <c r="G544" s="13"/>
      <c r="H544" s="113"/>
      <c r="I544" s="5"/>
    </row>
    <row r="545" spans="1:9" x14ac:dyDescent="0.2">
      <c r="A545" s="5"/>
      <c r="B545" s="5"/>
      <c r="C545" s="5"/>
      <c r="D545" s="28"/>
      <c r="E545" s="162" t="s">
        <v>3988</v>
      </c>
      <c r="F545" s="165">
        <f>SUM(F540:F544)</f>
        <v>100</v>
      </c>
      <c r="G545" s="162">
        <v>32651</v>
      </c>
      <c r="H545" s="165">
        <v>60</v>
      </c>
      <c r="I545" s="5"/>
    </row>
    <row r="546" spans="1:9" x14ac:dyDescent="0.2">
      <c r="A546" s="5"/>
      <c r="B546" s="5"/>
      <c r="C546" s="5"/>
      <c r="D546" s="28"/>
      <c r="E546" s="13"/>
      <c r="F546" s="113"/>
      <c r="G546" s="13"/>
      <c r="H546" s="113"/>
      <c r="I546" s="5"/>
    </row>
    <row r="547" spans="1:9" x14ac:dyDescent="0.2">
      <c r="A547" s="5" t="s">
        <v>905</v>
      </c>
      <c r="B547" s="5"/>
      <c r="C547" s="5" t="s">
        <v>3989</v>
      </c>
      <c r="D547" s="28" t="s">
        <v>1072</v>
      </c>
      <c r="E547" s="13">
        <v>1837</v>
      </c>
      <c r="F547" s="113">
        <f>E547/19173*100</f>
        <v>9.5811818703384972</v>
      </c>
      <c r="G547" s="13"/>
      <c r="H547" s="113"/>
      <c r="I547" s="5"/>
    </row>
    <row r="548" spans="1:9" x14ac:dyDescent="0.2">
      <c r="A548" s="5"/>
      <c r="B548" s="5"/>
      <c r="C548" s="5" t="s">
        <v>2754</v>
      </c>
      <c r="D548" s="28" t="s">
        <v>1071</v>
      </c>
      <c r="E548" s="13">
        <v>137</v>
      </c>
      <c r="F548" s="113">
        <f t="shared" ref="F548:F553" si="18">E548/19173*100</f>
        <v>0.71454649767902778</v>
      </c>
      <c r="G548" s="13"/>
      <c r="H548" s="113"/>
      <c r="I548" s="5"/>
    </row>
    <row r="549" spans="1:9" x14ac:dyDescent="0.2">
      <c r="A549" s="5"/>
      <c r="B549" s="5"/>
      <c r="C549" s="5" t="s">
        <v>3990</v>
      </c>
      <c r="D549" s="28" t="s">
        <v>653</v>
      </c>
      <c r="E549" s="13">
        <v>1064</v>
      </c>
      <c r="F549" s="113">
        <f t="shared" si="18"/>
        <v>5.549470609711574</v>
      </c>
      <c r="G549" s="13"/>
      <c r="H549" s="113"/>
      <c r="I549" s="5"/>
    </row>
    <row r="550" spans="1:9" x14ac:dyDescent="0.2">
      <c r="A550" s="5"/>
      <c r="B550" s="5"/>
      <c r="C550" s="5" t="s">
        <v>3991</v>
      </c>
      <c r="D550" s="5" t="s">
        <v>3275</v>
      </c>
      <c r="E550" s="13">
        <v>5948</v>
      </c>
      <c r="F550" s="113">
        <f t="shared" si="18"/>
        <v>31.022792468575599</v>
      </c>
      <c r="G550" s="13"/>
      <c r="H550" s="113"/>
      <c r="I550" s="5"/>
    </row>
    <row r="551" spans="1:9" x14ac:dyDescent="0.2">
      <c r="A551" s="5"/>
      <c r="B551" s="5"/>
      <c r="C551" s="5" t="s">
        <v>3992</v>
      </c>
      <c r="D551" s="5" t="s">
        <v>2103</v>
      </c>
      <c r="E551" s="13">
        <v>230</v>
      </c>
      <c r="F551" s="113">
        <f t="shared" si="18"/>
        <v>1.1996036092421634</v>
      </c>
      <c r="G551" s="13"/>
      <c r="H551" s="113"/>
      <c r="I551" s="5"/>
    </row>
    <row r="552" spans="1:9" x14ac:dyDescent="0.2">
      <c r="A552" s="5"/>
      <c r="B552" s="5"/>
      <c r="C552" s="14" t="s">
        <v>3993</v>
      </c>
      <c r="D552" s="28" t="s">
        <v>1736</v>
      </c>
      <c r="E552" s="13">
        <v>8747</v>
      </c>
      <c r="F552" s="113">
        <f t="shared" si="18"/>
        <v>45.621446826266101</v>
      </c>
      <c r="G552" s="13"/>
      <c r="H552" s="113"/>
      <c r="I552" s="5"/>
    </row>
    <row r="553" spans="1:9" x14ac:dyDescent="0.2">
      <c r="A553" s="5"/>
      <c r="B553" s="5"/>
      <c r="C553" s="5" t="s">
        <v>3994</v>
      </c>
      <c r="D553" s="28" t="s">
        <v>655</v>
      </c>
      <c r="E553" s="13">
        <v>1210</v>
      </c>
      <c r="F553" s="113">
        <f t="shared" si="18"/>
        <v>6.3109581181870338</v>
      </c>
      <c r="G553" s="13"/>
      <c r="H553" s="113"/>
      <c r="I553" s="5"/>
    </row>
    <row r="554" spans="1:9" x14ac:dyDescent="0.2">
      <c r="A554" s="5"/>
      <c r="B554" s="5"/>
      <c r="C554" s="5"/>
      <c r="D554" s="28"/>
      <c r="E554" s="162" t="s">
        <v>3995</v>
      </c>
      <c r="F554" s="165">
        <f>SUM(F547:F553)</f>
        <v>99.999999999999986</v>
      </c>
      <c r="G554" s="162">
        <v>30851</v>
      </c>
      <c r="H554" s="165">
        <v>62.6</v>
      </c>
      <c r="I554" s="5"/>
    </row>
    <row r="555" spans="1:9" x14ac:dyDescent="0.2">
      <c r="A555" s="5"/>
      <c r="B555" s="5"/>
      <c r="C555" s="5"/>
      <c r="D555" s="28"/>
      <c r="E555" s="13"/>
      <c r="F555" s="113"/>
      <c r="G555" s="13"/>
      <c r="H555" s="113"/>
      <c r="I555" s="5"/>
    </row>
    <row r="556" spans="1:9" x14ac:dyDescent="0.2">
      <c r="A556" s="5" t="s">
        <v>3996</v>
      </c>
      <c r="B556" s="5"/>
      <c r="C556" s="5" t="s">
        <v>3997</v>
      </c>
      <c r="D556" s="28" t="s">
        <v>1072</v>
      </c>
      <c r="E556" s="13">
        <v>1757</v>
      </c>
      <c r="F556" s="113">
        <f>E556/19702*100</f>
        <v>8.9178763577301794</v>
      </c>
      <c r="G556" s="13"/>
      <c r="H556" s="113"/>
      <c r="I556" s="5"/>
    </row>
    <row r="557" spans="1:9" x14ac:dyDescent="0.2">
      <c r="A557" s="123"/>
      <c r="B557" s="5"/>
      <c r="C557" s="14" t="s">
        <v>2543</v>
      </c>
      <c r="D557" s="28" t="s">
        <v>1736</v>
      </c>
      <c r="E557" s="13">
        <v>10812</v>
      </c>
      <c r="F557" s="113">
        <f>E557/19702*100</f>
        <v>54.877677393158052</v>
      </c>
      <c r="G557" s="13"/>
      <c r="H557" s="113"/>
      <c r="I557" s="5"/>
    </row>
    <row r="558" spans="1:9" x14ac:dyDescent="0.2">
      <c r="A558" s="123"/>
      <c r="B558" s="5"/>
      <c r="C558" s="5" t="s">
        <v>3998</v>
      </c>
      <c r="D558" s="5" t="s">
        <v>3275</v>
      </c>
      <c r="E558" s="13">
        <v>5354</v>
      </c>
      <c r="F558" s="113">
        <f>E558/19702*100</f>
        <v>27.174906100903463</v>
      </c>
      <c r="G558" s="13"/>
      <c r="H558" s="113"/>
      <c r="I558" s="5"/>
    </row>
    <row r="559" spans="1:9" x14ac:dyDescent="0.2">
      <c r="A559" s="123"/>
      <c r="B559" s="5"/>
      <c r="C559" s="5" t="s">
        <v>3999</v>
      </c>
      <c r="D559" s="28" t="s">
        <v>655</v>
      </c>
      <c r="E559" s="13">
        <v>1779</v>
      </c>
      <c r="F559" s="113">
        <f>E559/19702*100</f>
        <v>9.0295401482083033</v>
      </c>
      <c r="G559" s="13"/>
      <c r="H559" s="113"/>
      <c r="I559" s="5"/>
    </row>
    <row r="560" spans="1:9" x14ac:dyDescent="0.2">
      <c r="A560" s="5"/>
      <c r="B560" s="5"/>
      <c r="C560" s="5"/>
      <c r="D560" s="28"/>
      <c r="E560" s="162" t="s">
        <v>4000</v>
      </c>
      <c r="F560" s="165">
        <f>SUM(F556:F559)</f>
        <v>100</v>
      </c>
      <c r="G560" s="162">
        <v>35073</v>
      </c>
      <c r="H560" s="165">
        <v>56.4</v>
      </c>
      <c r="I560" s="5"/>
    </row>
    <row r="561" spans="1:9" x14ac:dyDescent="0.2">
      <c r="A561" s="5"/>
      <c r="B561" s="5"/>
      <c r="C561" s="5"/>
      <c r="D561" s="28"/>
      <c r="E561" s="13"/>
      <c r="F561" s="113"/>
      <c r="G561" s="13"/>
      <c r="H561" s="113"/>
      <c r="I561" s="5"/>
    </row>
    <row r="562" spans="1:9" x14ac:dyDescent="0.2">
      <c r="A562" s="5" t="s">
        <v>2545</v>
      </c>
      <c r="B562" s="5"/>
      <c r="C562" s="5" t="s">
        <v>4001</v>
      </c>
      <c r="D562" s="28" t="s">
        <v>1072</v>
      </c>
      <c r="E562" s="13">
        <v>1128</v>
      </c>
      <c r="F562" s="113">
        <f t="shared" ref="F562:F567" si="19">E562/16562*100</f>
        <v>6.8107716459364811</v>
      </c>
      <c r="G562" s="13"/>
      <c r="H562" s="113"/>
      <c r="I562" s="5"/>
    </row>
    <row r="563" spans="1:9" x14ac:dyDescent="0.2">
      <c r="A563" s="5"/>
      <c r="B563" s="5"/>
      <c r="C563" s="5" t="s">
        <v>4002</v>
      </c>
      <c r="D563" s="5" t="s">
        <v>3639</v>
      </c>
      <c r="E563" s="13">
        <v>149</v>
      </c>
      <c r="F563" s="113">
        <f t="shared" si="19"/>
        <v>0.89964980074870182</v>
      </c>
      <c r="G563" s="13"/>
      <c r="H563" s="113"/>
      <c r="I563" s="5"/>
    </row>
    <row r="564" spans="1:9" x14ac:dyDescent="0.2">
      <c r="A564" s="5"/>
      <c r="B564" s="5"/>
      <c r="C564" s="5" t="s">
        <v>4003</v>
      </c>
      <c r="D564" s="5" t="s">
        <v>2103</v>
      </c>
      <c r="E564" s="13">
        <v>217</v>
      </c>
      <c r="F564" s="113">
        <f t="shared" si="19"/>
        <v>1.3102282333051563</v>
      </c>
      <c r="G564" s="13"/>
      <c r="H564" s="113"/>
      <c r="I564" s="5"/>
    </row>
    <row r="565" spans="1:9" x14ac:dyDescent="0.2">
      <c r="A565" s="5"/>
      <c r="B565" s="5"/>
      <c r="C565" s="14" t="s">
        <v>4004</v>
      </c>
      <c r="D565" s="28" t="s">
        <v>1736</v>
      </c>
      <c r="E565" s="13">
        <v>7490</v>
      </c>
      <c r="F565" s="113">
        <f t="shared" si="19"/>
        <v>45.224006762468299</v>
      </c>
      <c r="G565" s="13"/>
      <c r="H565" s="113"/>
      <c r="I565" s="5"/>
    </row>
    <row r="566" spans="1:9" x14ac:dyDescent="0.2">
      <c r="A566" s="5"/>
      <c r="B566" s="5"/>
      <c r="C566" s="5" t="s">
        <v>4005</v>
      </c>
      <c r="D566" s="28" t="s">
        <v>655</v>
      </c>
      <c r="E566" s="13">
        <v>1324</v>
      </c>
      <c r="F566" s="113">
        <f t="shared" si="19"/>
        <v>7.9942035985992028</v>
      </c>
      <c r="G566" s="13"/>
      <c r="H566" s="113"/>
      <c r="I566" s="5"/>
    </row>
    <row r="567" spans="1:9" x14ac:dyDescent="0.2">
      <c r="A567" s="5"/>
      <c r="B567" s="5"/>
      <c r="C567" s="5" t="s">
        <v>4006</v>
      </c>
      <c r="D567" s="5" t="s">
        <v>3275</v>
      </c>
      <c r="E567" s="13">
        <v>6254</v>
      </c>
      <c r="F567" s="113">
        <f t="shared" si="19"/>
        <v>37.761139958942159</v>
      </c>
      <c r="G567" s="13"/>
      <c r="H567" s="113"/>
      <c r="I567" s="5"/>
    </row>
    <row r="568" spans="1:9" x14ac:dyDescent="0.2">
      <c r="A568" s="5"/>
      <c r="B568" s="5"/>
      <c r="C568" s="5"/>
      <c r="D568" s="28"/>
      <c r="E568" s="162" t="s">
        <v>4007</v>
      </c>
      <c r="F568" s="165">
        <f>SUM(F562:F567)</f>
        <v>100</v>
      </c>
      <c r="G568" s="162">
        <v>30316</v>
      </c>
      <c r="H568" s="165">
        <v>54.9</v>
      </c>
      <c r="I568" s="5"/>
    </row>
    <row r="569" spans="1:9" x14ac:dyDescent="0.2">
      <c r="A569" s="5"/>
      <c r="B569" s="5"/>
      <c r="C569" s="5"/>
      <c r="D569" s="28"/>
      <c r="E569" s="13"/>
      <c r="F569" s="113"/>
      <c r="G569" s="13"/>
      <c r="H569" s="113"/>
      <c r="I569" s="5"/>
    </row>
    <row r="570" spans="1:9" x14ac:dyDescent="0.2">
      <c r="A570" s="5" t="s">
        <v>4008</v>
      </c>
      <c r="B570" s="5"/>
      <c r="C570" s="5" t="s">
        <v>4009</v>
      </c>
      <c r="D570" s="28" t="s">
        <v>1072</v>
      </c>
      <c r="E570" s="13">
        <v>1365</v>
      </c>
      <c r="F570" s="113">
        <f>E570/19118*100</f>
        <v>7.1398681870488545</v>
      </c>
      <c r="G570" s="13"/>
      <c r="H570" s="113"/>
      <c r="I570" s="5"/>
    </row>
    <row r="571" spans="1:9" x14ac:dyDescent="0.2">
      <c r="A571" s="5"/>
      <c r="B571" s="5"/>
      <c r="C571" s="5" t="s">
        <v>4010</v>
      </c>
      <c r="D571" s="5" t="s">
        <v>3275</v>
      </c>
      <c r="E571" s="13">
        <v>6432</v>
      </c>
      <c r="F571" s="113">
        <f>E571/19118*100</f>
        <v>33.643686578093948</v>
      </c>
      <c r="G571" s="13"/>
      <c r="H571" s="113"/>
      <c r="I571" s="5"/>
    </row>
    <row r="572" spans="1:9" x14ac:dyDescent="0.2">
      <c r="A572" s="5"/>
      <c r="B572" s="5"/>
      <c r="C572" s="14" t="s">
        <v>3596</v>
      </c>
      <c r="D572" s="28" t="s">
        <v>1736</v>
      </c>
      <c r="E572" s="13">
        <v>9695</v>
      </c>
      <c r="F572" s="113">
        <f>E572/19118*100</f>
        <v>50.711371482372634</v>
      </c>
      <c r="G572" s="13"/>
      <c r="H572" s="113"/>
      <c r="I572" s="5"/>
    </row>
    <row r="573" spans="1:9" x14ac:dyDescent="0.2">
      <c r="A573" s="5"/>
      <c r="B573" s="5"/>
      <c r="C573" s="5" t="s">
        <v>4011</v>
      </c>
      <c r="D573" s="28" t="s">
        <v>655</v>
      </c>
      <c r="E573" s="13">
        <v>1626</v>
      </c>
      <c r="F573" s="113">
        <f>E573/19118*100</f>
        <v>8.5050737524845701</v>
      </c>
      <c r="G573" s="13"/>
      <c r="H573" s="113"/>
      <c r="I573" s="5"/>
    </row>
    <row r="574" spans="1:9" x14ac:dyDescent="0.2">
      <c r="A574" s="5"/>
      <c r="B574" s="5"/>
      <c r="C574" s="5"/>
      <c r="D574" s="28"/>
      <c r="E574" s="162" t="s">
        <v>4012</v>
      </c>
      <c r="F574" s="165">
        <f>SUM(F570:F573)</f>
        <v>100</v>
      </c>
      <c r="G574" s="162">
        <v>32159</v>
      </c>
      <c r="H574" s="165">
        <v>59.7</v>
      </c>
      <c r="I574" s="5"/>
    </row>
    <row r="575" spans="1:9" x14ac:dyDescent="0.2">
      <c r="A575" s="5"/>
      <c r="B575" s="5"/>
      <c r="C575" s="5"/>
      <c r="D575" s="28"/>
      <c r="E575" s="13"/>
      <c r="F575" s="113"/>
      <c r="G575" s="13"/>
      <c r="H575" s="113"/>
      <c r="I575" s="5"/>
    </row>
    <row r="576" spans="1:9" x14ac:dyDescent="0.2">
      <c r="A576" s="29" t="s">
        <v>2549</v>
      </c>
      <c r="B576" s="29"/>
      <c r="C576" s="29" t="s">
        <v>4013</v>
      </c>
      <c r="D576" s="28" t="s">
        <v>655</v>
      </c>
      <c r="E576" s="56">
        <v>409</v>
      </c>
      <c r="F576" s="114">
        <f>E576/14676*100</f>
        <v>2.7868629054238214</v>
      </c>
      <c r="G576" s="56"/>
      <c r="H576" s="114"/>
      <c r="I576" s="29"/>
    </row>
    <row r="577" spans="1:9" x14ac:dyDescent="0.2">
      <c r="A577" s="5"/>
      <c r="B577" s="5"/>
      <c r="C577" s="5" t="s">
        <v>3599</v>
      </c>
      <c r="D577" s="28" t="s">
        <v>1736</v>
      </c>
      <c r="E577" s="13">
        <v>5743</v>
      </c>
      <c r="F577" s="114">
        <f>E577/14676*100</f>
        <v>39.131916053420554</v>
      </c>
      <c r="G577" s="13"/>
      <c r="H577" s="113"/>
      <c r="I577" s="5"/>
    </row>
    <row r="578" spans="1:9" x14ac:dyDescent="0.2">
      <c r="A578" s="5"/>
      <c r="B578" s="5"/>
      <c r="C578" s="29" t="s">
        <v>4014</v>
      </c>
      <c r="D578" s="28" t="s">
        <v>2102</v>
      </c>
      <c r="E578" s="13">
        <v>68</v>
      </c>
      <c r="F578" s="114">
        <f>E578/14676*100</f>
        <v>0.46334150994821477</v>
      </c>
      <c r="G578" s="13"/>
      <c r="H578" s="113"/>
      <c r="I578" s="5"/>
    </row>
    <row r="579" spans="1:9" x14ac:dyDescent="0.2">
      <c r="A579" s="5"/>
      <c r="B579" s="5"/>
      <c r="C579" s="14" t="s">
        <v>4016</v>
      </c>
      <c r="D579" s="5" t="s">
        <v>3275</v>
      </c>
      <c r="E579" s="13">
        <v>8157</v>
      </c>
      <c r="F579" s="114">
        <f>E579/14676*100</f>
        <v>55.580539656582175</v>
      </c>
      <c r="G579" s="13"/>
      <c r="H579" s="113"/>
      <c r="I579" s="5"/>
    </row>
    <row r="580" spans="1:9" x14ac:dyDescent="0.2">
      <c r="A580" s="5"/>
      <c r="B580" s="5"/>
      <c r="C580" s="5" t="s">
        <v>4015</v>
      </c>
      <c r="D580" s="28" t="s">
        <v>1072</v>
      </c>
      <c r="E580" s="13">
        <v>299</v>
      </c>
      <c r="F580" s="114">
        <f>E580/14676*100</f>
        <v>2.0373398746252382</v>
      </c>
      <c r="G580" s="13"/>
      <c r="H580" s="113"/>
      <c r="I580" s="5"/>
    </row>
    <row r="581" spans="1:9" x14ac:dyDescent="0.2">
      <c r="A581" s="5"/>
      <c r="B581" s="5"/>
      <c r="C581" s="5"/>
      <c r="D581" s="28"/>
      <c r="E581" s="162" t="s">
        <v>4017</v>
      </c>
      <c r="F581" s="170">
        <f>SUM(F576:F580)</f>
        <v>100</v>
      </c>
      <c r="G581" s="162">
        <v>27996</v>
      </c>
      <c r="H581" s="165">
        <v>52.6</v>
      </c>
      <c r="I581" s="5"/>
    </row>
    <row r="582" spans="1:9" x14ac:dyDescent="0.2">
      <c r="A582" s="5"/>
      <c r="B582" s="5"/>
      <c r="C582" s="5"/>
      <c r="D582" s="28"/>
      <c r="E582" s="13"/>
      <c r="F582" s="113"/>
      <c r="G582" s="13"/>
      <c r="H582" s="113"/>
      <c r="I582" s="5"/>
    </row>
    <row r="583" spans="1:9" x14ac:dyDescent="0.2">
      <c r="A583" s="5" t="s">
        <v>2559</v>
      </c>
      <c r="B583" s="5"/>
      <c r="C583" s="5" t="s">
        <v>4018</v>
      </c>
      <c r="D583" s="28" t="s">
        <v>1072</v>
      </c>
      <c r="E583" s="13">
        <v>463</v>
      </c>
      <c r="F583" s="113">
        <f>E583/12041*100</f>
        <v>3.8451955817623116</v>
      </c>
      <c r="G583" s="13"/>
      <c r="H583" s="113"/>
      <c r="I583" s="5"/>
    </row>
    <row r="584" spans="1:9" x14ac:dyDescent="0.2">
      <c r="A584" s="5"/>
      <c r="B584" s="5"/>
      <c r="C584" s="5" t="s">
        <v>4019</v>
      </c>
      <c r="D584" s="5" t="s">
        <v>3275</v>
      </c>
      <c r="E584" s="13">
        <v>4509</v>
      </c>
      <c r="F584" s="113">
        <f>E584/12041*100</f>
        <v>37.447055892367743</v>
      </c>
      <c r="G584" s="13"/>
      <c r="H584" s="113"/>
      <c r="I584" s="5"/>
    </row>
    <row r="585" spans="1:9" x14ac:dyDescent="0.2">
      <c r="A585" s="5"/>
      <c r="B585" s="5"/>
      <c r="C585" s="14" t="s">
        <v>4020</v>
      </c>
      <c r="D585" s="28" t="s">
        <v>1736</v>
      </c>
      <c r="E585" s="13">
        <v>6255</v>
      </c>
      <c r="F585" s="113">
        <f>E585/12041*100</f>
        <v>51.947512665061048</v>
      </c>
      <c r="G585" s="13"/>
      <c r="H585" s="113"/>
      <c r="I585" s="5"/>
    </row>
    <row r="586" spans="1:9" x14ac:dyDescent="0.2">
      <c r="A586" s="5"/>
      <c r="B586" s="5"/>
      <c r="C586" s="5" t="s">
        <v>2778</v>
      </c>
      <c r="D586" s="28" t="s">
        <v>655</v>
      </c>
      <c r="E586" s="13">
        <v>415</v>
      </c>
      <c r="F586" s="113">
        <f>E586/12041*100</f>
        <v>3.4465575948841454</v>
      </c>
      <c r="G586" s="13"/>
      <c r="H586" s="113"/>
      <c r="I586" s="5"/>
    </row>
    <row r="587" spans="1:9" x14ac:dyDescent="0.2">
      <c r="A587" s="5"/>
      <c r="B587" s="5"/>
      <c r="C587" s="5" t="s">
        <v>4021</v>
      </c>
      <c r="D587" s="28" t="s">
        <v>653</v>
      </c>
      <c r="E587" s="13">
        <v>399</v>
      </c>
      <c r="F587" s="113">
        <f>E587/12041*100</f>
        <v>3.3136782659247568</v>
      </c>
      <c r="G587" s="13"/>
      <c r="H587" s="113"/>
      <c r="I587" s="5"/>
    </row>
    <row r="588" spans="1:9" x14ac:dyDescent="0.2">
      <c r="A588" s="5"/>
      <c r="B588" s="5"/>
      <c r="C588" s="5"/>
      <c r="D588" s="28"/>
      <c r="E588" s="162" t="s">
        <v>4022</v>
      </c>
      <c r="F588" s="165">
        <f>SUM(F583:F587)</f>
        <v>99.999999999999986</v>
      </c>
      <c r="G588" s="162">
        <v>23340</v>
      </c>
      <c r="H588" s="165">
        <v>51.8</v>
      </c>
      <c r="I588" s="5"/>
    </row>
    <row r="589" spans="1:9" x14ac:dyDescent="0.2">
      <c r="A589" s="5"/>
      <c r="B589" s="5"/>
      <c r="C589" s="5"/>
      <c r="D589" s="28"/>
      <c r="E589" s="13"/>
      <c r="F589" s="113"/>
      <c r="G589" s="13"/>
      <c r="H589" s="113"/>
      <c r="I589" s="5"/>
    </row>
    <row r="590" spans="1:9" x14ac:dyDescent="0.2">
      <c r="A590" s="5" t="s">
        <v>1534</v>
      </c>
      <c r="B590" s="5"/>
      <c r="C590" s="14" t="s">
        <v>3607</v>
      </c>
      <c r="D590" s="28" t="s">
        <v>1736</v>
      </c>
      <c r="E590" s="13">
        <v>4393</v>
      </c>
      <c r="F590" s="113">
        <f>E590/9853*100</f>
        <v>44.58540546026591</v>
      </c>
      <c r="G590" s="13"/>
      <c r="H590" s="113"/>
      <c r="I590" s="5"/>
    </row>
    <row r="591" spans="1:9" x14ac:dyDescent="0.2">
      <c r="A591" s="5"/>
      <c r="B591" s="5"/>
      <c r="C591" s="5" t="s">
        <v>2781</v>
      </c>
      <c r="D591" s="28" t="s">
        <v>655</v>
      </c>
      <c r="E591" s="13">
        <v>797</v>
      </c>
      <c r="F591" s="113">
        <f>E591/9853*100</f>
        <v>8.0889069318989133</v>
      </c>
      <c r="G591" s="13"/>
      <c r="H591" s="113"/>
      <c r="I591" s="5"/>
    </row>
    <row r="592" spans="1:9" x14ac:dyDescent="0.2">
      <c r="A592" s="5"/>
      <c r="B592" s="5"/>
      <c r="C592" s="5" t="s">
        <v>4024</v>
      </c>
      <c r="D592" s="28" t="s">
        <v>1072</v>
      </c>
      <c r="E592" s="13">
        <v>307</v>
      </c>
      <c r="F592" s="113">
        <f>E592/9853*100</f>
        <v>3.1158022937176493</v>
      </c>
      <c r="G592" s="13"/>
      <c r="H592" s="113"/>
      <c r="I592" s="5"/>
    </row>
    <row r="593" spans="1:9" x14ac:dyDescent="0.2">
      <c r="A593" s="5"/>
      <c r="B593" s="5"/>
      <c r="C593" s="5" t="s">
        <v>1063</v>
      </c>
      <c r="D593" s="5" t="s">
        <v>2103</v>
      </c>
      <c r="E593" s="13">
        <v>1668</v>
      </c>
      <c r="F593" s="113">
        <f>E593/9853*100</f>
        <v>16.928854156094591</v>
      </c>
      <c r="G593" s="13"/>
      <c r="H593" s="113"/>
      <c r="I593" s="5"/>
    </row>
    <row r="594" spans="1:9" x14ac:dyDescent="0.2">
      <c r="A594" s="5"/>
      <c r="B594" s="5"/>
      <c r="C594" s="5" t="s">
        <v>4023</v>
      </c>
      <c r="D594" s="5" t="s">
        <v>3275</v>
      </c>
      <c r="E594" s="13">
        <v>2688</v>
      </c>
      <c r="F594" s="113">
        <f>E594/9853*100</f>
        <v>27.281031158022941</v>
      </c>
      <c r="G594" s="13"/>
      <c r="H594" s="113"/>
      <c r="I594" s="5"/>
    </row>
    <row r="595" spans="1:9" x14ac:dyDescent="0.2">
      <c r="A595" s="5"/>
      <c r="B595" s="5"/>
      <c r="C595" s="5"/>
      <c r="D595" s="28"/>
      <c r="E595" s="162" t="s">
        <v>4025</v>
      </c>
      <c r="F595" s="165">
        <f>SUM(F590:F594)</f>
        <v>100</v>
      </c>
      <c r="G595" s="162">
        <v>20919</v>
      </c>
      <c r="H595" s="165">
        <v>47.4</v>
      </c>
      <c r="I595" s="5"/>
    </row>
    <row r="596" spans="1:9" x14ac:dyDescent="0.2">
      <c r="A596" s="5"/>
      <c r="B596" s="5"/>
      <c r="C596" s="5"/>
      <c r="D596" s="28"/>
      <c r="E596" s="13"/>
      <c r="F596" s="113"/>
      <c r="G596" s="13"/>
      <c r="H596" s="113"/>
      <c r="I596" s="5"/>
    </row>
    <row r="597" spans="1:9" x14ac:dyDescent="0.2">
      <c r="A597" s="5" t="s">
        <v>1538</v>
      </c>
      <c r="B597" s="5"/>
      <c r="C597" s="5" t="s">
        <v>4026</v>
      </c>
      <c r="D597" s="5" t="s">
        <v>1072</v>
      </c>
      <c r="E597" s="13">
        <v>501</v>
      </c>
      <c r="F597" s="113">
        <f>E597/14326*100</f>
        <v>3.4971380706407929</v>
      </c>
      <c r="G597" s="13"/>
      <c r="H597" s="113"/>
      <c r="I597" s="5"/>
    </row>
    <row r="598" spans="1:9" x14ac:dyDescent="0.2">
      <c r="A598" s="5"/>
      <c r="B598" s="5"/>
      <c r="C598" s="5" t="s">
        <v>4027</v>
      </c>
      <c r="D598" s="5" t="s">
        <v>3639</v>
      </c>
      <c r="E598" s="13">
        <v>191</v>
      </c>
      <c r="F598" s="113">
        <f>E598/14326*100</f>
        <v>1.3332402624598632</v>
      </c>
      <c r="G598" s="13"/>
      <c r="H598" s="113"/>
      <c r="I598" s="5"/>
    </row>
    <row r="599" spans="1:9" x14ac:dyDescent="0.2">
      <c r="A599" s="5"/>
      <c r="B599" s="5"/>
      <c r="C599" s="5" t="s">
        <v>1065</v>
      </c>
      <c r="D599" s="28" t="s">
        <v>655</v>
      </c>
      <c r="E599" s="13">
        <v>1586</v>
      </c>
      <c r="F599" s="113">
        <f>E599/14326*100</f>
        <v>11.070780399274046</v>
      </c>
      <c r="G599" s="13"/>
      <c r="H599" s="113"/>
      <c r="I599" s="5"/>
    </row>
    <row r="600" spans="1:9" x14ac:dyDescent="0.2">
      <c r="A600" s="5"/>
      <c r="B600" s="5"/>
      <c r="C600" s="5" t="s">
        <v>4028</v>
      </c>
      <c r="D600" s="5" t="s">
        <v>3275</v>
      </c>
      <c r="E600" s="13">
        <v>4562</v>
      </c>
      <c r="F600" s="113">
        <f>E600/14326*100</f>
        <v>31.844199357810972</v>
      </c>
      <c r="G600" s="13"/>
      <c r="H600" s="113"/>
      <c r="I600" s="5"/>
    </row>
    <row r="601" spans="1:9" x14ac:dyDescent="0.2">
      <c r="A601" s="5"/>
      <c r="B601" s="5"/>
      <c r="C601" s="14" t="s">
        <v>3615</v>
      </c>
      <c r="D601" s="28" t="s">
        <v>1736</v>
      </c>
      <c r="E601" s="13">
        <v>7486</v>
      </c>
      <c r="F601" s="113">
        <f>E601/14326*100</f>
        <v>52.254641909814325</v>
      </c>
      <c r="G601" s="13"/>
      <c r="H601" s="113"/>
      <c r="I601" s="5"/>
    </row>
    <row r="602" spans="1:9" x14ac:dyDescent="0.2">
      <c r="A602" s="5"/>
      <c r="B602" s="5"/>
      <c r="C602" s="5"/>
      <c r="D602" s="28"/>
      <c r="E602" s="162" t="s">
        <v>4029</v>
      </c>
      <c r="F602" s="165">
        <f>SUM(F597:F601)</f>
        <v>100</v>
      </c>
      <c r="G602" s="162">
        <v>28173</v>
      </c>
      <c r="H602" s="165">
        <v>51.1</v>
      </c>
      <c r="I602" s="5"/>
    </row>
    <row r="603" spans="1:9" x14ac:dyDescent="0.2">
      <c r="A603" s="5"/>
      <c r="B603" s="5"/>
      <c r="C603" s="5"/>
      <c r="D603" s="28"/>
      <c r="E603" s="13"/>
      <c r="F603" s="113"/>
      <c r="G603" s="13"/>
      <c r="H603" s="113"/>
      <c r="I603" s="5"/>
    </row>
    <row r="604" spans="1:9" x14ac:dyDescent="0.2">
      <c r="A604" s="5" t="s">
        <v>1543</v>
      </c>
      <c r="B604" s="5"/>
      <c r="C604" s="5" t="s">
        <v>4030</v>
      </c>
      <c r="D604" s="5" t="s">
        <v>3275</v>
      </c>
      <c r="E604" s="13">
        <v>6003</v>
      </c>
      <c r="F604" s="113">
        <f>E604/13875 *100</f>
        <v>43.264864864864869</v>
      </c>
      <c r="G604" s="13"/>
      <c r="H604" s="113"/>
      <c r="I604" s="5"/>
    </row>
    <row r="605" spans="1:9" x14ac:dyDescent="0.2">
      <c r="A605" s="5"/>
      <c r="B605" s="5"/>
      <c r="C605" s="5" t="s">
        <v>4031</v>
      </c>
      <c r="D605" s="28" t="s">
        <v>1072</v>
      </c>
      <c r="E605" s="13">
        <v>744</v>
      </c>
      <c r="F605" s="113">
        <f>E605/13875 *100</f>
        <v>5.3621621621621625</v>
      </c>
      <c r="G605" s="13"/>
      <c r="H605" s="113"/>
      <c r="I605" s="5"/>
    </row>
    <row r="606" spans="1:9" x14ac:dyDescent="0.2">
      <c r="A606" s="5"/>
      <c r="B606" s="5"/>
      <c r="C606" s="5" t="s">
        <v>4032</v>
      </c>
      <c r="D606" s="28" t="s">
        <v>655</v>
      </c>
      <c r="E606" s="13">
        <v>757</v>
      </c>
      <c r="F606" s="113">
        <f>E606/13875 *100</f>
        <v>5.4558558558558561</v>
      </c>
      <c r="G606" s="13"/>
      <c r="H606" s="113"/>
      <c r="I606" s="5"/>
    </row>
    <row r="607" spans="1:9" x14ac:dyDescent="0.2">
      <c r="A607" s="5"/>
      <c r="B607" s="5"/>
      <c r="C607" s="14" t="s">
        <v>4033</v>
      </c>
      <c r="D607" s="28" t="s">
        <v>1736</v>
      </c>
      <c r="E607" s="13">
        <v>6371</v>
      </c>
      <c r="F607" s="113">
        <f>E607/13875 *100</f>
        <v>45.917117117117115</v>
      </c>
      <c r="G607" s="13"/>
      <c r="H607" s="113"/>
      <c r="I607" s="5"/>
    </row>
    <row r="608" spans="1:9" x14ac:dyDescent="0.2">
      <c r="A608" s="5"/>
      <c r="B608" s="5"/>
      <c r="C608" s="5"/>
      <c r="D608" s="28"/>
      <c r="E608" s="162" t="s">
        <v>4034</v>
      </c>
      <c r="F608" s="165">
        <f>SUM(F604:F607)</f>
        <v>100</v>
      </c>
      <c r="G608" s="162">
        <v>25712</v>
      </c>
      <c r="H608" s="165">
        <v>54.2</v>
      </c>
      <c r="I608" s="5"/>
    </row>
    <row r="609" spans="1:9" x14ac:dyDescent="0.2">
      <c r="A609" s="5"/>
      <c r="B609" s="5"/>
      <c r="C609" s="5"/>
      <c r="D609" s="28"/>
      <c r="E609" s="13"/>
      <c r="F609" s="113"/>
      <c r="G609" s="13"/>
      <c r="H609" s="113"/>
      <c r="I609" s="5"/>
    </row>
    <row r="610" spans="1:9" x14ac:dyDescent="0.2">
      <c r="A610" s="5"/>
      <c r="B610" s="5"/>
      <c r="C610" s="5"/>
      <c r="D610" s="28"/>
      <c r="E610" s="13"/>
      <c r="F610" s="113"/>
      <c r="G610" s="13"/>
      <c r="H610" s="113"/>
      <c r="I610" s="5"/>
    </row>
    <row r="611" spans="1:9" x14ac:dyDescent="0.2">
      <c r="A611" s="145" t="s">
        <v>1131</v>
      </c>
      <c r="B611" s="145"/>
      <c r="C611" s="145"/>
      <c r="D611" s="146"/>
      <c r="E611" s="147" t="s">
        <v>4036</v>
      </c>
      <c r="F611" s="148"/>
      <c r="G611" s="147">
        <f>SUM(G5:G610)</f>
        <v>2447369</v>
      </c>
      <c r="H611" s="148">
        <f>(1290352+7822)/G611*100</f>
        <v>53.043656269242604</v>
      </c>
      <c r="I611" s="26"/>
    </row>
    <row r="612" spans="1:9" x14ac:dyDescent="0.2">
      <c r="A612" s="5"/>
      <c r="B612" s="5"/>
      <c r="C612" s="5"/>
      <c r="D612" s="28"/>
      <c r="E612" s="13"/>
      <c r="F612" s="113"/>
      <c r="G612" s="13"/>
      <c r="H612" s="113"/>
      <c r="I612" s="5"/>
    </row>
    <row r="613" spans="1:9" x14ac:dyDescent="0.2">
      <c r="A613" s="6" t="s">
        <v>1289</v>
      </c>
      <c r="B613" s="6"/>
      <c r="C613" s="8"/>
      <c r="D613" s="8"/>
      <c r="E613" s="93"/>
      <c r="F613" s="108"/>
      <c r="G613" s="99"/>
      <c r="H613" s="82"/>
      <c r="I613" s="5"/>
    </row>
    <row r="614" spans="1:9" x14ac:dyDescent="0.2">
      <c r="A614" s="273" t="s">
        <v>2934</v>
      </c>
      <c r="B614" s="273"/>
      <c r="C614" s="273"/>
      <c r="D614" s="273"/>
      <c r="E614" s="273"/>
      <c r="F614" s="273"/>
      <c r="G614" s="273"/>
      <c r="H614" s="273"/>
      <c r="I614" s="1"/>
    </row>
    <row r="615" spans="1:9" x14ac:dyDescent="0.2">
      <c r="A615" s="274" t="s">
        <v>1303</v>
      </c>
      <c r="B615" s="274"/>
      <c r="C615" s="274"/>
      <c r="D615" s="274"/>
      <c r="E615" s="274"/>
      <c r="F615" s="274"/>
      <c r="G615" s="274"/>
      <c r="H615" s="274"/>
      <c r="I615" s="26"/>
    </row>
    <row r="616" spans="1:9" x14ac:dyDescent="0.2">
      <c r="A616" s="273" t="s">
        <v>2932</v>
      </c>
      <c r="B616" s="273"/>
      <c r="C616" s="273"/>
      <c r="D616" s="273"/>
      <c r="E616" s="273"/>
      <c r="F616" s="273"/>
      <c r="G616" s="273"/>
      <c r="H616" s="273"/>
      <c r="I616" s="26"/>
    </row>
  </sheetData>
  <mergeCells count="5">
    <mergeCell ref="A1:H1"/>
    <mergeCell ref="F2:H2"/>
    <mergeCell ref="A614:H614"/>
    <mergeCell ref="A615:H615"/>
    <mergeCell ref="A616:H616"/>
  </mergeCells>
  <printOptions horizontalCentered="1" gridLines="1"/>
  <pageMargins left="0.19685039370078741" right="0.19685039370078741" top="0.39370078740157483" bottom="0.39370078740157483" header="0.31496062992125984" footer="0.31496062992125984"/>
  <pageSetup paperSize="3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3"/>
  <sheetViews>
    <sheetView tabSelected="1" workbookViewId="0">
      <selection sqref="A1:G1"/>
    </sheetView>
  </sheetViews>
  <sheetFormatPr defaultRowHeight="12.75" x14ac:dyDescent="0.2"/>
  <cols>
    <col min="1" max="1" width="35.140625" bestFit="1" customWidth="1"/>
    <col min="2" max="2" width="41.140625" bestFit="1" customWidth="1"/>
    <col min="3" max="3" width="7.42578125" bestFit="1" customWidth="1"/>
    <col min="4" max="4" width="11.28515625" style="206" bestFit="1" customWidth="1"/>
    <col min="5" max="5" width="8.85546875" bestFit="1" customWidth="1"/>
    <col min="6" max="6" width="9.140625" bestFit="1" customWidth="1"/>
    <col min="7" max="7" width="8.85546875" bestFit="1" customWidth="1"/>
  </cols>
  <sheetData>
    <row r="1" spans="1:7" ht="20.25" x14ac:dyDescent="0.3">
      <c r="A1" s="277" t="s">
        <v>4049</v>
      </c>
      <c r="B1" s="277"/>
      <c r="C1" s="277"/>
      <c r="D1" s="277"/>
      <c r="E1" s="277"/>
      <c r="F1" s="277"/>
      <c r="G1" s="277"/>
    </row>
    <row r="2" spans="1:7" ht="13.5" thickBot="1" x14ac:dyDescent="0.25">
      <c r="A2" s="179" t="s">
        <v>4434</v>
      </c>
      <c r="B2" s="184" t="s">
        <v>4435</v>
      </c>
      <c r="C2" s="180"/>
      <c r="D2" s="181"/>
      <c r="E2" s="182"/>
      <c r="F2" s="183"/>
      <c r="G2" s="182"/>
    </row>
    <row r="3" spans="1:7" ht="34.5" thickBot="1" x14ac:dyDescent="0.25">
      <c r="A3" s="195" t="s">
        <v>4430</v>
      </c>
      <c r="B3" s="196" t="s">
        <v>1300</v>
      </c>
      <c r="C3" s="197" t="s">
        <v>2652</v>
      </c>
      <c r="D3" s="201" t="s">
        <v>4050</v>
      </c>
      <c r="E3" s="199" t="s">
        <v>4051</v>
      </c>
      <c r="F3" s="198" t="s">
        <v>4052</v>
      </c>
      <c r="G3" s="199" t="s">
        <v>4053</v>
      </c>
    </row>
    <row r="4" spans="1:7" x14ac:dyDescent="0.2">
      <c r="A4" s="184" t="s">
        <v>4054</v>
      </c>
      <c r="B4" s="185" t="s">
        <v>4055</v>
      </c>
      <c r="C4" s="185" t="s">
        <v>4056</v>
      </c>
      <c r="D4" s="181">
        <v>2766</v>
      </c>
      <c r="E4" s="182">
        <v>0.2879750130140552</v>
      </c>
      <c r="F4" s="183"/>
      <c r="G4" s="182"/>
    </row>
    <row r="5" spans="1:7" x14ac:dyDescent="0.2">
      <c r="A5" s="184" t="s">
        <v>2318</v>
      </c>
      <c r="B5" s="185" t="s">
        <v>3627</v>
      </c>
      <c r="C5" s="185" t="s">
        <v>4057</v>
      </c>
      <c r="D5" s="181">
        <v>3147</v>
      </c>
      <c r="E5" s="182">
        <v>0.32764185320145756</v>
      </c>
      <c r="F5" s="183"/>
      <c r="G5" s="182"/>
    </row>
    <row r="6" spans="1:7" ht="13.5" thickBot="1" x14ac:dyDescent="0.25">
      <c r="A6" s="184" t="s">
        <v>2318</v>
      </c>
      <c r="B6" s="186" t="s">
        <v>4058</v>
      </c>
      <c r="C6" s="186" t="s">
        <v>4059</v>
      </c>
      <c r="D6" s="202">
        <v>3692</v>
      </c>
      <c r="E6" s="187">
        <v>0.38438313378448724</v>
      </c>
      <c r="F6" s="188"/>
      <c r="G6" s="189"/>
    </row>
    <row r="7" spans="1:7" ht="13.5" thickBot="1" x14ac:dyDescent="0.25">
      <c r="A7" s="184"/>
      <c r="B7" s="186"/>
      <c r="C7" s="186"/>
      <c r="D7" s="200" t="s">
        <v>4431</v>
      </c>
      <c r="E7" s="191">
        <v>1</v>
      </c>
      <c r="F7" s="190">
        <v>16392</v>
      </c>
      <c r="G7" s="191">
        <v>0.58699999999999997</v>
      </c>
    </row>
    <row r="8" spans="1:7" x14ac:dyDescent="0.2">
      <c r="A8" s="184"/>
      <c r="B8" s="186"/>
      <c r="C8" s="186"/>
      <c r="D8" s="203"/>
      <c r="E8" s="182"/>
      <c r="F8" s="183"/>
      <c r="G8" s="182"/>
    </row>
    <row r="9" spans="1:7" x14ac:dyDescent="0.2">
      <c r="A9" s="184" t="s">
        <v>4060</v>
      </c>
      <c r="B9" s="185" t="s">
        <v>3630</v>
      </c>
      <c r="C9" s="185" t="s">
        <v>4057</v>
      </c>
      <c r="D9" s="181">
        <v>3198</v>
      </c>
      <c r="E9" s="182">
        <v>0.35309705200397484</v>
      </c>
      <c r="F9" s="183"/>
      <c r="G9" s="182"/>
    </row>
    <row r="10" spans="1:7" x14ac:dyDescent="0.2">
      <c r="A10" s="184" t="s">
        <v>2318</v>
      </c>
      <c r="B10" s="185" t="s">
        <v>2352</v>
      </c>
      <c r="C10" s="185" t="s">
        <v>4056</v>
      </c>
      <c r="D10" s="181">
        <v>1944</v>
      </c>
      <c r="E10" s="182">
        <v>0.21464060947333555</v>
      </c>
      <c r="F10" s="183"/>
      <c r="G10" s="182"/>
    </row>
    <row r="11" spans="1:7" ht="13.5" thickBot="1" x14ac:dyDescent="0.25">
      <c r="A11" s="184" t="s">
        <v>2318</v>
      </c>
      <c r="B11" s="186" t="s">
        <v>4061</v>
      </c>
      <c r="C11" s="186" t="s">
        <v>4059</v>
      </c>
      <c r="D11" s="203">
        <v>3915</v>
      </c>
      <c r="E11" s="192">
        <v>0.43226233852268964</v>
      </c>
      <c r="F11" s="183"/>
      <c r="G11" s="182"/>
    </row>
    <row r="12" spans="1:7" ht="13.5" thickBot="1" x14ac:dyDescent="0.25">
      <c r="A12" s="184"/>
      <c r="B12" s="186"/>
      <c r="C12" s="186"/>
      <c r="D12" s="200" t="s">
        <v>4432</v>
      </c>
      <c r="E12" s="191">
        <v>1</v>
      </c>
      <c r="F12" s="190">
        <v>19062</v>
      </c>
      <c r="G12" s="191">
        <v>0.47699999999999998</v>
      </c>
    </row>
    <row r="13" spans="1:7" x14ac:dyDescent="0.2">
      <c r="A13" s="184"/>
      <c r="B13" s="186"/>
      <c r="C13" s="186"/>
      <c r="D13" s="203"/>
      <c r="E13" s="182"/>
      <c r="F13" s="183"/>
      <c r="G13" s="182"/>
    </row>
    <row r="14" spans="1:7" x14ac:dyDescent="0.2">
      <c r="A14" s="184" t="s">
        <v>4062</v>
      </c>
      <c r="B14" s="185" t="s">
        <v>4063</v>
      </c>
      <c r="C14" s="185" t="s">
        <v>4064</v>
      </c>
      <c r="D14" s="181">
        <v>765</v>
      </c>
      <c r="E14" s="182">
        <v>4.8240635641316684E-2</v>
      </c>
      <c r="F14" s="183"/>
      <c r="G14" s="182"/>
    </row>
    <row r="15" spans="1:7" x14ac:dyDescent="0.2">
      <c r="A15" s="184" t="s">
        <v>2318</v>
      </c>
      <c r="B15" s="185" t="s">
        <v>3824</v>
      </c>
      <c r="C15" s="185" t="s">
        <v>4057</v>
      </c>
      <c r="D15" s="181">
        <v>4985</v>
      </c>
      <c r="E15" s="182">
        <v>0.31435237734897215</v>
      </c>
      <c r="F15" s="183"/>
      <c r="G15" s="182"/>
    </row>
    <row r="16" spans="1:7" x14ac:dyDescent="0.2">
      <c r="A16" s="184" t="s">
        <v>2318</v>
      </c>
      <c r="B16" s="185" t="s">
        <v>3319</v>
      </c>
      <c r="C16" s="185" t="s">
        <v>4056</v>
      </c>
      <c r="D16" s="181">
        <v>4602</v>
      </c>
      <c r="E16" s="182">
        <v>0.29020052970109722</v>
      </c>
      <c r="F16" s="183"/>
      <c r="G16" s="182"/>
    </row>
    <row r="17" spans="1:7" ht="13.5" thickBot="1" x14ac:dyDescent="0.25">
      <c r="A17" s="184" t="s">
        <v>2318</v>
      </c>
      <c r="B17" s="186" t="s">
        <v>4065</v>
      </c>
      <c r="C17" s="186" t="s">
        <v>4059</v>
      </c>
      <c r="D17" s="203">
        <v>5506</v>
      </c>
      <c r="E17" s="192">
        <v>0.34720645730861394</v>
      </c>
      <c r="F17" s="183"/>
      <c r="G17" s="182"/>
    </row>
    <row r="18" spans="1:7" ht="13.5" thickBot="1" x14ac:dyDescent="0.25">
      <c r="A18" s="184"/>
      <c r="B18" s="185"/>
      <c r="C18" s="185"/>
      <c r="D18" s="200" t="s">
        <v>4433</v>
      </c>
      <c r="E18" s="191">
        <v>1</v>
      </c>
      <c r="F18" s="190">
        <v>29264</v>
      </c>
      <c r="G18" s="191">
        <v>0.54600000000000004</v>
      </c>
    </row>
    <row r="19" spans="1:7" x14ac:dyDescent="0.2">
      <c r="A19" s="184"/>
      <c r="B19" s="185"/>
      <c r="C19" s="185"/>
      <c r="D19" s="181"/>
      <c r="E19" s="182"/>
      <c r="F19" s="183"/>
      <c r="G19" s="182"/>
    </row>
    <row r="20" spans="1:7" x14ac:dyDescent="0.2">
      <c r="A20" s="184" t="s">
        <v>4066</v>
      </c>
      <c r="B20" s="186" t="s">
        <v>4067</v>
      </c>
      <c r="C20" s="186" t="s">
        <v>4059</v>
      </c>
      <c r="D20" s="203">
        <v>5669</v>
      </c>
      <c r="E20" s="192">
        <v>0.34506056363747034</v>
      </c>
      <c r="F20" s="183"/>
      <c r="G20" s="182"/>
    </row>
    <row r="21" spans="1:7" x14ac:dyDescent="0.2">
      <c r="A21" s="184" t="s">
        <v>2318</v>
      </c>
      <c r="B21" s="185" t="s">
        <v>4068</v>
      </c>
      <c r="C21" s="185" t="s">
        <v>4064</v>
      </c>
      <c r="D21" s="181">
        <v>682</v>
      </c>
      <c r="E21" s="182">
        <v>4.1511960557550673E-2</v>
      </c>
      <c r="F21" s="183"/>
      <c r="G21" s="182"/>
    </row>
    <row r="22" spans="1:7" x14ac:dyDescent="0.2">
      <c r="A22" s="184" t="s">
        <v>2318</v>
      </c>
      <c r="B22" s="185" t="s">
        <v>2127</v>
      </c>
      <c r="C22" s="185" t="s">
        <v>4057</v>
      </c>
      <c r="D22" s="181">
        <v>3752</v>
      </c>
      <c r="E22" s="182">
        <v>0.22837665104388583</v>
      </c>
      <c r="F22" s="183"/>
      <c r="G22" s="182"/>
    </row>
    <row r="23" spans="1:7" x14ac:dyDescent="0.2">
      <c r="A23" s="184" t="s">
        <v>2318</v>
      </c>
      <c r="B23" s="185" t="s">
        <v>4069</v>
      </c>
      <c r="C23" s="185" t="s">
        <v>4070</v>
      </c>
      <c r="D23" s="181">
        <v>459</v>
      </c>
      <c r="E23" s="182">
        <v>2.7938401606914604E-2</v>
      </c>
      <c r="F23" s="183"/>
      <c r="G23" s="182"/>
    </row>
    <row r="24" spans="1:7" x14ac:dyDescent="0.2">
      <c r="A24" s="184" t="s">
        <v>2318</v>
      </c>
      <c r="B24" s="185" t="s">
        <v>4071</v>
      </c>
      <c r="C24" s="185" t="s">
        <v>4056</v>
      </c>
      <c r="D24" s="181">
        <v>5419</v>
      </c>
      <c r="E24" s="182">
        <v>0.3298435692981922</v>
      </c>
      <c r="F24" s="183"/>
      <c r="G24" s="182"/>
    </row>
    <row r="25" spans="1:7" ht="13.5" thickBot="1" x14ac:dyDescent="0.25">
      <c r="A25" s="184" t="s">
        <v>2318</v>
      </c>
      <c r="B25" s="185" t="s">
        <v>4072</v>
      </c>
      <c r="C25" s="185" t="s">
        <v>4073</v>
      </c>
      <c r="D25" s="181">
        <v>448</v>
      </c>
      <c r="E25" s="182">
        <v>2.7268853855986364E-2</v>
      </c>
      <c r="F25" s="183"/>
      <c r="G25" s="182"/>
    </row>
    <row r="26" spans="1:7" ht="13.5" thickBot="1" x14ac:dyDescent="0.25">
      <c r="A26" s="184"/>
      <c r="B26" s="185"/>
      <c r="C26" s="185"/>
      <c r="D26" s="200" t="s">
        <v>4436</v>
      </c>
      <c r="E26" s="191">
        <v>1.0000000000000002</v>
      </c>
      <c r="F26" s="190">
        <v>31990</v>
      </c>
      <c r="G26" s="191">
        <v>0.51600000000000001</v>
      </c>
    </row>
    <row r="27" spans="1:7" x14ac:dyDescent="0.2">
      <c r="A27" s="184"/>
      <c r="B27" s="185"/>
      <c r="C27" s="185"/>
      <c r="D27" s="181"/>
      <c r="E27" s="182"/>
      <c r="F27" s="183"/>
      <c r="G27" s="182"/>
    </row>
    <row r="28" spans="1:7" x14ac:dyDescent="0.2">
      <c r="A28" s="184" t="s">
        <v>4074</v>
      </c>
      <c r="B28" s="186" t="s">
        <v>4075</v>
      </c>
      <c r="C28" s="186" t="s">
        <v>4059</v>
      </c>
      <c r="D28" s="203">
        <v>4671</v>
      </c>
      <c r="E28" s="192">
        <v>0.35107102593010148</v>
      </c>
      <c r="F28" s="183"/>
      <c r="G28" s="182"/>
    </row>
    <row r="29" spans="1:7" x14ac:dyDescent="0.2">
      <c r="A29" s="184" t="s">
        <v>2318</v>
      </c>
      <c r="B29" s="185" t="s">
        <v>4076</v>
      </c>
      <c r="C29" s="185" t="s">
        <v>4064</v>
      </c>
      <c r="D29" s="181">
        <v>3282</v>
      </c>
      <c r="E29" s="182">
        <v>0.24667418263810598</v>
      </c>
      <c r="F29" s="183"/>
      <c r="G29" s="182"/>
    </row>
    <row r="30" spans="1:7" x14ac:dyDescent="0.2">
      <c r="A30" s="184" t="s">
        <v>2318</v>
      </c>
      <c r="B30" s="185" t="s">
        <v>4077</v>
      </c>
      <c r="C30" s="185" t="s">
        <v>4073</v>
      </c>
      <c r="D30" s="181">
        <v>263</v>
      </c>
      <c r="E30" s="182">
        <v>1.9767004885381436E-2</v>
      </c>
      <c r="F30" s="183"/>
      <c r="G30" s="182"/>
    </row>
    <row r="31" spans="1:7" x14ac:dyDescent="0.2">
      <c r="A31" s="184" t="s">
        <v>2318</v>
      </c>
      <c r="B31" s="185" t="s">
        <v>4078</v>
      </c>
      <c r="C31" s="185" t="s">
        <v>4056</v>
      </c>
      <c r="D31" s="181">
        <v>3738</v>
      </c>
      <c r="E31" s="182">
        <v>0.28094701240135289</v>
      </c>
      <c r="F31" s="183"/>
      <c r="G31" s="182"/>
    </row>
    <row r="32" spans="1:7" ht="13.5" thickBot="1" x14ac:dyDescent="0.25">
      <c r="A32" s="184" t="s">
        <v>2318</v>
      </c>
      <c r="B32" s="185" t="s">
        <v>4079</v>
      </c>
      <c r="C32" s="185" t="s">
        <v>4057</v>
      </c>
      <c r="D32" s="181">
        <v>1351</v>
      </c>
      <c r="E32" s="182">
        <v>0.10154077414505824</v>
      </c>
      <c r="F32" s="183"/>
      <c r="G32" s="182"/>
    </row>
    <row r="33" spans="1:7" ht="13.5" thickBot="1" x14ac:dyDescent="0.25">
      <c r="A33" s="184"/>
      <c r="B33" s="185"/>
      <c r="C33" s="185"/>
      <c r="D33" s="200" t="s">
        <v>4437</v>
      </c>
      <c r="E33" s="191">
        <v>1</v>
      </c>
      <c r="F33" s="190">
        <v>32950</v>
      </c>
      <c r="G33" s="191">
        <v>0.4093</v>
      </c>
    </row>
    <row r="34" spans="1:7" x14ac:dyDescent="0.2">
      <c r="A34" s="184"/>
      <c r="B34" s="185"/>
      <c r="C34" s="185"/>
      <c r="D34" s="181"/>
      <c r="E34" s="182"/>
      <c r="F34" s="183"/>
      <c r="G34" s="182"/>
    </row>
    <row r="35" spans="1:7" x14ac:dyDescent="0.2">
      <c r="A35" s="184" t="s">
        <v>4080</v>
      </c>
      <c r="B35" s="185" t="s">
        <v>4081</v>
      </c>
      <c r="C35" s="185" t="s">
        <v>4064</v>
      </c>
      <c r="D35" s="181">
        <v>1194</v>
      </c>
      <c r="E35" s="182">
        <v>9.375E-2</v>
      </c>
      <c r="F35" s="183"/>
      <c r="G35" s="182"/>
    </row>
    <row r="36" spans="1:7" x14ac:dyDescent="0.2">
      <c r="A36" s="184" t="s">
        <v>2318</v>
      </c>
      <c r="B36" s="185" t="s">
        <v>4082</v>
      </c>
      <c r="C36" s="185" t="s">
        <v>4056</v>
      </c>
      <c r="D36" s="181">
        <v>4501</v>
      </c>
      <c r="E36" s="182">
        <v>0.35340766331658291</v>
      </c>
      <c r="F36" s="183"/>
      <c r="G36" s="182"/>
    </row>
    <row r="37" spans="1:7" x14ac:dyDescent="0.2">
      <c r="A37" s="184" t="s">
        <v>2318</v>
      </c>
      <c r="B37" s="185" t="s">
        <v>4083</v>
      </c>
      <c r="C37" s="185" t="s">
        <v>4084</v>
      </c>
      <c r="D37" s="181">
        <v>143</v>
      </c>
      <c r="E37" s="182">
        <v>1.1228015075376884E-2</v>
      </c>
      <c r="F37" s="183"/>
      <c r="G37" s="182"/>
    </row>
    <row r="38" spans="1:7" x14ac:dyDescent="0.2">
      <c r="A38" s="184" t="s">
        <v>2318</v>
      </c>
      <c r="B38" s="185" t="s">
        <v>4085</v>
      </c>
      <c r="C38" s="185" t="s">
        <v>4057</v>
      </c>
      <c r="D38" s="181">
        <v>2060</v>
      </c>
      <c r="E38" s="182">
        <v>0.16174623115577891</v>
      </c>
      <c r="F38" s="183"/>
      <c r="G38" s="182"/>
    </row>
    <row r="39" spans="1:7" x14ac:dyDescent="0.2">
      <c r="A39" s="184" t="s">
        <v>2318</v>
      </c>
      <c r="B39" s="185" t="s">
        <v>4086</v>
      </c>
      <c r="C39" s="185" t="s">
        <v>4073</v>
      </c>
      <c r="D39" s="181">
        <v>236</v>
      </c>
      <c r="E39" s="182">
        <v>1.8530150753768845E-2</v>
      </c>
      <c r="F39" s="183"/>
      <c r="G39" s="182"/>
    </row>
    <row r="40" spans="1:7" ht="13.5" thickBot="1" x14ac:dyDescent="0.25">
      <c r="A40" s="184" t="s">
        <v>2318</v>
      </c>
      <c r="B40" s="186" t="s">
        <v>4087</v>
      </c>
      <c r="C40" s="186" t="s">
        <v>4059</v>
      </c>
      <c r="D40" s="203">
        <v>4602</v>
      </c>
      <c r="E40" s="192">
        <v>0.36133793969849248</v>
      </c>
      <c r="F40" s="183"/>
      <c r="G40" s="182"/>
    </row>
    <row r="41" spans="1:7" ht="13.5" thickBot="1" x14ac:dyDescent="0.25">
      <c r="A41" s="184"/>
      <c r="B41" s="185"/>
      <c r="C41" s="185"/>
      <c r="D41" s="200" t="s">
        <v>4438</v>
      </c>
      <c r="E41" s="191">
        <v>1</v>
      </c>
      <c r="F41" s="190">
        <v>31535</v>
      </c>
      <c r="G41" s="191">
        <v>0.40600000000000003</v>
      </c>
    </row>
    <row r="42" spans="1:7" x14ac:dyDescent="0.2">
      <c r="A42" s="184"/>
      <c r="B42" s="185"/>
      <c r="C42" s="185"/>
      <c r="D42" s="181"/>
      <c r="E42" s="182"/>
      <c r="F42" s="183"/>
      <c r="G42" s="182"/>
    </row>
    <row r="43" spans="1:7" x14ac:dyDescent="0.2">
      <c r="A43" s="184" t="s">
        <v>4088</v>
      </c>
      <c r="B43" s="185" t="s">
        <v>4089</v>
      </c>
      <c r="C43" s="185" t="s">
        <v>4073</v>
      </c>
      <c r="D43" s="181">
        <v>373</v>
      </c>
      <c r="E43" s="182">
        <v>2.0104565299412493E-2</v>
      </c>
      <c r="F43" s="183"/>
      <c r="G43" s="182"/>
    </row>
    <row r="44" spans="1:7" x14ac:dyDescent="0.2">
      <c r="A44" s="184" t="s">
        <v>2318</v>
      </c>
      <c r="B44" s="185" t="s">
        <v>3671</v>
      </c>
      <c r="C44" s="185" t="s">
        <v>4056</v>
      </c>
      <c r="D44" s="181">
        <v>4577</v>
      </c>
      <c r="E44" s="182">
        <v>0.24669864711906431</v>
      </c>
      <c r="F44" s="183"/>
      <c r="G44" s="182"/>
    </row>
    <row r="45" spans="1:7" x14ac:dyDescent="0.2">
      <c r="A45" s="184" t="s">
        <v>2318</v>
      </c>
      <c r="B45" s="185" t="s">
        <v>4090</v>
      </c>
      <c r="C45" s="185" t="s">
        <v>4057</v>
      </c>
      <c r="D45" s="181">
        <v>3769</v>
      </c>
      <c r="E45" s="182">
        <v>0.20314773891014931</v>
      </c>
      <c r="F45" s="183"/>
      <c r="G45" s="182"/>
    </row>
    <row r="46" spans="1:7" x14ac:dyDescent="0.2">
      <c r="A46" s="184" t="s">
        <v>2318</v>
      </c>
      <c r="B46" s="186" t="s">
        <v>3742</v>
      </c>
      <c r="C46" s="186" t="s">
        <v>4059</v>
      </c>
      <c r="D46" s="203">
        <v>7387</v>
      </c>
      <c r="E46" s="192">
        <v>0.39815663235056326</v>
      </c>
      <c r="F46" s="183"/>
      <c r="G46" s="182"/>
    </row>
    <row r="47" spans="1:7" x14ac:dyDescent="0.2">
      <c r="A47" s="184" t="s">
        <v>2318</v>
      </c>
      <c r="B47" s="185" t="s">
        <v>4091</v>
      </c>
      <c r="C47" s="185" t="s">
        <v>4070</v>
      </c>
      <c r="D47" s="181">
        <v>1006</v>
      </c>
      <c r="E47" s="182">
        <v>5.4223036705654072E-2</v>
      </c>
      <c r="F47" s="183"/>
      <c r="G47" s="182"/>
    </row>
    <row r="48" spans="1:7" ht="13.5" thickBot="1" x14ac:dyDescent="0.25">
      <c r="A48" s="184" t="s">
        <v>2318</v>
      </c>
      <c r="B48" s="185" t="s">
        <v>4092</v>
      </c>
      <c r="C48" s="185" t="s">
        <v>4064</v>
      </c>
      <c r="D48" s="181">
        <v>1441</v>
      </c>
      <c r="E48" s="182">
        <v>7.7669379615156575E-2</v>
      </c>
      <c r="F48" s="183"/>
      <c r="G48" s="182"/>
    </row>
    <row r="49" spans="1:7" ht="13.5" thickBot="1" x14ac:dyDescent="0.25">
      <c r="A49" s="184"/>
      <c r="B49" s="185"/>
      <c r="C49" s="185"/>
      <c r="D49" s="200" t="s">
        <v>4439</v>
      </c>
      <c r="E49" s="191">
        <v>1</v>
      </c>
      <c r="F49" s="190">
        <v>37342</v>
      </c>
      <c r="G49" s="191">
        <v>0.499</v>
      </c>
    </row>
    <row r="50" spans="1:7" x14ac:dyDescent="0.2">
      <c r="A50" s="184"/>
      <c r="B50" s="185"/>
      <c r="C50" s="185"/>
      <c r="D50" s="181"/>
      <c r="E50" s="182"/>
      <c r="F50" s="183"/>
      <c r="G50" s="182"/>
    </row>
    <row r="51" spans="1:7" x14ac:dyDescent="0.2">
      <c r="A51" s="184" t="s">
        <v>4093</v>
      </c>
      <c r="B51" s="185" t="s">
        <v>4094</v>
      </c>
      <c r="C51" s="185" t="s">
        <v>4064</v>
      </c>
      <c r="D51" s="181">
        <v>806</v>
      </c>
      <c r="E51" s="182">
        <v>5.7350220577771456E-2</v>
      </c>
      <c r="F51" s="183"/>
      <c r="G51" s="182"/>
    </row>
    <row r="52" spans="1:7" x14ac:dyDescent="0.2">
      <c r="A52" s="184" t="s">
        <v>2318</v>
      </c>
      <c r="B52" s="185" t="s">
        <v>3168</v>
      </c>
      <c r="C52" s="185" t="s">
        <v>4056</v>
      </c>
      <c r="D52" s="181">
        <v>3971</v>
      </c>
      <c r="E52" s="182">
        <v>0.28255300981926851</v>
      </c>
      <c r="F52" s="183"/>
      <c r="G52" s="182"/>
    </row>
    <row r="53" spans="1:7" x14ac:dyDescent="0.2">
      <c r="A53" s="184" t="s">
        <v>2318</v>
      </c>
      <c r="B53" s="185" t="s">
        <v>3677</v>
      </c>
      <c r="C53" s="185" t="s">
        <v>4095</v>
      </c>
      <c r="D53" s="181">
        <v>138</v>
      </c>
      <c r="E53" s="182">
        <v>9.8192685356482141E-3</v>
      </c>
      <c r="F53" s="183"/>
      <c r="G53" s="182"/>
    </row>
    <row r="54" spans="1:7" x14ac:dyDescent="0.2">
      <c r="A54" s="184" t="s">
        <v>2318</v>
      </c>
      <c r="B54" s="186" t="s">
        <v>3678</v>
      </c>
      <c r="C54" s="186" t="s">
        <v>4059</v>
      </c>
      <c r="D54" s="203">
        <v>5506</v>
      </c>
      <c r="E54" s="192">
        <v>0.39177458374839902</v>
      </c>
      <c r="F54" s="183"/>
      <c r="G54" s="182"/>
    </row>
    <row r="55" spans="1:7" ht="13.5" thickBot="1" x14ac:dyDescent="0.25">
      <c r="A55" s="184" t="s">
        <v>2318</v>
      </c>
      <c r="B55" s="185" t="s">
        <v>4096</v>
      </c>
      <c r="C55" s="185" t="s">
        <v>4057</v>
      </c>
      <c r="D55" s="181">
        <v>3633</v>
      </c>
      <c r="E55" s="182">
        <v>0.25850291731891278</v>
      </c>
      <c r="F55" s="183"/>
      <c r="G55" s="182"/>
    </row>
    <row r="56" spans="1:7" ht="13.5" thickBot="1" x14ac:dyDescent="0.25">
      <c r="A56" s="184"/>
      <c r="B56" s="185"/>
      <c r="C56" s="185"/>
      <c r="D56" s="200" t="s">
        <v>4440</v>
      </c>
      <c r="E56" s="191">
        <v>1</v>
      </c>
      <c r="F56" s="190">
        <v>34585</v>
      </c>
      <c r="G56" s="191">
        <v>0.40899999999999997</v>
      </c>
    </row>
    <row r="57" spans="1:7" x14ac:dyDescent="0.2">
      <c r="A57" s="184"/>
      <c r="B57" s="185"/>
      <c r="C57" s="185"/>
      <c r="D57" s="181"/>
      <c r="E57" s="182"/>
      <c r="F57" s="183"/>
      <c r="G57" s="182"/>
    </row>
    <row r="58" spans="1:7" x14ac:dyDescent="0.2">
      <c r="A58" s="184" t="s">
        <v>4097</v>
      </c>
      <c r="B58" s="185" t="s">
        <v>4098</v>
      </c>
      <c r="C58" s="185" t="s">
        <v>4057</v>
      </c>
      <c r="D58" s="181">
        <v>1786</v>
      </c>
      <c r="E58" s="182">
        <v>8.6551974800096923E-2</v>
      </c>
      <c r="F58" s="183"/>
      <c r="G58" s="182"/>
    </row>
    <row r="59" spans="1:7" x14ac:dyDescent="0.2">
      <c r="A59" s="184" t="s">
        <v>2318</v>
      </c>
      <c r="B59" s="186" t="s">
        <v>3682</v>
      </c>
      <c r="C59" s="186" t="s">
        <v>4070</v>
      </c>
      <c r="D59" s="203">
        <v>8707</v>
      </c>
      <c r="E59" s="192">
        <v>0.42195299248849044</v>
      </c>
      <c r="F59" s="183"/>
      <c r="G59" s="182"/>
    </row>
    <row r="60" spans="1:7" x14ac:dyDescent="0.2">
      <c r="A60" s="184" t="s">
        <v>2318</v>
      </c>
      <c r="B60" s="185" t="s">
        <v>4099</v>
      </c>
      <c r="C60" s="185" t="s">
        <v>4056</v>
      </c>
      <c r="D60" s="181">
        <v>6254</v>
      </c>
      <c r="E60" s="182">
        <v>0.30307729585655441</v>
      </c>
      <c r="F60" s="183"/>
      <c r="G60" s="182"/>
    </row>
    <row r="61" spans="1:7" x14ac:dyDescent="0.2">
      <c r="A61" s="184" t="s">
        <v>2318</v>
      </c>
      <c r="B61" s="185" t="s">
        <v>2147</v>
      </c>
      <c r="C61" s="185" t="s">
        <v>4100</v>
      </c>
      <c r="D61" s="181">
        <v>67</v>
      </c>
      <c r="E61" s="182">
        <v>3.2469105888054276E-3</v>
      </c>
      <c r="F61" s="183"/>
      <c r="G61" s="182"/>
    </row>
    <row r="62" spans="1:7" x14ac:dyDescent="0.2">
      <c r="A62" s="184" t="s">
        <v>2318</v>
      </c>
      <c r="B62" s="185" t="s">
        <v>514</v>
      </c>
      <c r="C62" s="185" t="s">
        <v>4064</v>
      </c>
      <c r="D62" s="181">
        <v>565</v>
      </c>
      <c r="E62" s="182">
        <v>2.7380663920523383E-2</v>
      </c>
      <c r="F62" s="183"/>
      <c r="G62" s="182"/>
    </row>
    <row r="63" spans="1:7" ht="13.5" thickBot="1" x14ac:dyDescent="0.25">
      <c r="A63" s="184" t="s">
        <v>2318</v>
      </c>
      <c r="B63" s="185" t="s">
        <v>4101</v>
      </c>
      <c r="C63" s="185" t="s">
        <v>4059</v>
      </c>
      <c r="D63" s="181">
        <v>3256</v>
      </c>
      <c r="E63" s="182">
        <v>0.15779016234552945</v>
      </c>
      <c r="F63" s="183"/>
      <c r="G63" s="182"/>
    </row>
    <row r="64" spans="1:7" ht="13.5" thickBot="1" x14ac:dyDescent="0.25">
      <c r="A64" s="184"/>
      <c r="B64" s="185"/>
      <c r="C64" s="185"/>
      <c r="D64" s="200" t="s">
        <v>4441</v>
      </c>
      <c r="E64" s="191">
        <v>1</v>
      </c>
      <c r="F64" s="190">
        <v>34681</v>
      </c>
      <c r="G64" s="191">
        <v>0.59699999999999998</v>
      </c>
    </row>
    <row r="65" spans="1:7" x14ac:dyDescent="0.2">
      <c r="A65" s="184"/>
      <c r="B65" s="185"/>
      <c r="C65" s="185"/>
      <c r="D65" s="181"/>
      <c r="E65" s="182"/>
      <c r="F65" s="183"/>
      <c r="G65" s="182"/>
    </row>
    <row r="66" spans="1:7" x14ac:dyDescent="0.2">
      <c r="A66" s="184" t="s">
        <v>4102</v>
      </c>
      <c r="B66" s="186" t="s">
        <v>4103</v>
      </c>
      <c r="C66" s="186" t="s">
        <v>4056</v>
      </c>
      <c r="D66" s="203">
        <v>6198</v>
      </c>
      <c r="E66" s="192">
        <v>0.32910316996761002</v>
      </c>
      <c r="F66" s="183"/>
      <c r="G66" s="182"/>
    </row>
    <row r="67" spans="1:7" x14ac:dyDescent="0.2">
      <c r="A67" s="184" t="s">
        <v>2318</v>
      </c>
      <c r="B67" s="185" t="s">
        <v>4104</v>
      </c>
      <c r="C67" s="185" t="s">
        <v>4057</v>
      </c>
      <c r="D67" s="181">
        <v>5568</v>
      </c>
      <c r="E67" s="182">
        <v>0.29565125046460999</v>
      </c>
      <c r="F67" s="183"/>
      <c r="G67" s="182"/>
    </row>
    <row r="68" spans="1:7" x14ac:dyDescent="0.2">
      <c r="A68" s="184" t="s">
        <v>2318</v>
      </c>
      <c r="B68" s="185" t="s">
        <v>4105</v>
      </c>
      <c r="C68" s="185" t="s">
        <v>4059</v>
      </c>
      <c r="D68" s="181">
        <v>6069</v>
      </c>
      <c r="E68" s="182">
        <v>0.32225349121223384</v>
      </c>
      <c r="F68" s="183"/>
      <c r="G68" s="182"/>
    </row>
    <row r="69" spans="1:7" x14ac:dyDescent="0.2">
      <c r="A69" s="184" t="s">
        <v>2318</v>
      </c>
      <c r="B69" s="185" t="s">
        <v>4106</v>
      </c>
      <c r="C69" s="185" t="s">
        <v>4100</v>
      </c>
      <c r="D69" s="181">
        <v>148</v>
      </c>
      <c r="E69" s="182">
        <v>7.8585461689587421E-3</v>
      </c>
      <c r="F69" s="183"/>
      <c r="G69" s="182"/>
    </row>
    <row r="70" spans="1:7" ht="13.5" thickBot="1" x14ac:dyDescent="0.25">
      <c r="A70" s="184" t="s">
        <v>2318</v>
      </c>
      <c r="B70" s="185" t="s">
        <v>4107</v>
      </c>
      <c r="C70" s="185" t="s">
        <v>4070</v>
      </c>
      <c r="D70" s="181">
        <v>850</v>
      </c>
      <c r="E70" s="182">
        <v>4.5133542186587376E-2</v>
      </c>
      <c r="F70" s="183"/>
      <c r="G70" s="182"/>
    </row>
    <row r="71" spans="1:7" ht="13.5" thickBot="1" x14ac:dyDescent="0.25">
      <c r="A71" s="184"/>
      <c r="B71" s="185"/>
      <c r="C71" s="185"/>
      <c r="D71" s="200" t="s">
        <v>4442</v>
      </c>
      <c r="E71" s="191">
        <v>1</v>
      </c>
      <c r="F71" s="190">
        <v>30931</v>
      </c>
      <c r="G71" s="191">
        <v>0.61</v>
      </c>
    </row>
    <row r="72" spans="1:7" x14ac:dyDescent="0.2">
      <c r="A72" s="184"/>
      <c r="B72" s="185"/>
      <c r="C72" s="185"/>
      <c r="D72" s="181"/>
      <c r="E72" s="182"/>
      <c r="F72" s="183"/>
      <c r="G72" s="182"/>
    </row>
    <row r="73" spans="1:7" x14ac:dyDescent="0.2">
      <c r="A73" s="184" t="s">
        <v>4108</v>
      </c>
      <c r="B73" s="185" t="s">
        <v>4109</v>
      </c>
      <c r="C73" s="185" t="s">
        <v>4057</v>
      </c>
      <c r="D73" s="181">
        <v>3216</v>
      </c>
      <c r="E73" s="182">
        <v>0.1810708856483306</v>
      </c>
      <c r="F73" s="183"/>
      <c r="G73" s="182"/>
    </row>
    <row r="74" spans="1:7" x14ac:dyDescent="0.2">
      <c r="A74" s="184" t="s">
        <v>2318</v>
      </c>
      <c r="B74" s="185" t="s">
        <v>3707</v>
      </c>
      <c r="C74" s="185" t="s">
        <v>4073</v>
      </c>
      <c r="D74" s="181">
        <v>363</v>
      </c>
      <c r="E74" s="182">
        <v>2.0438038398738811E-2</v>
      </c>
      <c r="F74" s="183"/>
      <c r="G74" s="182"/>
    </row>
    <row r="75" spans="1:7" x14ac:dyDescent="0.2">
      <c r="A75" s="184" t="s">
        <v>2318</v>
      </c>
      <c r="B75" s="186" t="s">
        <v>2945</v>
      </c>
      <c r="C75" s="186" t="s">
        <v>4056</v>
      </c>
      <c r="D75" s="203">
        <v>7163</v>
      </c>
      <c r="E75" s="192">
        <v>0.40329936377456227</v>
      </c>
      <c r="F75" s="183"/>
      <c r="G75" s="182"/>
    </row>
    <row r="76" spans="1:7" x14ac:dyDescent="0.2">
      <c r="A76" s="184" t="s">
        <v>2318</v>
      </c>
      <c r="B76" s="185" t="s">
        <v>896</v>
      </c>
      <c r="C76" s="185" t="s">
        <v>4059</v>
      </c>
      <c r="D76" s="181">
        <v>5748</v>
      </c>
      <c r="E76" s="182">
        <v>0.32363042621474014</v>
      </c>
      <c r="F76" s="183"/>
      <c r="G76" s="182"/>
    </row>
    <row r="77" spans="1:7" ht="13.5" thickBot="1" x14ac:dyDescent="0.25">
      <c r="A77" s="184" t="s">
        <v>2318</v>
      </c>
      <c r="B77" s="185" t="s">
        <v>4110</v>
      </c>
      <c r="C77" s="185" t="s">
        <v>4064</v>
      </c>
      <c r="D77" s="181">
        <v>1271</v>
      </c>
      <c r="E77" s="182">
        <v>7.156128596362818E-2</v>
      </c>
      <c r="F77" s="183"/>
      <c r="G77" s="182"/>
    </row>
    <row r="78" spans="1:7" ht="13.5" thickBot="1" x14ac:dyDescent="0.25">
      <c r="A78" s="184"/>
      <c r="B78" s="185"/>
      <c r="C78" s="185"/>
      <c r="D78" s="200" t="s">
        <v>4443</v>
      </c>
      <c r="E78" s="191">
        <v>1</v>
      </c>
      <c r="F78" s="190">
        <v>34000</v>
      </c>
      <c r="G78" s="191">
        <v>0.52400000000000002</v>
      </c>
    </row>
    <row r="79" spans="1:7" x14ac:dyDescent="0.2">
      <c r="A79" s="184"/>
      <c r="B79" s="185"/>
      <c r="C79" s="185"/>
      <c r="D79" s="181"/>
      <c r="E79" s="182"/>
      <c r="F79" s="183"/>
      <c r="G79" s="182"/>
    </row>
    <row r="80" spans="1:7" x14ac:dyDescent="0.2">
      <c r="A80" s="184" t="s">
        <v>4111</v>
      </c>
      <c r="B80" s="185" t="s">
        <v>3363</v>
      </c>
      <c r="C80" s="185" t="s">
        <v>4064</v>
      </c>
      <c r="D80" s="181">
        <v>476</v>
      </c>
      <c r="E80" s="182">
        <v>3.3711048158640226E-2</v>
      </c>
      <c r="F80" s="183"/>
      <c r="G80" s="182"/>
    </row>
    <row r="81" spans="1:7" x14ac:dyDescent="0.2">
      <c r="A81" s="184" t="s">
        <v>2318</v>
      </c>
      <c r="B81" s="186" t="s">
        <v>4112</v>
      </c>
      <c r="C81" s="186" t="s">
        <v>4059</v>
      </c>
      <c r="D81" s="203">
        <v>7027</v>
      </c>
      <c r="E81" s="192">
        <v>0.49766288951841359</v>
      </c>
      <c r="F81" s="183"/>
      <c r="G81" s="182"/>
    </row>
    <row r="82" spans="1:7" x14ac:dyDescent="0.2">
      <c r="A82" s="184" t="s">
        <v>2318</v>
      </c>
      <c r="B82" s="185" t="s">
        <v>4113</v>
      </c>
      <c r="C82" s="185" t="s">
        <v>4070</v>
      </c>
      <c r="D82" s="181">
        <v>410</v>
      </c>
      <c r="E82" s="182">
        <v>2.9036827195467421E-2</v>
      </c>
      <c r="F82" s="183"/>
      <c r="G82" s="182"/>
    </row>
    <row r="83" spans="1:7" x14ac:dyDescent="0.2">
      <c r="A83" s="184" t="s">
        <v>2318</v>
      </c>
      <c r="B83" s="185" t="s">
        <v>3694</v>
      </c>
      <c r="C83" s="185" t="s">
        <v>4057</v>
      </c>
      <c r="D83" s="181">
        <v>3003</v>
      </c>
      <c r="E83" s="182">
        <v>0.21267705382436261</v>
      </c>
      <c r="F83" s="183"/>
      <c r="G83" s="182"/>
    </row>
    <row r="84" spans="1:7" ht="13.5" thickBot="1" x14ac:dyDescent="0.25">
      <c r="A84" s="184" t="s">
        <v>2318</v>
      </c>
      <c r="B84" s="185" t="s">
        <v>4114</v>
      </c>
      <c r="C84" s="185" t="s">
        <v>4056</v>
      </c>
      <c r="D84" s="181">
        <v>3204</v>
      </c>
      <c r="E84" s="182">
        <v>0.22691218130311613</v>
      </c>
      <c r="F84" s="183"/>
      <c r="G84" s="182"/>
    </row>
    <row r="85" spans="1:7" ht="13.5" thickBot="1" x14ac:dyDescent="0.25">
      <c r="A85" s="184"/>
      <c r="B85" s="185"/>
      <c r="C85" s="185"/>
      <c r="D85" s="200" t="s">
        <v>4444</v>
      </c>
      <c r="E85" s="191">
        <v>1</v>
      </c>
      <c r="F85" s="190">
        <v>32411</v>
      </c>
      <c r="G85" s="191">
        <v>0.439</v>
      </c>
    </row>
    <row r="86" spans="1:7" x14ac:dyDescent="0.2">
      <c r="A86" s="184"/>
      <c r="B86" s="185"/>
      <c r="C86" s="185"/>
      <c r="D86" s="181"/>
      <c r="E86" s="182"/>
      <c r="F86" s="183"/>
      <c r="G86" s="182"/>
    </row>
    <row r="87" spans="1:7" x14ac:dyDescent="0.2">
      <c r="A87" s="184" t="s">
        <v>4115</v>
      </c>
      <c r="B87" s="185" t="s">
        <v>3698</v>
      </c>
      <c r="C87" s="185" t="s">
        <v>4056</v>
      </c>
      <c r="D87" s="181">
        <v>7015</v>
      </c>
      <c r="E87" s="182">
        <v>0.33155307685036395</v>
      </c>
      <c r="F87" s="183"/>
      <c r="G87" s="182"/>
    </row>
    <row r="88" spans="1:7" x14ac:dyDescent="0.2">
      <c r="A88" s="184" t="s">
        <v>2318</v>
      </c>
      <c r="B88" s="186" t="s">
        <v>4116</v>
      </c>
      <c r="C88" s="186" t="s">
        <v>4059</v>
      </c>
      <c r="D88" s="203">
        <v>7021</v>
      </c>
      <c r="E88" s="192">
        <v>0.33183665752906705</v>
      </c>
      <c r="F88" s="183"/>
      <c r="G88" s="182"/>
    </row>
    <row r="89" spans="1:7" x14ac:dyDescent="0.2">
      <c r="A89" s="184" t="s">
        <v>2318</v>
      </c>
      <c r="B89" s="185" t="s">
        <v>4117</v>
      </c>
      <c r="C89" s="185" t="s">
        <v>4057</v>
      </c>
      <c r="D89" s="181">
        <v>5058</v>
      </c>
      <c r="E89" s="182">
        <v>0.23905851214670573</v>
      </c>
      <c r="F89" s="183"/>
      <c r="G89" s="182"/>
    </row>
    <row r="90" spans="1:7" x14ac:dyDescent="0.2">
      <c r="A90" s="184" t="s">
        <v>2318</v>
      </c>
      <c r="B90" s="185" t="s">
        <v>4118</v>
      </c>
      <c r="C90" s="185" t="s">
        <v>4070</v>
      </c>
      <c r="D90" s="181">
        <v>719</v>
      </c>
      <c r="E90" s="182">
        <v>3.3982417997920407E-2</v>
      </c>
      <c r="F90" s="183"/>
      <c r="G90" s="182"/>
    </row>
    <row r="91" spans="1:7" ht="13.5" thickBot="1" x14ac:dyDescent="0.25">
      <c r="A91" s="184" t="s">
        <v>2318</v>
      </c>
      <c r="B91" s="185" t="s">
        <v>4119</v>
      </c>
      <c r="C91" s="185" t="s">
        <v>4064</v>
      </c>
      <c r="D91" s="181">
        <v>1345</v>
      </c>
      <c r="E91" s="182">
        <v>6.3569335475942901E-2</v>
      </c>
      <c r="F91" s="183"/>
      <c r="G91" s="182"/>
    </row>
    <row r="92" spans="1:7" ht="13.5" thickBot="1" x14ac:dyDescent="0.25">
      <c r="A92" s="184"/>
      <c r="B92" s="185"/>
      <c r="C92" s="185"/>
      <c r="D92" s="200" t="s">
        <v>4445</v>
      </c>
      <c r="E92" s="191">
        <v>1</v>
      </c>
      <c r="F92" s="190">
        <v>37109</v>
      </c>
      <c r="G92" s="191">
        <v>0.57299999999999995</v>
      </c>
    </row>
    <row r="93" spans="1:7" x14ac:dyDescent="0.2">
      <c r="A93" s="184"/>
      <c r="B93" s="185"/>
      <c r="C93" s="185"/>
      <c r="D93" s="181"/>
      <c r="E93" s="182"/>
      <c r="F93" s="183"/>
      <c r="G93" s="182"/>
    </row>
    <row r="94" spans="1:7" x14ac:dyDescent="0.2">
      <c r="A94" s="184" t="s">
        <v>4120</v>
      </c>
      <c r="B94" s="186" t="s">
        <v>3364</v>
      </c>
      <c r="C94" s="186" t="s">
        <v>4056</v>
      </c>
      <c r="D94" s="203">
        <v>5337</v>
      </c>
      <c r="E94" s="192">
        <v>0.427747054580428</v>
      </c>
      <c r="F94" s="183"/>
      <c r="G94" s="182"/>
    </row>
    <row r="95" spans="1:7" x14ac:dyDescent="0.2">
      <c r="A95" s="184" t="s">
        <v>2318</v>
      </c>
      <c r="B95" s="185" t="s">
        <v>3695</v>
      </c>
      <c r="C95" s="185" t="s">
        <v>4059</v>
      </c>
      <c r="D95" s="181">
        <v>4513</v>
      </c>
      <c r="E95" s="182">
        <v>0.36170553819027007</v>
      </c>
      <c r="F95" s="183"/>
      <c r="G95" s="182"/>
    </row>
    <row r="96" spans="1:7" ht="13.5" thickBot="1" x14ac:dyDescent="0.25">
      <c r="A96" s="184" t="s">
        <v>2318</v>
      </c>
      <c r="B96" s="185" t="s">
        <v>4121</v>
      </c>
      <c r="C96" s="185" t="s">
        <v>4057</v>
      </c>
      <c r="D96" s="181">
        <v>2627</v>
      </c>
      <c r="E96" s="182">
        <v>0.2105474072293019</v>
      </c>
      <c r="F96" s="183"/>
      <c r="G96" s="182"/>
    </row>
    <row r="97" spans="1:7" ht="13.5" thickBot="1" x14ac:dyDescent="0.25">
      <c r="A97" s="184"/>
      <c r="B97" s="185"/>
      <c r="C97" s="185"/>
      <c r="D97" s="200" t="s">
        <v>4446</v>
      </c>
      <c r="E97" s="191">
        <v>1</v>
      </c>
      <c r="F97" s="190">
        <v>30600</v>
      </c>
      <c r="G97" s="191">
        <v>0.41</v>
      </c>
    </row>
    <row r="98" spans="1:7" x14ac:dyDescent="0.2">
      <c r="A98" s="184"/>
      <c r="B98" s="185"/>
      <c r="C98" s="185"/>
      <c r="D98" s="181"/>
      <c r="E98" s="182"/>
      <c r="F98" s="183"/>
      <c r="G98" s="182"/>
    </row>
    <row r="99" spans="1:7" x14ac:dyDescent="0.2">
      <c r="A99" s="184" t="s">
        <v>4122</v>
      </c>
      <c r="B99" s="185" t="s">
        <v>4123</v>
      </c>
      <c r="C99" s="185" t="s">
        <v>4070</v>
      </c>
      <c r="D99" s="181">
        <v>925</v>
      </c>
      <c r="E99" s="182">
        <v>4.5177045177045176E-2</v>
      </c>
      <c r="F99" s="183"/>
      <c r="G99" s="182"/>
    </row>
    <row r="100" spans="1:7" x14ac:dyDescent="0.2">
      <c r="A100" s="184" t="s">
        <v>2318</v>
      </c>
      <c r="B100" s="186" t="s">
        <v>4124</v>
      </c>
      <c r="C100" s="186" t="s">
        <v>4059</v>
      </c>
      <c r="D100" s="203">
        <v>7443</v>
      </c>
      <c r="E100" s="192">
        <v>0.36351648351648352</v>
      </c>
      <c r="F100" s="183"/>
      <c r="G100" s="182"/>
    </row>
    <row r="101" spans="1:7" x14ac:dyDescent="0.2">
      <c r="A101" s="184" t="s">
        <v>2318</v>
      </c>
      <c r="B101" s="185" t="s">
        <v>4125</v>
      </c>
      <c r="C101" s="185" t="s">
        <v>4073</v>
      </c>
      <c r="D101" s="181">
        <v>455</v>
      </c>
      <c r="E101" s="182">
        <v>2.2222222222222223E-2</v>
      </c>
      <c r="F101" s="183"/>
      <c r="G101" s="182"/>
    </row>
    <row r="102" spans="1:7" x14ac:dyDescent="0.2">
      <c r="A102" s="184" t="s">
        <v>2318</v>
      </c>
      <c r="B102" s="185" t="s">
        <v>3708</v>
      </c>
      <c r="C102" s="185" t="s">
        <v>4056</v>
      </c>
      <c r="D102" s="181">
        <v>6378</v>
      </c>
      <c r="E102" s="182">
        <v>0.31150183150183153</v>
      </c>
      <c r="F102" s="183"/>
      <c r="G102" s="182"/>
    </row>
    <row r="103" spans="1:7" x14ac:dyDescent="0.2">
      <c r="A103" s="184" t="s">
        <v>2318</v>
      </c>
      <c r="B103" s="185" t="s">
        <v>4126</v>
      </c>
      <c r="C103" s="185" t="s">
        <v>4064</v>
      </c>
      <c r="D103" s="181">
        <v>736</v>
      </c>
      <c r="E103" s="182">
        <v>3.5946275946275946E-2</v>
      </c>
      <c r="F103" s="183"/>
      <c r="G103" s="182"/>
    </row>
    <row r="104" spans="1:7" x14ac:dyDescent="0.2">
      <c r="A104" s="184" t="s">
        <v>2318</v>
      </c>
      <c r="B104" s="185" t="s">
        <v>4127</v>
      </c>
      <c r="C104" s="185" t="s">
        <v>4057</v>
      </c>
      <c r="D104" s="181">
        <v>4448</v>
      </c>
      <c r="E104" s="182">
        <v>0.21724053724053724</v>
      </c>
      <c r="F104" s="183"/>
      <c r="G104" s="182"/>
    </row>
    <row r="105" spans="1:7" ht="13.5" thickBot="1" x14ac:dyDescent="0.25">
      <c r="A105" s="184" t="s">
        <v>2318</v>
      </c>
      <c r="B105" s="185" t="s">
        <v>3300</v>
      </c>
      <c r="C105" s="185" t="s">
        <v>4100</v>
      </c>
      <c r="D105" s="181">
        <v>90</v>
      </c>
      <c r="E105" s="182">
        <v>4.3956043956043956E-3</v>
      </c>
      <c r="F105" s="183"/>
      <c r="G105" s="182"/>
    </row>
    <row r="106" spans="1:7" ht="13.5" thickBot="1" x14ac:dyDescent="0.25">
      <c r="A106" s="184"/>
      <c r="B106" s="185"/>
      <c r="C106" s="185"/>
      <c r="D106" s="200" t="s">
        <v>4447</v>
      </c>
      <c r="E106" s="191">
        <v>1.0000000000000002</v>
      </c>
      <c r="F106" s="190">
        <v>33523</v>
      </c>
      <c r="G106" s="191">
        <v>0.61299999999999999</v>
      </c>
    </row>
    <row r="107" spans="1:7" x14ac:dyDescent="0.2">
      <c r="A107" s="184"/>
      <c r="B107" s="185"/>
      <c r="C107" s="185"/>
      <c r="D107" s="181"/>
      <c r="E107" s="182"/>
      <c r="F107" s="183"/>
      <c r="G107" s="182"/>
    </row>
    <row r="108" spans="1:7" x14ac:dyDescent="0.2">
      <c r="A108" s="184" t="s">
        <v>4128</v>
      </c>
      <c r="B108" s="185" t="s">
        <v>4129</v>
      </c>
      <c r="C108" s="185" t="s">
        <v>4100</v>
      </c>
      <c r="D108" s="181">
        <v>93</v>
      </c>
      <c r="E108" s="182">
        <v>5.3337921541637993E-3</v>
      </c>
      <c r="F108" s="183"/>
      <c r="G108" s="182"/>
    </row>
    <row r="109" spans="1:7" x14ac:dyDescent="0.2">
      <c r="A109" s="184" t="s">
        <v>2318</v>
      </c>
      <c r="B109" s="185" t="s">
        <v>4130</v>
      </c>
      <c r="C109" s="185" t="s">
        <v>4059</v>
      </c>
      <c r="D109" s="181">
        <v>5138</v>
      </c>
      <c r="E109" s="182">
        <v>0.29467767836659786</v>
      </c>
      <c r="F109" s="183"/>
      <c r="G109" s="182"/>
    </row>
    <row r="110" spans="1:7" x14ac:dyDescent="0.2">
      <c r="A110" s="184" t="s">
        <v>2318</v>
      </c>
      <c r="B110" s="185" t="s">
        <v>4131</v>
      </c>
      <c r="C110" s="185" t="s">
        <v>4064</v>
      </c>
      <c r="D110" s="181">
        <v>722</v>
      </c>
      <c r="E110" s="182">
        <v>4.1408579949529706E-2</v>
      </c>
      <c r="F110" s="183"/>
      <c r="G110" s="182"/>
    </row>
    <row r="111" spans="1:7" x14ac:dyDescent="0.2">
      <c r="A111" s="184" t="s">
        <v>2318</v>
      </c>
      <c r="B111" s="185" t="s">
        <v>3312</v>
      </c>
      <c r="C111" s="185" t="s">
        <v>4073</v>
      </c>
      <c r="D111" s="181">
        <v>250</v>
      </c>
      <c r="E111" s="182">
        <v>1.4338150952053224E-2</v>
      </c>
      <c r="F111" s="183"/>
      <c r="G111" s="182"/>
    </row>
    <row r="112" spans="1:7" x14ac:dyDescent="0.2">
      <c r="A112" s="184" t="s">
        <v>2318</v>
      </c>
      <c r="B112" s="185" t="s">
        <v>4132</v>
      </c>
      <c r="C112" s="185" t="s">
        <v>4057</v>
      </c>
      <c r="D112" s="181">
        <v>4562</v>
      </c>
      <c r="E112" s="182">
        <v>0.26164257857306722</v>
      </c>
      <c r="F112" s="183"/>
      <c r="G112" s="182"/>
    </row>
    <row r="113" spans="1:7" ht="13.5" thickBot="1" x14ac:dyDescent="0.25">
      <c r="A113" s="184" t="s">
        <v>2318</v>
      </c>
      <c r="B113" s="186" t="s">
        <v>4133</v>
      </c>
      <c r="C113" s="186" t="s">
        <v>4056</v>
      </c>
      <c r="D113" s="203">
        <v>6671</v>
      </c>
      <c r="E113" s="192">
        <v>0.38259922000458818</v>
      </c>
      <c r="F113" s="183"/>
      <c r="G113" s="182"/>
    </row>
    <row r="114" spans="1:7" ht="13.5" thickBot="1" x14ac:dyDescent="0.25">
      <c r="A114" s="184"/>
      <c r="B114" s="185"/>
      <c r="C114" s="185"/>
      <c r="D114" s="200" t="s">
        <v>4448</v>
      </c>
      <c r="E114" s="191">
        <v>1</v>
      </c>
      <c r="F114" s="190">
        <v>30865</v>
      </c>
      <c r="G114" s="191">
        <v>0.56599999999999995</v>
      </c>
    </row>
    <row r="115" spans="1:7" x14ac:dyDescent="0.2">
      <c r="A115" s="184"/>
      <c r="B115" s="185"/>
      <c r="C115" s="185"/>
      <c r="D115" s="181"/>
      <c r="E115" s="182"/>
      <c r="F115" s="183"/>
      <c r="G115" s="182"/>
    </row>
    <row r="116" spans="1:7" x14ac:dyDescent="0.2">
      <c r="A116" s="184" t="s">
        <v>4134</v>
      </c>
      <c r="B116" s="186" t="s">
        <v>3684</v>
      </c>
      <c r="C116" s="186" t="s">
        <v>4059</v>
      </c>
      <c r="D116" s="203">
        <v>8098</v>
      </c>
      <c r="E116" s="192">
        <v>0.44285245543038387</v>
      </c>
      <c r="F116" s="183"/>
      <c r="G116" s="182"/>
    </row>
    <row r="117" spans="1:7" x14ac:dyDescent="0.2">
      <c r="A117" s="184" t="s">
        <v>2318</v>
      </c>
      <c r="B117" s="185" t="s">
        <v>3374</v>
      </c>
      <c r="C117" s="185" t="s">
        <v>4056</v>
      </c>
      <c r="D117" s="181">
        <v>4878</v>
      </c>
      <c r="E117" s="182">
        <v>0.26676145685223668</v>
      </c>
      <c r="F117" s="183"/>
      <c r="G117" s="182"/>
    </row>
    <row r="118" spans="1:7" x14ac:dyDescent="0.2">
      <c r="A118" s="184" t="s">
        <v>2318</v>
      </c>
      <c r="B118" s="185" t="s">
        <v>4135</v>
      </c>
      <c r="C118" s="185" t="s">
        <v>4064</v>
      </c>
      <c r="D118" s="181">
        <v>1104</v>
      </c>
      <c r="E118" s="182">
        <v>6.0374056655364758E-2</v>
      </c>
      <c r="F118" s="183"/>
      <c r="G118" s="182"/>
    </row>
    <row r="119" spans="1:7" ht="13.5" thickBot="1" x14ac:dyDescent="0.25">
      <c r="A119" s="184" t="s">
        <v>2318</v>
      </c>
      <c r="B119" s="185" t="s">
        <v>3720</v>
      </c>
      <c r="C119" s="185" t="s">
        <v>4057</v>
      </c>
      <c r="D119" s="181">
        <v>4206</v>
      </c>
      <c r="E119" s="182">
        <v>0.23001203106201465</v>
      </c>
      <c r="F119" s="183"/>
      <c r="G119" s="182"/>
    </row>
    <row r="120" spans="1:7" ht="13.5" thickBot="1" x14ac:dyDescent="0.25">
      <c r="A120" s="184"/>
      <c r="B120" s="185"/>
      <c r="C120" s="185"/>
      <c r="D120" s="200" t="s">
        <v>4449</v>
      </c>
      <c r="E120" s="191">
        <v>1</v>
      </c>
      <c r="F120" s="190">
        <v>34702</v>
      </c>
      <c r="G120" s="191">
        <v>0.53300000000000003</v>
      </c>
    </row>
    <row r="121" spans="1:7" x14ac:dyDescent="0.2">
      <c r="A121" s="184"/>
      <c r="B121" s="185"/>
      <c r="C121" s="185"/>
      <c r="D121" s="181"/>
      <c r="E121" s="182"/>
      <c r="F121" s="183"/>
      <c r="G121" s="182"/>
    </row>
    <row r="122" spans="1:7" x14ac:dyDescent="0.2">
      <c r="A122" s="184" t="s">
        <v>4136</v>
      </c>
      <c r="B122" s="185" t="s">
        <v>4137</v>
      </c>
      <c r="C122" s="185" t="s">
        <v>4059</v>
      </c>
      <c r="D122" s="181">
        <v>5437</v>
      </c>
      <c r="E122" s="182">
        <v>0.3203134205255096</v>
      </c>
      <c r="F122" s="183"/>
      <c r="G122" s="182"/>
    </row>
    <row r="123" spans="1:7" x14ac:dyDescent="0.2">
      <c r="A123" s="184" t="s">
        <v>2318</v>
      </c>
      <c r="B123" s="185" t="s">
        <v>4138</v>
      </c>
      <c r="C123" s="185" t="s">
        <v>4064</v>
      </c>
      <c r="D123" s="181">
        <v>817</v>
      </c>
      <c r="E123" s="182">
        <v>4.8132437846117593E-2</v>
      </c>
      <c r="F123" s="183"/>
      <c r="G123" s="182"/>
    </row>
    <row r="124" spans="1:7" x14ac:dyDescent="0.2">
      <c r="A124" s="184" t="s">
        <v>2318</v>
      </c>
      <c r="B124" s="185" t="s">
        <v>4139</v>
      </c>
      <c r="C124" s="185" t="s">
        <v>4057</v>
      </c>
      <c r="D124" s="181">
        <v>4781</v>
      </c>
      <c r="E124" s="182">
        <v>0.28166607753034051</v>
      </c>
      <c r="F124" s="183"/>
      <c r="G124" s="182"/>
    </row>
    <row r="125" spans="1:7" ht="13.5" thickBot="1" x14ac:dyDescent="0.25">
      <c r="A125" s="184" t="s">
        <v>2318</v>
      </c>
      <c r="B125" s="186" t="s">
        <v>2162</v>
      </c>
      <c r="C125" s="186" t="s">
        <v>4056</v>
      </c>
      <c r="D125" s="203">
        <v>5939</v>
      </c>
      <c r="E125" s="192">
        <v>0.3498880640980323</v>
      </c>
      <c r="F125" s="183"/>
      <c r="G125" s="182"/>
    </row>
    <row r="126" spans="1:7" ht="13.5" thickBot="1" x14ac:dyDescent="0.25">
      <c r="A126" s="184"/>
      <c r="B126" s="185"/>
      <c r="C126" s="185"/>
      <c r="D126" s="200" t="s">
        <v>4450</v>
      </c>
      <c r="E126" s="191">
        <v>1</v>
      </c>
      <c r="F126" s="190">
        <v>33547</v>
      </c>
      <c r="G126" s="191">
        <v>0.51300000000000001</v>
      </c>
    </row>
    <row r="127" spans="1:7" x14ac:dyDescent="0.2">
      <c r="A127" s="184"/>
      <c r="B127" s="185"/>
      <c r="C127" s="185"/>
      <c r="D127" s="181"/>
      <c r="E127" s="182"/>
      <c r="F127" s="183"/>
      <c r="G127" s="182"/>
    </row>
    <row r="128" spans="1:7" x14ac:dyDescent="0.2">
      <c r="A128" s="184" t="s">
        <v>4140</v>
      </c>
      <c r="B128" s="185" t="s">
        <v>4141</v>
      </c>
      <c r="C128" s="185" t="s">
        <v>4073</v>
      </c>
      <c r="D128" s="181">
        <v>316</v>
      </c>
      <c r="E128" s="182">
        <v>1.8854415274463007E-2</v>
      </c>
      <c r="F128" s="183"/>
      <c r="G128" s="182"/>
    </row>
    <row r="129" spans="1:7" x14ac:dyDescent="0.2">
      <c r="A129" s="184" t="s">
        <v>2318</v>
      </c>
      <c r="B129" s="185" t="s">
        <v>506</v>
      </c>
      <c r="C129" s="185" t="s">
        <v>4056</v>
      </c>
      <c r="D129" s="181">
        <v>4585</v>
      </c>
      <c r="E129" s="182">
        <v>0.27356801909307876</v>
      </c>
      <c r="F129" s="183"/>
      <c r="G129" s="182"/>
    </row>
    <row r="130" spans="1:7" x14ac:dyDescent="0.2">
      <c r="A130" s="184" t="s">
        <v>2318</v>
      </c>
      <c r="B130" s="185" t="s">
        <v>4142</v>
      </c>
      <c r="C130" s="185" t="s">
        <v>4064</v>
      </c>
      <c r="D130" s="181">
        <v>768</v>
      </c>
      <c r="E130" s="182">
        <v>4.5823389021479713E-2</v>
      </c>
      <c r="F130" s="183"/>
      <c r="G130" s="182"/>
    </row>
    <row r="131" spans="1:7" x14ac:dyDescent="0.2">
      <c r="A131" s="184" t="s">
        <v>2318</v>
      </c>
      <c r="B131" s="185" t="s">
        <v>4143</v>
      </c>
      <c r="C131" s="185" t="s">
        <v>4057</v>
      </c>
      <c r="D131" s="181">
        <v>4914</v>
      </c>
      <c r="E131" s="182">
        <v>0.2931980906921241</v>
      </c>
      <c r="F131" s="183"/>
      <c r="G131" s="182"/>
    </row>
    <row r="132" spans="1:7" ht="13.5" thickBot="1" x14ac:dyDescent="0.25">
      <c r="A132" s="184" t="s">
        <v>2318</v>
      </c>
      <c r="B132" s="186" t="s">
        <v>4144</v>
      </c>
      <c r="C132" s="186" t="s">
        <v>4059</v>
      </c>
      <c r="D132" s="203">
        <v>6177</v>
      </c>
      <c r="E132" s="192">
        <v>0.36855608591885441</v>
      </c>
      <c r="F132" s="183"/>
      <c r="G132" s="182"/>
    </row>
    <row r="133" spans="1:7" ht="13.5" thickBot="1" x14ac:dyDescent="0.25">
      <c r="A133" s="184"/>
      <c r="B133" s="185"/>
      <c r="C133" s="185"/>
      <c r="D133" s="200" t="s">
        <v>4451</v>
      </c>
      <c r="E133" s="191">
        <v>1</v>
      </c>
      <c r="F133" s="190">
        <v>34487</v>
      </c>
      <c r="G133" s="191">
        <v>0.48899999999999999</v>
      </c>
    </row>
    <row r="134" spans="1:7" x14ac:dyDescent="0.2">
      <c r="A134" s="184"/>
      <c r="B134" s="185"/>
      <c r="C134" s="185"/>
      <c r="D134" s="181"/>
      <c r="E134" s="182"/>
      <c r="F134" s="183"/>
      <c r="G134" s="182"/>
    </row>
    <row r="135" spans="1:7" x14ac:dyDescent="0.2">
      <c r="A135" s="184" t="s">
        <v>4145</v>
      </c>
      <c r="B135" s="185" t="s">
        <v>4146</v>
      </c>
      <c r="C135" s="185" t="s">
        <v>4084</v>
      </c>
      <c r="D135" s="181">
        <v>1010</v>
      </c>
      <c r="E135" s="182">
        <v>7.9340141398271793E-2</v>
      </c>
      <c r="F135" s="183"/>
      <c r="G135" s="182"/>
    </row>
    <row r="136" spans="1:7" x14ac:dyDescent="0.2">
      <c r="A136" s="184" t="s">
        <v>2318</v>
      </c>
      <c r="B136" s="185" t="s">
        <v>4147</v>
      </c>
      <c r="C136" s="185" t="s">
        <v>4064</v>
      </c>
      <c r="D136" s="181">
        <v>2224</v>
      </c>
      <c r="E136" s="182">
        <v>0.17470542026708563</v>
      </c>
      <c r="F136" s="183"/>
      <c r="G136" s="182"/>
    </row>
    <row r="137" spans="1:7" x14ac:dyDescent="0.2">
      <c r="A137" s="184" t="s">
        <v>2318</v>
      </c>
      <c r="B137" s="185" t="s">
        <v>3667</v>
      </c>
      <c r="C137" s="185" t="s">
        <v>4057</v>
      </c>
      <c r="D137" s="181">
        <v>3367</v>
      </c>
      <c r="E137" s="182">
        <v>0.26449332285938726</v>
      </c>
      <c r="F137" s="183"/>
      <c r="G137" s="182"/>
    </row>
    <row r="138" spans="1:7" x14ac:dyDescent="0.2">
      <c r="A138" s="184" t="s">
        <v>2318</v>
      </c>
      <c r="B138" s="186" t="s">
        <v>4148</v>
      </c>
      <c r="C138" s="186" t="s">
        <v>4059</v>
      </c>
      <c r="D138" s="203">
        <v>3812</v>
      </c>
      <c r="E138" s="192">
        <v>0.29945011783189318</v>
      </c>
      <c r="F138" s="183"/>
      <c r="G138" s="182"/>
    </row>
    <row r="139" spans="1:7" ht="13.5" thickBot="1" x14ac:dyDescent="0.25">
      <c r="A139" s="184" t="s">
        <v>2318</v>
      </c>
      <c r="B139" s="185" t="s">
        <v>4149</v>
      </c>
      <c r="C139" s="185" t="s">
        <v>4056</v>
      </c>
      <c r="D139" s="181">
        <v>2317</v>
      </c>
      <c r="E139" s="182">
        <v>0.18201099764336215</v>
      </c>
      <c r="F139" s="183"/>
      <c r="G139" s="182"/>
    </row>
    <row r="140" spans="1:7" ht="13.5" thickBot="1" x14ac:dyDescent="0.25">
      <c r="A140" s="184"/>
      <c r="B140" s="185"/>
      <c r="C140" s="185"/>
      <c r="D140" s="200" t="s">
        <v>4452</v>
      </c>
      <c r="E140" s="191">
        <v>1</v>
      </c>
      <c r="F140" s="190">
        <v>30125</v>
      </c>
      <c r="G140" s="191">
        <v>0.42799999999999999</v>
      </c>
    </row>
    <row r="141" spans="1:7" x14ac:dyDescent="0.2">
      <c r="A141" s="184"/>
      <c r="B141" s="185"/>
      <c r="C141" s="185"/>
      <c r="D141" s="181"/>
      <c r="E141" s="182"/>
      <c r="F141" s="183"/>
      <c r="G141" s="182"/>
    </row>
    <row r="142" spans="1:7" x14ac:dyDescent="0.2">
      <c r="A142" s="184" t="s">
        <v>4150</v>
      </c>
      <c r="B142" s="185" t="s">
        <v>4151</v>
      </c>
      <c r="C142" s="185" t="s">
        <v>4059</v>
      </c>
      <c r="D142" s="181">
        <v>5673</v>
      </c>
      <c r="E142" s="182">
        <v>0.2887610709559198</v>
      </c>
      <c r="F142" s="183"/>
      <c r="G142" s="182"/>
    </row>
    <row r="143" spans="1:7" x14ac:dyDescent="0.2">
      <c r="A143" s="184" t="s">
        <v>2318</v>
      </c>
      <c r="B143" s="185" t="s">
        <v>3232</v>
      </c>
      <c r="C143" s="185" t="s">
        <v>4056</v>
      </c>
      <c r="D143" s="181">
        <v>4699</v>
      </c>
      <c r="E143" s="182">
        <v>0.23918354881400794</v>
      </c>
      <c r="F143" s="183"/>
      <c r="G143" s="182"/>
    </row>
    <row r="144" spans="1:7" x14ac:dyDescent="0.2">
      <c r="A144" s="184" t="s">
        <v>2318</v>
      </c>
      <c r="B144" s="186" t="s">
        <v>2179</v>
      </c>
      <c r="C144" s="186" t="s">
        <v>4064</v>
      </c>
      <c r="D144" s="203">
        <v>7204</v>
      </c>
      <c r="E144" s="192">
        <v>0.36669042044182021</v>
      </c>
      <c r="F144" s="183"/>
      <c r="G144" s="182"/>
    </row>
    <row r="145" spans="1:7" ht="13.5" thickBot="1" x14ac:dyDescent="0.25">
      <c r="A145" s="184" t="s">
        <v>2318</v>
      </c>
      <c r="B145" s="185" t="s">
        <v>4152</v>
      </c>
      <c r="C145" s="185" t="s">
        <v>4057</v>
      </c>
      <c r="D145" s="181">
        <v>2070</v>
      </c>
      <c r="E145" s="182">
        <v>0.10536495978825205</v>
      </c>
      <c r="F145" s="183"/>
      <c r="G145" s="182"/>
    </row>
    <row r="146" spans="1:7" ht="13.5" thickBot="1" x14ac:dyDescent="0.25">
      <c r="A146" s="184"/>
      <c r="B146" s="185"/>
      <c r="C146" s="185"/>
      <c r="D146" s="200" t="s">
        <v>4453</v>
      </c>
      <c r="E146" s="191">
        <v>1</v>
      </c>
      <c r="F146" s="190">
        <v>36236</v>
      </c>
      <c r="G146" s="191">
        <v>0.54400000000000004</v>
      </c>
    </row>
    <row r="147" spans="1:7" x14ac:dyDescent="0.2">
      <c r="A147" s="184"/>
      <c r="B147" s="185"/>
      <c r="C147" s="185"/>
      <c r="D147" s="181"/>
      <c r="E147" s="182"/>
      <c r="F147" s="183"/>
      <c r="G147" s="182"/>
    </row>
    <row r="148" spans="1:7" x14ac:dyDescent="0.2">
      <c r="A148" s="184" t="s">
        <v>4153</v>
      </c>
      <c r="B148" s="185" t="s">
        <v>4154</v>
      </c>
      <c r="C148" s="185" t="s">
        <v>4070</v>
      </c>
      <c r="D148" s="181">
        <v>1176</v>
      </c>
      <c r="E148" s="182">
        <v>6.0875867066984161E-2</v>
      </c>
      <c r="F148" s="183"/>
      <c r="G148" s="182"/>
    </row>
    <row r="149" spans="1:7" x14ac:dyDescent="0.2">
      <c r="A149" s="184" t="s">
        <v>2318</v>
      </c>
      <c r="B149" s="185" t="s">
        <v>4155</v>
      </c>
      <c r="C149" s="185" t="s">
        <v>4057</v>
      </c>
      <c r="D149" s="181">
        <v>5163</v>
      </c>
      <c r="E149" s="182">
        <v>0.26726369189357074</v>
      </c>
      <c r="F149" s="183"/>
      <c r="G149" s="182"/>
    </row>
    <row r="150" spans="1:7" x14ac:dyDescent="0.2">
      <c r="A150" s="184" t="s">
        <v>2318</v>
      </c>
      <c r="B150" s="186" t="s">
        <v>3741</v>
      </c>
      <c r="C150" s="186" t="s">
        <v>4056</v>
      </c>
      <c r="D150" s="203">
        <v>6320</v>
      </c>
      <c r="E150" s="192">
        <v>0.32715602029195567</v>
      </c>
      <c r="F150" s="183"/>
      <c r="G150" s="182"/>
    </row>
    <row r="151" spans="1:7" x14ac:dyDescent="0.2">
      <c r="A151" s="184" t="s">
        <v>2318</v>
      </c>
      <c r="B151" s="185" t="s">
        <v>4156</v>
      </c>
      <c r="C151" s="185" t="s">
        <v>4064</v>
      </c>
      <c r="D151" s="181">
        <v>935</v>
      </c>
      <c r="E151" s="182">
        <v>4.8400455533699142E-2</v>
      </c>
      <c r="F151" s="183"/>
      <c r="G151" s="182"/>
    </row>
    <row r="152" spans="1:7" ht="13.5" thickBot="1" x14ac:dyDescent="0.25">
      <c r="A152" s="184" t="s">
        <v>2318</v>
      </c>
      <c r="B152" s="185" t="s">
        <v>4157</v>
      </c>
      <c r="C152" s="185" t="s">
        <v>4059</v>
      </c>
      <c r="D152" s="181">
        <v>5724</v>
      </c>
      <c r="E152" s="182">
        <v>0.29630396521379027</v>
      </c>
      <c r="F152" s="183"/>
      <c r="G152" s="182"/>
    </row>
    <row r="153" spans="1:7" ht="13.5" thickBot="1" x14ac:dyDescent="0.25">
      <c r="A153" s="184"/>
      <c r="B153" s="185"/>
      <c r="C153" s="185"/>
      <c r="D153" s="200" t="s">
        <v>4454</v>
      </c>
      <c r="E153" s="191">
        <v>1</v>
      </c>
      <c r="F153" s="190">
        <v>33952</v>
      </c>
      <c r="G153" s="191">
        <v>0.57199999999999995</v>
      </c>
    </row>
    <row r="154" spans="1:7" x14ac:dyDescent="0.2">
      <c r="A154" s="184"/>
      <c r="B154" s="185"/>
      <c r="C154" s="185"/>
      <c r="D154" s="181"/>
      <c r="E154" s="182"/>
      <c r="F154" s="183"/>
      <c r="G154" s="182"/>
    </row>
    <row r="155" spans="1:7" x14ac:dyDescent="0.2">
      <c r="A155" s="184" t="s">
        <v>4158</v>
      </c>
      <c r="B155" s="186" t="s">
        <v>3637</v>
      </c>
      <c r="C155" s="186" t="s">
        <v>4059</v>
      </c>
      <c r="D155" s="203">
        <v>6641</v>
      </c>
      <c r="E155" s="192">
        <v>0.38219383057090239</v>
      </c>
      <c r="F155" s="183"/>
      <c r="G155" s="182"/>
    </row>
    <row r="156" spans="1:7" x14ac:dyDescent="0.2">
      <c r="A156" s="184" t="s">
        <v>2318</v>
      </c>
      <c r="B156" s="185" t="s">
        <v>4159</v>
      </c>
      <c r="C156" s="185" t="s">
        <v>4064</v>
      </c>
      <c r="D156" s="181">
        <v>1000</v>
      </c>
      <c r="E156" s="182">
        <v>5.7550644567219152E-2</v>
      </c>
      <c r="F156" s="183"/>
      <c r="G156" s="182"/>
    </row>
    <row r="157" spans="1:7" x14ac:dyDescent="0.2">
      <c r="A157" s="184" t="s">
        <v>2318</v>
      </c>
      <c r="B157" s="185" t="s">
        <v>3748</v>
      </c>
      <c r="C157" s="185" t="s">
        <v>4057</v>
      </c>
      <c r="D157" s="181">
        <v>4392</v>
      </c>
      <c r="E157" s="182">
        <v>0.25276243093922651</v>
      </c>
      <c r="F157" s="183"/>
      <c r="G157" s="182"/>
    </row>
    <row r="158" spans="1:7" ht="13.5" thickBot="1" x14ac:dyDescent="0.25">
      <c r="A158" s="184" t="s">
        <v>2318</v>
      </c>
      <c r="B158" s="185" t="s">
        <v>3358</v>
      </c>
      <c r="C158" s="185" t="s">
        <v>4056</v>
      </c>
      <c r="D158" s="181">
        <v>5343</v>
      </c>
      <c r="E158" s="182">
        <v>0.30749309392265195</v>
      </c>
      <c r="F158" s="183"/>
      <c r="G158" s="182"/>
    </row>
    <row r="159" spans="1:7" ht="13.5" thickBot="1" x14ac:dyDescent="0.25">
      <c r="A159" s="184"/>
      <c r="B159" s="185"/>
      <c r="C159" s="185"/>
      <c r="D159" s="200" t="s">
        <v>4455</v>
      </c>
      <c r="E159" s="191">
        <v>1</v>
      </c>
      <c r="F159" s="190">
        <v>38004</v>
      </c>
      <c r="G159" s="191">
        <v>0.46</v>
      </c>
    </row>
    <row r="160" spans="1:7" x14ac:dyDescent="0.2">
      <c r="A160" s="184"/>
      <c r="B160" s="185"/>
      <c r="C160" s="185"/>
      <c r="D160" s="181"/>
      <c r="E160" s="182"/>
      <c r="F160" s="183"/>
      <c r="G160" s="182"/>
    </row>
    <row r="161" spans="1:7" x14ac:dyDescent="0.2">
      <c r="A161" s="184" t="s">
        <v>4160</v>
      </c>
      <c r="B161" s="185" t="s">
        <v>4161</v>
      </c>
      <c r="C161" s="185" t="s">
        <v>4064</v>
      </c>
      <c r="D161" s="181">
        <v>668</v>
      </c>
      <c r="E161" s="182">
        <v>3.8331324955528774E-2</v>
      </c>
      <c r="F161" s="183"/>
      <c r="G161" s="182"/>
    </row>
    <row r="162" spans="1:7" x14ac:dyDescent="0.2">
      <c r="A162" s="184" t="s">
        <v>2318</v>
      </c>
      <c r="B162" s="185" t="s">
        <v>4162</v>
      </c>
      <c r="C162" s="185" t="s">
        <v>4057</v>
      </c>
      <c r="D162" s="181">
        <v>5301</v>
      </c>
      <c r="E162" s="182">
        <v>0.3041831640557755</v>
      </c>
      <c r="F162" s="183"/>
      <c r="G162" s="182"/>
    </row>
    <row r="163" spans="1:7" x14ac:dyDescent="0.2">
      <c r="A163" s="184" t="s">
        <v>2318</v>
      </c>
      <c r="B163" s="185" t="s">
        <v>4163</v>
      </c>
      <c r="C163" s="185" t="s">
        <v>4070</v>
      </c>
      <c r="D163" s="181">
        <v>661</v>
      </c>
      <c r="E163" s="182">
        <v>3.792964939461755E-2</v>
      </c>
      <c r="F163" s="183"/>
      <c r="G163" s="182"/>
    </row>
    <row r="164" spans="1:7" x14ac:dyDescent="0.2">
      <c r="A164" s="184" t="s">
        <v>2318</v>
      </c>
      <c r="B164" s="186" t="s">
        <v>4164</v>
      </c>
      <c r="C164" s="186" t="s">
        <v>4059</v>
      </c>
      <c r="D164" s="203">
        <v>5449</v>
      </c>
      <c r="E164" s="192">
        <v>0.31267573305789864</v>
      </c>
      <c r="F164" s="183"/>
      <c r="G164" s="182"/>
    </row>
    <row r="165" spans="1:7" ht="13.5" thickBot="1" x14ac:dyDescent="0.25">
      <c r="A165" s="184" t="s">
        <v>2318</v>
      </c>
      <c r="B165" s="185" t="s">
        <v>3754</v>
      </c>
      <c r="C165" s="185" t="s">
        <v>4056</v>
      </c>
      <c r="D165" s="181">
        <v>5348</v>
      </c>
      <c r="E165" s="182">
        <v>0.30688012853617946</v>
      </c>
      <c r="F165" s="183"/>
      <c r="G165" s="182"/>
    </row>
    <row r="166" spans="1:7" ht="13.5" thickBot="1" x14ac:dyDescent="0.25">
      <c r="A166" s="184"/>
      <c r="B166" s="185"/>
      <c r="C166" s="185"/>
      <c r="D166" s="200" t="s">
        <v>4456</v>
      </c>
      <c r="E166" s="191">
        <v>1</v>
      </c>
      <c r="F166" s="190">
        <v>30458</v>
      </c>
      <c r="G166" s="191">
        <v>0.57499999999999996</v>
      </c>
    </row>
    <row r="167" spans="1:7" x14ac:dyDescent="0.2">
      <c r="A167" s="184"/>
      <c r="B167" s="185"/>
      <c r="C167" s="185"/>
      <c r="D167" s="181"/>
      <c r="E167" s="182"/>
      <c r="F167" s="183"/>
      <c r="G167" s="182"/>
    </row>
    <row r="168" spans="1:7" x14ac:dyDescent="0.2">
      <c r="A168" s="184" t="s">
        <v>4165</v>
      </c>
      <c r="B168" s="186" t="s">
        <v>3757</v>
      </c>
      <c r="C168" s="186" t="s">
        <v>4056</v>
      </c>
      <c r="D168" s="203">
        <v>7663</v>
      </c>
      <c r="E168" s="192">
        <v>0.32482726463481837</v>
      </c>
      <c r="F168" s="183"/>
      <c r="G168" s="182"/>
    </row>
    <row r="169" spans="1:7" x14ac:dyDescent="0.2">
      <c r="A169" s="184" t="s">
        <v>2318</v>
      </c>
      <c r="B169" s="185" t="s">
        <v>4166</v>
      </c>
      <c r="C169" s="185" t="s">
        <v>4064</v>
      </c>
      <c r="D169" s="181">
        <v>1304</v>
      </c>
      <c r="E169" s="182">
        <v>5.5275316858123862E-2</v>
      </c>
      <c r="F169" s="183"/>
      <c r="G169" s="182"/>
    </row>
    <row r="170" spans="1:7" x14ac:dyDescent="0.2">
      <c r="A170" s="184" t="s">
        <v>2318</v>
      </c>
      <c r="B170" s="185" t="s">
        <v>4167</v>
      </c>
      <c r="C170" s="185" t="s">
        <v>4057</v>
      </c>
      <c r="D170" s="181">
        <v>6892</v>
      </c>
      <c r="E170" s="182">
        <v>0.29214530965198593</v>
      </c>
      <c r="F170" s="183"/>
      <c r="G170" s="182"/>
    </row>
    <row r="171" spans="1:7" x14ac:dyDescent="0.2">
      <c r="A171" s="184" t="s">
        <v>2318</v>
      </c>
      <c r="B171" s="185" t="s">
        <v>4168</v>
      </c>
      <c r="C171" s="185" t="s">
        <v>4073</v>
      </c>
      <c r="D171" s="181">
        <v>374</v>
      </c>
      <c r="E171" s="182">
        <v>1.5853503454707304E-2</v>
      </c>
      <c r="F171" s="183"/>
      <c r="G171" s="182"/>
    </row>
    <row r="172" spans="1:7" ht="13.5" thickBot="1" x14ac:dyDescent="0.25">
      <c r="A172" s="184" t="s">
        <v>2318</v>
      </c>
      <c r="B172" s="185" t="s">
        <v>4169</v>
      </c>
      <c r="C172" s="185" t="s">
        <v>4059</v>
      </c>
      <c r="D172" s="181">
        <v>7358</v>
      </c>
      <c r="E172" s="182">
        <v>0.31189860540036457</v>
      </c>
      <c r="F172" s="183"/>
      <c r="G172" s="182"/>
    </row>
    <row r="173" spans="1:7" ht="13.5" thickBot="1" x14ac:dyDescent="0.25">
      <c r="A173" s="184"/>
      <c r="B173" s="185"/>
      <c r="C173" s="185"/>
      <c r="D173" s="200" t="s">
        <v>4457</v>
      </c>
      <c r="E173" s="191">
        <v>1</v>
      </c>
      <c r="F173" s="190">
        <v>46871</v>
      </c>
      <c r="G173" s="191">
        <v>0.50600000000000001</v>
      </c>
    </row>
    <row r="174" spans="1:7" x14ac:dyDescent="0.2">
      <c r="A174" s="184"/>
      <c r="B174" s="185"/>
      <c r="C174" s="185"/>
      <c r="D174" s="181"/>
      <c r="E174" s="182"/>
      <c r="F174" s="183"/>
      <c r="G174" s="182"/>
    </row>
    <row r="175" spans="1:7" x14ac:dyDescent="0.2">
      <c r="A175" s="184" t="s">
        <v>4170</v>
      </c>
      <c r="B175" s="185" t="s">
        <v>4171</v>
      </c>
      <c r="C175" s="185" t="s">
        <v>4056</v>
      </c>
      <c r="D175" s="181">
        <v>5700</v>
      </c>
      <c r="E175" s="182">
        <v>0.30189078968274985</v>
      </c>
      <c r="F175" s="183"/>
      <c r="G175" s="182"/>
    </row>
    <row r="176" spans="1:7" x14ac:dyDescent="0.2">
      <c r="A176" s="184" t="s">
        <v>2318</v>
      </c>
      <c r="B176" s="185" t="s">
        <v>4172</v>
      </c>
      <c r="C176" s="185" t="s">
        <v>4064</v>
      </c>
      <c r="D176" s="181">
        <v>1862</v>
      </c>
      <c r="E176" s="182">
        <v>9.8617657963031624E-2</v>
      </c>
      <c r="F176" s="183"/>
      <c r="G176" s="182"/>
    </row>
    <row r="177" spans="1:7" x14ac:dyDescent="0.2">
      <c r="A177" s="184" t="s">
        <v>2318</v>
      </c>
      <c r="B177" s="186" t="s">
        <v>4173</v>
      </c>
      <c r="C177" s="186" t="s">
        <v>4059</v>
      </c>
      <c r="D177" s="203">
        <v>8297</v>
      </c>
      <c r="E177" s="192">
        <v>0.43943647052592555</v>
      </c>
      <c r="F177" s="183"/>
      <c r="G177" s="182"/>
    </row>
    <row r="178" spans="1:7" x14ac:dyDescent="0.2">
      <c r="A178" s="184" t="s">
        <v>2318</v>
      </c>
      <c r="B178" s="185" t="s">
        <v>4174</v>
      </c>
      <c r="C178" s="185" t="s">
        <v>4057</v>
      </c>
      <c r="D178" s="181">
        <v>2598</v>
      </c>
      <c r="E178" s="182">
        <v>0.13759864413961126</v>
      </c>
      <c r="F178" s="183"/>
      <c r="G178" s="182"/>
    </row>
    <row r="179" spans="1:7" ht="13.5" thickBot="1" x14ac:dyDescent="0.25">
      <c r="A179" s="184" t="s">
        <v>2318</v>
      </c>
      <c r="B179" s="185" t="s">
        <v>3766</v>
      </c>
      <c r="C179" s="185" t="s">
        <v>4073</v>
      </c>
      <c r="D179" s="181">
        <v>424</v>
      </c>
      <c r="E179" s="182">
        <v>2.2456437688681743E-2</v>
      </c>
      <c r="F179" s="183"/>
      <c r="G179" s="182"/>
    </row>
    <row r="180" spans="1:7" ht="13.5" thickBot="1" x14ac:dyDescent="0.25">
      <c r="A180" s="184"/>
      <c r="B180" s="185"/>
      <c r="C180" s="185"/>
      <c r="D180" s="200" t="s">
        <v>4458</v>
      </c>
      <c r="E180" s="191">
        <v>1</v>
      </c>
      <c r="F180" s="190">
        <v>32467</v>
      </c>
      <c r="G180" s="191">
        <v>0.58499999999999996</v>
      </c>
    </row>
    <row r="181" spans="1:7" x14ac:dyDescent="0.2">
      <c r="A181" s="184"/>
      <c r="B181" s="185"/>
      <c r="C181" s="185"/>
      <c r="D181" s="181"/>
      <c r="E181" s="182"/>
      <c r="F181" s="183"/>
      <c r="G181" s="182"/>
    </row>
    <row r="182" spans="1:7" x14ac:dyDescent="0.2">
      <c r="A182" s="184" t="s">
        <v>4175</v>
      </c>
      <c r="B182" s="186" t="s">
        <v>4176</v>
      </c>
      <c r="C182" s="186" t="s">
        <v>4056</v>
      </c>
      <c r="D182" s="203">
        <v>8312</v>
      </c>
      <c r="E182" s="192">
        <v>0.46791263229002478</v>
      </c>
      <c r="F182" s="183"/>
      <c r="G182" s="182"/>
    </row>
    <row r="183" spans="1:7" x14ac:dyDescent="0.2">
      <c r="A183" s="184" t="s">
        <v>2318</v>
      </c>
      <c r="B183" s="185" t="s">
        <v>4177</v>
      </c>
      <c r="C183" s="185" t="s">
        <v>4057</v>
      </c>
      <c r="D183" s="181">
        <v>4512</v>
      </c>
      <c r="E183" s="182">
        <v>0.25399684755685659</v>
      </c>
      <c r="F183" s="183"/>
      <c r="G183" s="182"/>
    </row>
    <row r="184" spans="1:7" ht="13.5" thickBot="1" x14ac:dyDescent="0.25">
      <c r="A184" s="184" t="s">
        <v>2318</v>
      </c>
      <c r="B184" s="185" t="s">
        <v>4178</v>
      </c>
      <c r="C184" s="185" t="s">
        <v>4059</v>
      </c>
      <c r="D184" s="181">
        <v>4940</v>
      </c>
      <c r="E184" s="182">
        <v>0.27809052015311869</v>
      </c>
      <c r="F184" s="183"/>
      <c r="G184" s="182"/>
    </row>
    <row r="185" spans="1:7" ht="13.5" thickBot="1" x14ac:dyDescent="0.25">
      <c r="A185" s="184"/>
      <c r="B185" s="185"/>
      <c r="C185" s="185"/>
      <c r="D185" s="200" t="s">
        <v>4459</v>
      </c>
      <c r="E185" s="191">
        <v>1</v>
      </c>
      <c r="F185" s="190">
        <v>31604</v>
      </c>
      <c r="G185" s="191">
        <v>0.56499999999999995</v>
      </c>
    </row>
    <row r="186" spans="1:7" x14ac:dyDescent="0.2">
      <c r="A186" s="184"/>
      <c r="B186" s="185"/>
      <c r="C186" s="185"/>
      <c r="D186" s="181"/>
      <c r="E186" s="182"/>
      <c r="F186" s="183"/>
      <c r="G186" s="182"/>
    </row>
    <row r="187" spans="1:7" x14ac:dyDescent="0.2">
      <c r="A187" s="184" t="s">
        <v>4179</v>
      </c>
      <c r="B187" s="186" t="s">
        <v>3431</v>
      </c>
      <c r="C187" s="186" t="s">
        <v>4059</v>
      </c>
      <c r="D187" s="203">
        <v>12049</v>
      </c>
      <c r="E187" s="192">
        <v>0.73798003307404914</v>
      </c>
      <c r="F187" s="183"/>
      <c r="G187" s="182"/>
    </row>
    <row r="188" spans="1:7" x14ac:dyDescent="0.2">
      <c r="A188" s="184" t="s">
        <v>2318</v>
      </c>
      <c r="B188" s="185" t="s">
        <v>559</v>
      </c>
      <c r="C188" s="185" t="s">
        <v>4056</v>
      </c>
      <c r="D188" s="181">
        <v>2524</v>
      </c>
      <c r="E188" s="182">
        <v>0.15459055552152876</v>
      </c>
      <c r="F188" s="183"/>
      <c r="G188" s="182"/>
    </row>
    <row r="189" spans="1:7" x14ac:dyDescent="0.2">
      <c r="A189" s="184" t="s">
        <v>2318</v>
      </c>
      <c r="B189" s="185" t="s">
        <v>4180</v>
      </c>
      <c r="C189" s="185" t="s">
        <v>4057</v>
      </c>
      <c r="D189" s="181">
        <v>1248</v>
      </c>
      <c r="E189" s="182">
        <v>7.6437802413180628E-2</v>
      </c>
      <c r="F189" s="183"/>
      <c r="G189" s="182"/>
    </row>
    <row r="190" spans="1:7" x14ac:dyDescent="0.2">
      <c r="A190" s="184" t="s">
        <v>2318</v>
      </c>
      <c r="B190" s="185" t="s">
        <v>4181</v>
      </c>
      <c r="C190" s="185" t="s">
        <v>4070</v>
      </c>
      <c r="D190" s="181">
        <v>147</v>
      </c>
      <c r="E190" s="182">
        <v>9.0034911496294483E-3</v>
      </c>
      <c r="F190" s="183"/>
      <c r="G190" s="182"/>
    </row>
    <row r="191" spans="1:7" ht="13.5" thickBot="1" x14ac:dyDescent="0.25">
      <c r="A191" s="184" t="s">
        <v>2318</v>
      </c>
      <c r="B191" s="185" t="s">
        <v>4182</v>
      </c>
      <c r="C191" s="185" t="s">
        <v>4064</v>
      </c>
      <c r="D191" s="181">
        <v>359</v>
      </c>
      <c r="E191" s="182">
        <v>2.1988117841612052E-2</v>
      </c>
      <c r="F191" s="183"/>
      <c r="G191" s="182"/>
    </row>
    <row r="192" spans="1:7" ht="13.5" thickBot="1" x14ac:dyDescent="0.25">
      <c r="A192" s="184"/>
      <c r="B192" s="185"/>
      <c r="C192" s="185"/>
      <c r="D192" s="200" t="s">
        <v>4460</v>
      </c>
      <c r="E192" s="191">
        <v>1</v>
      </c>
      <c r="F192" s="190">
        <v>35318</v>
      </c>
      <c r="G192" s="191">
        <v>0.46400000000000002</v>
      </c>
    </row>
    <row r="193" spans="1:7" x14ac:dyDescent="0.2">
      <c r="A193" s="184"/>
      <c r="B193" s="185"/>
      <c r="C193" s="185"/>
      <c r="D193" s="181"/>
      <c r="E193" s="182"/>
      <c r="F193" s="183"/>
      <c r="G193" s="182"/>
    </row>
    <row r="194" spans="1:7" x14ac:dyDescent="0.2">
      <c r="A194" s="184" t="s">
        <v>4183</v>
      </c>
      <c r="B194" s="185" t="s">
        <v>4184</v>
      </c>
      <c r="C194" s="185" t="s">
        <v>4057</v>
      </c>
      <c r="D194" s="181">
        <v>1565</v>
      </c>
      <c r="E194" s="182">
        <v>8.6221144840504652E-2</v>
      </c>
      <c r="F194" s="183"/>
      <c r="G194" s="182"/>
    </row>
    <row r="195" spans="1:7" x14ac:dyDescent="0.2">
      <c r="A195" s="184" t="s">
        <v>2318</v>
      </c>
      <c r="B195" s="185" t="s">
        <v>4185</v>
      </c>
      <c r="C195" s="185" t="s">
        <v>4064</v>
      </c>
      <c r="D195" s="181">
        <v>527</v>
      </c>
      <c r="E195" s="182">
        <v>2.9034212991019777E-2</v>
      </c>
      <c r="F195" s="183"/>
      <c r="G195" s="182"/>
    </row>
    <row r="196" spans="1:7" x14ac:dyDescent="0.2">
      <c r="A196" s="184" t="s">
        <v>2318</v>
      </c>
      <c r="B196" s="185" t="s">
        <v>4186</v>
      </c>
      <c r="C196" s="185" t="s">
        <v>4056</v>
      </c>
      <c r="D196" s="181">
        <v>3222</v>
      </c>
      <c r="E196" s="182">
        <v>0.17751088094319872</v>
      </c>
      <c r="F196" s="183"/>
      <c r="G196" s="182"/>
    </row>
    <row r="197" spans="1:7" ht="13.5" thickBot="1" x14ac:dyDescent="0.25">
      <c r="A197" s="184" t="s">
        <v>2318</v>
      </c>
      <c r="B197" s="186" t="s">
        <v>479</v>
      </c>
      <c r="C197" s="186" t="s">
        <v>4059</v>
      </c>
      <c r="D197" s="203">
        <v>12837</v>
      </c>
      <c r="E197" s="192">
        <v>0.70723376122527681</v>
      </c>
      <c r="F197" s="183"/>
      <c r="G197" s="182"/>
    </row>
    <row r="198" spans="1:7" ht="13.5" thickBot="1" x14ac:dyDescent="0.25">
      <c r="A198" s="184"/>
      <c r="B198" s="185"/>
      <c r="C198" s="185"/>
      <c r="D198" s="200" t="s">
        <v>4461</v>
      </c>
      <c r="E198" s="191">
        <v>1</v>
      </c>
      <c r="F198" s="190">
        <v>36266</v>
      </c>
      <c r="G198" s="191">
        <v>0.502</v>
      </c>
    </row>
    <row r="199" spans="1:7" x14ac:dyDescent="0.2">
      <c r="A199" s="184"/>
      <c r="B199" s="185"/>
      <c r="C199" s="185"/>
      <c r="D199" s="181"/>
      <c r="E199" s="182"/>
      <c r="F199" s="183"/>
      <c r="G199" s="182"/>
    </row>
    <row r="200" spans="1:7" x14ac:dyDescent="0.2">
      <c r="A200" s="184" t="s">
        <v>4187</v>
      </c>
      <c r="B200" s="186" t="s">
        <v>4188</v>
      </c>
      <c r="C200" s="186" t="s">
        <v>4059</v>
      </c>
      <c r="D200" s="203">
        <v>11689</v>
      </c>
      <c r="E200" s="192">
        <v>0.64459027241645528</v>
      </c>
      <c r="F200" s="183"/>
      <c r="G200" s="182"/>
    </row>
    <row r="201" spans="1:7" x14ac:dyDescent="0.2">
      <c r="A201" s="184" t="s">
        <v>2318</v>
      </c>
      <c r="B201" s="185" t="s">
        <v>1155</v>
      </c>
      <c r="C201" s="185" t="s">
        <v>4056</v>
      </c>
      <c r="D201" s="181">
        <v>4182</v>
      </c>
      <c r="E201" s="182">
        <v>0.23061652145141723</v>
      </c>
      <c r="F201" s="183"/>
      <c r="G201" s="182"/>
    </row>
    <row r="202" spans="1:7" x14ac:dyDescent="0.2">
      <c r="A202" s="184" t="s">
        <v>2318</v>
      </c>
      <c r="B202" s="185" t="s">
        <v>4189</v>
      </c>
      <c r="C202" s="185" t="s">
        <v>4057</v>
      </c>
      <c r="D202" s="181">
        <v>1383</v>
      </c>
      <c r="E202" s="182">
        <v>7.6265578471379727E-2</v>
      </c>
      <c r="F202" s="183"/>
      <c r="G202" s="182"/>
    </row>
    <row r="203" spans="1:7" ht="13.5" thickBot="1" x14ac:dyDescent="0.25">
      <c r="A203" s="184" t="s">
        <v>2318</v>
      </c>
      <c r="B203" s="185" t="s">
        <v>4190</v>
      </c>
      <c r="C203" s="185" t="s">
        <v>4064</v>
      </c>
      <c r="D203" s="181">
        <v>880</v>
      </c>
      <c r="E203" s="182">
        <v>4.8527627660747766E-2</v>
      </c>
      <c r="F203" s="183"/>
      <c r="G203" s="182"/>
    </row>
    <row r="204" spans="1:7" ht="13.5" thickBot="1" x14ac:dyDescent="0.25">
      <c r="A204" s="184"/>
      <c r="B204" s="185"/>
      <c r="C204" s="185"/>
      <c r="D204" s="200" t="s">
        <v>4462</v>
      </c>
      <c r="E204" s="191">
        <v>1</v>
      </c>
      <c r="F204" s="190">
        <v>35641</v>
      </c>
      <c r="G204" s="191">
        <v>0.51100000000000001</v>
      </c>
    </row>
    <row r="205" spans="1:7" x14ac:dyDescent="0.2">
      <c r="A205" s="184"/>
      <c r="B205" s="185"/>
      <c r="C205" s="185"/>
      <c r="D205" s="181"/>
      <c r="E205" s="182"/>
      <c r="F205" s="183"/>
      <c r="G205" s="182"/>
    </row>
    <row r="206" spans="1:7" x14ac:dyDescent="0.2">
      <c r="A206" s="184" t="s">
        <v>4191</v>
      </c>
      <c r="B206" s="185" t="s">
        <v>478</v>
      </c>
      <c r="C206" s="185" t="s">
        <v>4064</v>
      </c>
      <c r="D206" s="181">
        <v>4199</v>
      </c>
      <c r="E206" s="182">
        <v>0.25422292183810619</v>
      </c>
      <c r="F206" s="183"/>
      <c r="G206" s="182"/>
    </row>
    <row r="207" spans="1:7" x14ac:dyDescent="0.2">
      <c r="A207" s="184" t="s">
        <v>2318</v>
      </c>
      <c r="B207" s="185" t="s">
        <v>4192</v>
      </c>
      <c r="C207" s="185" t="s">
        <v>4057</v>
      </c>
      <c r="D207" s="181">
        <v>772</v>
      </c>
      <c r="E207" s="182">
        <v>4.6739722709935219E-2</v>
      </c>
      <c r="F207" s="183"/>
      <c r="G207" s="182"/>
    </row>
    <row r="208" spans="1:7" x14ac:dyDescent="0.2">
      <c r="A208" s="184" t="s">
        <v>2318</v>
      </c>
      <c r="B208" s="185" t="s">
        <v>4193</v>
      </c>
      <c r="C208" s="185" t="s">
        <v>4084</v>
      </c>
      <c r="D208" s="181">
        <v>295</v>
      </c>
      <c r="E208" s="182">
        <v>1.7860386268692862E-2</v>
      </c>
      <c r="F208" s="183"/>
      <c r="G208" s="182"/>
    </row>
    <row r="209" spans="1:7" x14ac:dyDescent="0.2">
      <c r="A209" s="184" t="s">
        <v>2318</v>
      </c>
      <c r="B209" s="185" t="s">
        <v>4194</v>
      </c>
      <c r="C209" s="185" t="s">
        <v>4056</v>
      </c>
      <c r="D209" s="181">
        <v>2228</v>
      </c>
      <c r="E209" s="182">
        <v>0.13489132409033117</v>
      </c>
      <c r="F209" s="183"/>
      <c r="G209" s="182"/>
    </row>
    <row r="210" spans="1:7" x14ac:dyDescent="0.2">
      <c r="A210" s="184" t="s">
        <v>2318</v>
      </c>
      <c r="B210" s="185" t="s">
        <v>4195</v>
      </c>
      <c r="C210" s="185" t="s">
        <v>4084</v>
      </c>
      <c r="D210" s="181">
        <v>40</v>
      </c>
      <c r="E210" s="182">
        <v>2.4217472906702185E-3</v>
      </c>
      <c r="F210" s="183"/>
      <c r="G210" s="182"/>
    </row>
    <row r="211" spans="1:7" ht="13.5" thickBot="1" x14ac:dyDescent="0.25">
      <c r="A211" s="184" t="s">
        <v>2318</v>
      </c>
      <c r="B211" s="186" t="s">
        <v>4196</v>
      </c>
      <c r="C211" s="186" t="s">
        <v>4059</v>
      </c>
      <c r="D211" s="203">
        <v>8983</v>
      </c>
      <c r="E211" s="192">
        <v>0.5438638978022643</v>
      </c>
      <c r="F211" s="183"/>
      <c r="G211" s="182"/>
    </row>
    <row r="212" spans="1:7" ht="13.5" thickBot="1" x14ac:dyDescent="0.25">
      <c r="A212" s="184"/>
      <c r="B212" s="185"/>
      <c r="C212" s="185"/>
      <c r="D212" s="200" t="s">
        <v>4463</v>
      </c>
      <c r="E212" s="191">
        <v>1</v>
      </c>
      <c r="F212" s="190">
        <v>34976</v>
      </c>
      <c r="G212" s="191">
        <v>0.47399999999999998</v>
      </c>
    </row>
    <row r="213" spans="1:7" x14ac:dyDescent="0.2">
      <c r="A213" s="184"/>
      <c r="B213" s="185"/>
      <c r="C213" s="185"/>
      <c r="D213" s="181"/>
      <c r="E213" s="182"/>
      <c r="F213" s="183"/>
      <c r="G213" s="182"/>
    </row>
    <row r="214" spans="1:7" x14ac:dyDescent="0.2">
      <c r="A214" s="184" t="s">
        <v>4197</v>
      </c>
      <c r="B214" s="185" t="s">
        <v>3796</v>
      </c>
      <c r="C214" s="185" t="s">
        <v>4073</v>
      </c>
      <c r="D214" s="181">
        <v>150</v>
      </c>
      <c r="E214" s="182">
        <v>9.6724271343822544E-3</v>
      </c>
      <c r="F214" s="183"/>
      <c r="G214" s="182"/>
    </row>
    <row r="215" spans="1:7" x14ac:dyDescent="0.2">
      <c r="A215" s="184" t="s">
        <v>2318</v>
      </c>
      <c r="B215" s="185" t="s">
        <v>4198</v>
      </c>
      <c r="C215" s="185" t="s">
        <v>4057</v>
      </c>
      <c r="D215" s="181">
        <v>1289</v>
      </c>
      <c r="E215" s="182">
        <v>8.3118390508124834E-2</v>
      </c>
      <c r="F215" s="183"/>
      <c r="G215" s="182"/>
    </row>
    <row r="216" spans="1:7" x14ac:dyDescent="0.2">
      <c r="A216" s="184" t="s">
        <v>2318</v>
      </c>
      <c r="B216" s="186" t="s">
        <v>4199</v>
      </c>
      <c r="C216" s="186" t="s">
        <v>4059</v>
      </c>
      <c r="D216" s="203">
        <v>10531</v>
      </c>
      <c r="E216" s="192">
        <v>0.67906886768119679</v>
      </c>
      <c r="F216" s="183"/>
      <c r="G216" s="182"/>
    </row>
    <row r="217" spans="1:7" x14ac:dyDescent="0.2">
      <c r="A217" s="184" t="s">
        <v>2318</v>
      </c>
      <c r="B217" s="185" t="s">
        <v>3438</v>
      </c>
      <c r="C217" s="185" t="s">
        <v>4056</v>
      </c>
      <c r="D217" s="181">
        <v>2847</v>
      </c>
      <c r="E217" s="182">
        <v>0.18358266701057518</v>
      </c>
      <c r="F217" s="183"/>
      <c r="G217" s="182"/>
    </row>
    <row r="218" spans="1:7" ht="13.5" thickBot="1" x14ac:dyDescent="0.25">
      <c r="A218" s="184" t="s">
        <v>2318</v>
      </c>
      <c r="B218" s="185" t="s">
        <v>4200</v>
      </c>
      <c r="C218" s="185" t="s">
        <v>4064</v>
      </c>
      <c r="D218" s="181">
        <v>691</v>
      </c>
      <c r="E218" s="182">
        <v>4.4557647665720922E-2</v>
      </c>
      <c r="F218" s="183"/>
      <c r="G218" s="182"/>
    </row>
    <row r="219" spans="1:7" ht="13.5" thickBot="1" x14ac:dyDescent="0.25">
      <c r="A219" s="184"/>
      <c r="B219" s="185"/>
      <c r="C219" s="185"/>
      <c r="D219" s="200" t="s">
        <v>4464</v>
      </c>
      <c r="E219" s="191">
        <v>0.99999999999999989</v>
      </c>
      <c r="F219" s="190">
        <v>32518</v>
      </c>
      <c r="G219" s="191">
        <v>0.47899999999999998</v>
      </c>
    </row>
    <row r="220" spans="1:7" x14ac:dyDescent="0.2">
      <c r="A220" s="184"/>
      <c r="B220" s="185"/>
      <c r="C220" s="185"/>
      <c r="D220" s="181"/>
      <c r="E220" s="182"/>
      <c r="F220" s="183"/>
      <c r="G220" s="182"/>
    </row>
    <row r="221" spans="1:7" x14ac:dyDescent="0.2">
      <c r="A221" s="184" t="s">
        <v>4201</v>
      </c>
      <c r="B221" s="185" t="s">
        <v>4202</v>
      </c>
      <c r="C221" s="185" t="s">
        <v>4056</v>
      </c>
      <c r="D221" s="181">
        <v>3549</v>
      </c>
      <c r="E221" s="182">
        <v>0.19803582389375593</v>
      </c>
      <c r="F221" s="183"/>
      <c r="G221" s="182"/>
    </row>
    <row r="222" spans="1:7" x14ac:dyDescent="0.2">
      <c r="A222" s="184" t="s">
        <v>2318</v>
      </c>
      <c r="B222" s="185" t="s">
        <v>3817</v>
      </c>
      <c r="C222" s="185" t="s">
        <v>4057</v>
      </c>
      <c r="D222" s="181">
        <v>2499</v>
      </c>
      <c r="E222" s="182">
        <v>0.13944534345181631</v>
      </c>
      <c r="F222" s="183"/>
      <c r="G222" s="182"/>
    </row>
    <row r="223" spans="1:7" x14ac:dyDescent="0.2">
      <c r="A223" s="184" t="s">
        <v>2318</v>
      </c>
      <c r="B223" s="186" t="s">
        <v>4045</v>
      </c>
      <c r="C223" s="186" t="s">
        <v>4059</v>
      </c>
      <c r="D223" s="203">
        <v>11034</v>
      </c>
      <c r="E223" s="192">
        <v>0.61570224875843982</v>
      </c>
      <c r="F223" s="183"/>
      <c r="G223" s="182"/>
    </row>
    <row r="224" spans="1:7" ht="13.5" thickBot="1" x14ac:dyDescent="0.25">
      <c r="A224" s="184" t="s">
        <v>2318</v>
      </c>
      <c r="B224" s="185" t="s">
        <v>4203</v>
      </c>
      <c r="C224" s="185" t="s">
        <v>4064</v>
      </c>
      <c r="D224" s="181">
        <v>839</v>
      </c>
      <c r="E224" s="182">
        <v>4.6816583895987945E-2</v>
      </c>
      <c r="F224" s="183"/>
      <c r="G224" s="182"/>
    </row>
    <row r="225" spans="1:7" ht="13.5" thickBot="1" x14ac:dyDescent="0.25">
      <c r="A225" s="184"/>
      <c r="B225" s="185"/>
      <c r="C225" s="185"/>
      <c r="D225" s="200" t="s">
        <v>4465</v>
      </c>
      <c r="E225" s="191">
        <v>1</v>
      </c>
      <c r="F225" s="190">
        <v>34266</v>
      </c>
      <c r="G225" s="191">
        <v>0.52500000000000002</v>
      </c>
    </row>
    <row r="226" spans="1:7" x14ac:dyDescent="0.2">
      <c r="A226" s="184"/>
      <c r="B226" s="185"/>
      <c r="C226" s="185"/>
      <c r="D226" s="181"/>
      <c r="E226" s="182"/>
      <c r="F226" s="183"/>
      <c r="G226" s="182"/>
    </row>
    <row r="227" spans="1:7" x14ac:dyDescent="0.2">
      <c r="A227" s="184" t="s">
        <v>4204</v>
      </c>
      <c r="B227" s="186" t="s">
        <v>4205</v>
      </c>
      <c r="C227" s="186" t="s">
        <v>4059</v>
      </c>
      <c r="D227" s="203">
        <v>12473</v>
      </c>
      <c r="E227" s="192">
        <v>0.68446468748285139</v>
      </c>
      <c r="F227" s="183"/>
      <c r="G227" s="182"/>
    </row>
    <row r="228" spans="1:7" x14ac:dyDescent="0.2">
      <c r="A228" s="184" t="s">
        <v>2318</v>
      </c>
      <c r="B228" s="185" t="s">
        <v>3445</v>
      </c>
      <c r="C228" s="185" t="s">
        <v>4056</v>
      </c>
      <c r="D228" s="181">
        <v>3145</v>
      </c>
      <c r="E228" s="182">
        <v>0.17258409702024913</v>
      </c>
      <c r="F228" s="183"/>
      <c r="G228" s="182"/>
    </row>
    <row r="229" spans="1:7" x14ac:dyDescent="0.2">
      <c r="A229" s="184" t="s">
        <v>2318</v>
      </c>
      <c r="B229" s="185" t="s">
        <v>3822</v>
      </c>
      <c r="C229" s="185" t="s">
        <v>4057</v>
      </c>
      <c r="D229" s="181">
        <v>1394</v>
      </c>
      <c r="E229" s="182">
        <v>7.6496734895461785E-2</v>
      </c>
      <c r="F229" s="183"/>
      <c r="G229" s="182"/>
    </row>
    <row r="230" spans="1:7" x14ac:dyDescent="0.2">
      <c r="A230" s="184" t="s">
        <v>2318</v>
      </c>
      <c r="B230" s="185" t="s">
        <v>676</v>
      </c>
      <c r="C230" s="185" t="s">
        <v>4073</v>
      </c>
      <c r="D230" s="181">
        <v>195</v>
      </c>
      <c r="E230" s="182">
        <v>1.0700762772320694E-2</v>
      </c>
      <c r="F230" s="183"/>
      <c r="G230" s="182"/>
    </row>
    <row r="231" spans="1:7" x14ac:dyDescent="0.2">
      <c r="A231" s="184" t="s">
        <v>2318</v>
      </c>
      <c r="B231" s="185" t="s">
        <v>4206</v>
      </c>
      <c r="C231" s="185" t="s">
        <v>4064</v>
      </c>
      <c r="D231" s="181">
        <v>553</v>
      </c>
      <c r="E231" s="182">
        <v>3.0346265708170991E-2</v>
      </c>
      <c r="F231" s="183"/>
      <c r="G231" s="182"/>
    </row>
    <row r="232" spans="1:7" ht="13.5" thickBot="1" x14ac:dyDescent="0.25">
      <c r="A232" s="184" t="s">
        <v>2318</v>
      </c>
      <c r="B232" s="185" t="s">
        <v>4207</v>
      </c>
      <c r="C232" s="185" t="s">
        <v>4070</v>
      </c>
      <c r="D232" s="181">
        <v>463</v>
      </c>
      <c r="E232" s="182">
        <v>2.5407452120946056E-2</v>
      </c>
      <c r="F232" s="183"/>
      <c r="G232" s="182"/>
    </row>
    <row r="233" spans="1:7" ht="13.5" thickBot="1" x14ac:dyDescent="0.25">
      <c r="A233" s="184"/>
      <c r="B233" s="185"/>
      <c r="C233" s="185"/>
      <c r="D233" s="200" t="s">
        <v>4466</v>
      </c>
      <c r="E233" s="191">
        <v>1</v>
      </c>
      <c r="F233" s="190">
        <v>34388</v>
      </c>
      <c r="G233" s="191">
        <v>0.53200000000000003</v>
      </c>
    </row>
    <row r="234" spans="1:7" x14ac:dyDescent="0.2">
      <c r="A234" s="184"/>
      <c r="B234" s="185"/>
      <c r="C234" s="185"/>
      <c r="D234" s="181"/>
      <c r="E234" s="182"/>
      <c r="F234" s="183"/>
      <c r="G234" s="182"/>
    </row>
    <row r="235" spans="1:7" x14ac:dyDescent="0.2">
      <c r="A235" s="184" t="s">
        <v>4208</v>
      </c>
      <c r="B235" s="185" t="s">
        <v>4209</v>
      </c>
      <c r="C235" s="185" t="s">
        <v>4064</v>
      </c>
      <c r="D235" s="181">
        <v>702</v>
      </c>
      <c r="E235" s="182">
        <v>3.1505250875145857E-2</v>
      </c>
      <c r="F235" s="183"/>
      <c r="G235" s="182"/>
    </row>
    <row r="236" spans="1:7" x14ac:dyDescent="0.2">
      <c r="A236" s="184" t="s">
        <v>2318</v>
      </c>
      <c r="B236" s="185" t="s">
        <v>3448</v>
      </c>
      <c r="C236" s="185" t="s">
        <v>4056</v>
      </c>
      <c r="D236" s="181">
        <v>4147</v>
      </c>
      <c r="E236" s="182">
        <v>0.18611435239206534</v>
      </c>
      <c r="F236" s="183"/>
      <c r="G236" s="182"/>
    </row>
    <row r="237" spans="1:7" x14ac:dyDescent="0.2">
      <c r="A237" s="184" t="s">
        <v>2318</v>
      </c>
      <c r="B237" s="185" t="s">
        <v>4210</v>
      </c>
      <c r="C237" s="185" t="s">
        <v>4057</v>
      </c>
      <c r="D237" s="181">
        <v>1422</v>
      </c>
      <c r="E237" s="182">
        <v>6.381832869580828E-2</v>
      </c>
      <c r="F237" s="183"/>
      <c r="G237" s="182"/>
    </row>
    <row r="238" spans="1:7" x14ac:dyDescent="0.2">
      <c r="A238" s="184" t="s">
        <v>2318</v>
      </c>
      <c r="B238" s="186" t="s">
        <v>3827</v>
      </c>
      <c r="C238" s="186" t="s">
        <v>4059</v>
      </c>
      <c r="D238" s="203">
        <v>15349</v>
      </c>
      <c r="E238" s="192">
        <v>0.68885198815187143</v>
      </c>
      <c r="F238" s="183"/>
      <c r="G238" s="182"/>
    </row>
    <row r="239" spans="1:7" ht="13.5" thickBot="1" x14ac:dyDescent="0.25">
      <c r="A239" s="184" t="s">
        <v>2318</v>
      </c>
      <c r="B239" s="185" t="s">
        <v>4211</v>
      </c>
      <c r="C239" s="185" t="s">
        <v>4070</v>
      </c>
      <c r="D239" s="181">
        <v>662</v>
      </c>
      <c r="E239" s="182">
        <v>2.9710079885109056E-2</v>
      </c>
      <c r="F239" s="183"/>
      <c r="G239" s="182"/>
    </row>
    <row r="240" spans="1:7" ht="13.5" thickBot="1" x14ac:dyDescent="0.25">
      <c r="A240" s="184"/>
      <c r="B240" s="185"/>
      <c r="C240" s="185"/>
      <c r="D240" s="200" t="s">
        <v>4467</v>
      </c>
      <c r="E240" s="191">
        <v>1</v>
      </c>
      <c r="F240" s="190">
        <v>36688</v>
      </c>
      <c r="G240" s="191">
        <v>0.61</v>
      </c>
    </row>
    <row r="241" spans="1:7" x14ac:dyDescent="0.2">
      <c r="A241" s="184"/>
      <c r="B241" s="185"/>
      <c r="C241" s="185"/>
      <c r="D241" s="181"/>
      <c r="E241" s="182"/>
      <c r="F241" s="183"/>
      <c r="G241" s="182"/>
    </row>
    <row r="242" spans="1:7" x14ac:dyDescent="0.2">
      <c r="A242" s="184" t="s">
        <v>4212</v>
      </c>
      <c r="B242" s="185" t="s">
        <v>4213</v>
      </c>
      <c r="C242" s="185" t="s">
        <v>4056</v>
      </c>
      <c r="D242" s="181">
        <v>1778</v>
      </c>
      <c r="E242" s="182">
        <v>0.12018385832094092</v>
      </c>
      <c r="F242" s="183"/>
      <c r="G242" s="182"/>
    </row>
    <row r="243" spans="1:7" x14ac:dyDescent="0.2">
      <c r="A243" s="184" t="s">
        <v>2318</v>
      </c>
      <c r="B243" s="185" t="s">
        <v>4214</v>
      </c>
      <c r="C243" s="185" t="s">
        <v>4057</v>
      </c>
      <c r="D243" s="181">
        <v>967</v>
      </c>
      <c r="E243" s="182">
        <v>6.5364336893335137E-2</v>
      </c>
      <c r="F243" s="183"/>
      <c r="G243" s="182"/>
    </row>
    <row r="244" spans="1:7" x14ac:dyDescent="0.2">
      <c r="A244" s="184" t="s">
        <v>2318</v>
      </c>
      <c r="B244" s="186" t="s">
        <v>1108</v>
      </c>
      <c r="C244" s="186" t="s">
        <v>4059</v>
      </c>
      <c r="D244" s="203">
        <v>11555</v>
      </c>
      <c r="E244" s="192">
        <v>0.78105988914424762</v>
      </c>
      <c r="F244" s="183"/>
      <c r="G244" s="182"/>
    </row>
    <row r="245" spans="1:7" ht="13.5" thickBot="1" x14ac:dyDescent="0.25">
      <c r="A245" s="184" t="s">
        <v>2318</v>
      </c>
      <c r="B245" s="185" t="s">
        <v>4215</v>
      </c>
      <c r="C245" s="185" t="s">
        <v>4064</v>
      </c>
      <c r="D245" s="181">
        <v>494</v>
      </c>
      <c r="E245" s="182">
        <v>3.3391915641476276E-2</v>
      </c>
      <c r="F245" s="183"/>
      <c r="G245" s="182"/>
    </row>
    <row r="246" spans="1:7" ht="13.5" thickBot="1" x14ac:dyDescent="0.25">
      <c r="A246" s="184"/>
      <c r="B246" s="185"/>
      <c r="C246" s="185"/>
      <c r="D246" s="200" t="s">
        <v>4468</v>
      </c>
      <c r="E246" s="191">
        <v>0.99999999999999989</v>
      </c>
      <c r="F246" s="190">
        <v>30985</v>
      </c>
      <c r="G246" s="191">
        <v>0.48099999999999998</v>
      </c>
    </row>
    <row r="247" spans="1:7" x14ac:dyDescent="0.2">
      <c r="A247" s="184"/>
      <c r="B247" s="185"/>
      <c r="C247" s="185"/>
      <c r="D247" s="181"/>
      <c r="E247" s="182"/>
      <c r="F247" s="183"/>
      <c r="G247" s="182"/>
    </row>
    <row r="248" spans="1:7" x14ac:dyDescent="0.2">
      <c r="A248" s="184" t="s">
        <v>4216</v>
      </c>
      <c r="B248" s="185" t="s">
        <v>4217</v>
      </c>
      <c r="C248" s="185" t="s">
        <v>4056</v>
      </c>
      <c r="D248" s="181">
        <v>2599</v>
      </c>
      <c r="E248" s="182">
        <v>0.15087658191106468</v>
      </c>
      <c r="F248" s="183"/>
      <c r="G248" s="182"/>
    </row>
    <row r="249" spans="1:7" x14ac:dyDescent="0.2">
      <c r="A249" s="184" t="s">
        <v>2318</v>
      </c>
      <c r="B249" s="185" t="s">
        <v>4218</v>
      </c>
      <c r="C249" s="185" t="s">
        <v>4064</v>
      </c>
      <c r="D249" s="181">
        <v>776</v>
      </c>
      <c r="E249" s="182">
        <v>4.5048182979217463E-2</v>
      </c>
      <c r="F249" s="183"/>
      <c r="G249" s="182"/>
    </row>
    <row r="250" spans="1:7" x14ac:dyDescent="0.2">
      <c r="A250" s="184" t="s">
        <v>2318</v>
      </c>
      <c r="B250" s="185" t="s">
        <v>4219</v>
      </c>
      <c r="C250" s="185" t="s">
        <v>4057</v>
      </c>
      <c r="D250" s="181">
        <v>1475</v>
      </c>
      <c r="E250" s="182">
        <v>8.5626378729827007E-2</v>
      </c>
      <c r="F250" s="183"/>
      <c r="G250" s="182"/>
    </row>
    <row r="251" spans="1:7" ht="13.5" thickBot="1" x14ac:dyDescent="0.25">
      <c r="A251" s="184" t="s">
        <v>2318</v>
      </c>
      <c r="B251" s="186" t="s">
        <v>4220</v>
      </c>
      <c r="C251" s="186" t="s">
        <v>4059</v>
      </c>
      <c r="D251" s="203">
        <v>12376</v>
      </c>
      <c r="E251" s="192">
        <v>0.71844885637989087</v>
      </c>
      <c r="F251" s="183"/>
      <c r="G251" s="182"/>
    </row>
    <row r="252" spans="1:7" ht="13.5" thickBot="1" x14ac:dyDescent="0.25">
      <c r="A252" s="184"/>
      <c r="B252" s="185"/>
      <c r="C252" s="185"/>
      <c r="D252" s="200" t="s">
        <v>4469</v>
      </c>
      <c r="E252" s="191">
        <v>1</v>
      </c>
      <c r="F252" s="190">
        <v>31714</v>
      </c>
      <c r="G252" s="191">
        <v>0.56299999999999994</v>
      </c>
    </row>
    <row r="253" spans="1:7" x14ac:dyDescent="0.2">
      <c r="A253" s="184"/>
      <c r="B253" s="185"/>
      <c r="C253" s="185"/>
      <c r="D253" s="181"/>
      <c r="E253" s="182"/>
      <c r="F253" s="183"/>
      <c r="G253" s="182"/>
    </row>
    <row r="254" spans="1:7" x14ac:dyDescent="0.2">
      <c r="A254" s="184" t="s">
        <v>4221</v>
      </c>
      <c r="B254" s="186" t="s">
        <v>1114</v>
      </c>
      <c r="C254" s="186" t="s">
        <v>4059</v>
      </c>
      <c r="D254" s="203">
        <v>9412</v>
      </c>
      <c r="E254" s="192">
        <v>0.55361449326510204</v>
      </c>
      <c r="F254" s="183"/>
      <c r="G254" s="182"/>
    </row>
    <row r="255" spans="1:7" x14ac:dyDescent="0.2">
      <c r="A255" s="184" t="s">
        <v>2318</v>
      </c>
      <c r="B255" s="185" t="s">
        <v>296</v>
      </c>
      <c r="C255" s="185" t="s">
        <v>4070</v>
      </c>
      <c r="D255" s="181">
        <v>808</v>
      </c>
      <c r="E255" s="182">
        <v>4.7526616081406979E-2</v>
      </c>
      <c r="F255" s="183"/>
      <c r="G255" s="182"/>
    </row>
    <row r="256" spans="1:7" x14ac:dyDescent="0.2">
      <c r="A256" s="184" t="s">
        <v>2318</v>
      </c>
      <c r="B256" s="185" t="s">
        <v>4222</v>
      </c>
      <c r="C256" s="185" t="s">
        <v>4057</v>
      </c>
      <c r="D256" s="181">
        <v>2373</v>
      </c>
      <c r="E256" s="182">
        <v>0.13958002470442915</v>
      </c>
      <c r="F256" s="183"/>
      <c r="G256" s="182"/>
    </row>
    <row r="257" spans="1:7" ht="13.5" thickBot="1" x14ac:dyDescent="0.25">
      <c r="A257" s="184" t="s">
        <v>2318</v>
      </c>
      <c r="B257" s="185" t="s">
        <v>3463</v>
      </c>
      <c r="C257" s="185" t="s">
        <v>4056</v>
      </c>
      <c r="D257" s="181">
        <v>4408</v>
      </c>
      <c r="E257" s="182">
        <v>0.2592788659490618</v>
      </c>
      <c r="F257" s="183"/>
      <c r="G257" s="182"/>
    </row>
    <row r="258" spans="1:7" ht="13.5" thickBot="1" x14ac:dyDescent="0.25">
      <c r="A258" s="184"/>
      <c r="B258" s="185"/>
      <c r="C258" s="185"/>
      <c r="D258" s="200" t="s">
        <v>4470</v>
      </c>
      <c r="E258" s="191">
        <v>0.99999999999999989</v>
      </c>
      <c r="F258" s="190">
        <v>31612</v>
      </c>
      <c r="G258" s="191">
        <v>0.54</v>
      </c>
    </row>
    <row r="259" spans="1:7" x14ac:dyDescent="0.2">
      <c r="A259" s="184"/>
      <c r="B259" s="185"/>
      <c r="C259" s="185"/>
      <c r="D259" s="181"/>
      <c r="E259" s="182"/>
      <c r="F259" s="183"/>
      <c r="G259" s="182"/>
    </row>
    <row r="260" spans="1:7" x14ac:dyDescent="0.2">
      <c r="A260" s="184" t="s">
        <v>4223</v>
      </c>
      <c r="B260" s="185" t="s">
        <v>4224</v>
      </c>
      <c r="C260" s="185" t="s">
        <v>4064</v>
      </c>
      <c r="D260" s="181">
        <v>1507</v>
      </c>
      <c r="E260" s="182">
        <v>8.7621373335659045E-2</v>
      </c>
      <c r="F260" s="183"/>
      <c r="G260" s="182"/>
    </row>
    <row r="261" spans="1:7" x14ac:dyDescent="0.2">
      <c r="A261" s="184" t="s">
        <v>2318</v>
      </c>
      <c r="B261" s="186" t="s">
        <v>4225</v>
      </c>
      <c r="C261" s="186" t="s">
        <v>4059</v>
      </c>
      <c r="D261" s="203">
        <v>9796</v>
      </c>
      <c r="E261" s="192">
        <v>0.56956799813942671</v>
      </c>
      <c r="F261" s="183"/>
      <c r="G261" s="182"/>
    </row>
    <row r="262" spans="1:7" x14ac:dyDescent="0.2">
      <c r="A262" s="184" t="s">
        <v>2318</v>
      </c>
      <c r="B262" s="185" t="s">
        <v>4226</v>
      </c>
      <c r="C262" s="185" t="s">
        <v>4057</v>
      </c>
      <c r="D262" s="181">
        <v>1972</v>
      </c>
      <c r="E262" s="182">
        <v>0.11465782894354323</v>
      </c>
      <c r="F262" s="183"/>
      <c r="G262" s="182"/>
    </row>
    <row r="263" spans="1:7" ht="13.5" thickBot="1" x14ac:dyDescent="0.25">
      <c r="A263" s="184" t="s">
        <v>2318</v>
      </c>
      <c r="B263" s="185" t="s">
        <v>4227</v>
      </c>
      <c r="C263" s="185" t="s">
        <v>4056</v>
      </c>
      <c r="D263" s="181">
        <v>3924</v>
      </c>
      <c r="E263" s="182">
        <v>0.228152799581371</v>
      </c>
      <c r="F263" s="183"/>
      <c r="G263" s="182"/>
    </row>
    <row r="264" spans="1:7" ht="13.5" thickBot="1" x14ac:dyDescent="0.25">
      <c r="A264" s="184"/>
      <c r="B264" s="185"/>
      <c r="C264" s="185"/>
      <c r="D264" s="200" t="s">
        <v>4471</v>
      </c>
      <c r="E264" s="191">
        <v>1</v>
      </c>
      <c r="F264" s="190">
        <v>31865</v>
      </c>
      <c r="G264" s="191">
        <v>0.54200000000000004</v>
      </c>
    </row>
    <row r="265" spans="1:7" x14ac:dyDescent="0.2">
      <c r="A265" s="184"/>
      <c r="B265" s="185"/>
      <c r="C265" s="185"/>
      <c r="D265" s="181"/>
      <c r="E265" s="182"/>
      <c r="F265" s="183"/>
      <c r="G265" s="182"/>
    </row>
    <row r="266" spans="1:7" x14ac:dyDescent="0.2">
      <c r="A266" s="184" t="s">
        <v>4228</v>
      </c>
      <c r="B266" s="185" t="s">
        <v>4229</v>
      </c>
      <c r="C266" s="185" t="s">
        <v>4064</v>
      </c>
      <c r="D266" s="181">
        <v>1896</v>
      </c>
      <c r="E266" s="182">
        <v>0.11751580513201934</v>
      </c>
      <c r="F266" s="183"/>
      <c r="G266" s="182"/>
    </row>
    <row r="267" spans="1:7" x14ac:dyDescent="0.2">
      <c r="A267" s="184" t="s">
        <v>2318</v>
      </c>
      <c r="B267" s="185" t="s">
        <v>4230</v>
      </c>
      <c r="C267" s="185" t="s">
        <v>4057</v>
      </c>
      <c r="D267" s="181">
        <v>1365</v>
      </c>
      <c r="E267" s="182">
        <v>8.4603941985868347E-2</v>
      </c>
      <c r="F267" s="183"/>
      <c r="G267" s="182"/>
    </row>
    <row r="268" spans="1:7" x14ac:dyDescent="0.2">
      <c r="A268" s="184" t="s">
        <v>2318</v>
      </c>
      <c r="B268" s="186" t="s">
        <v>3896</v>
      </c>
      <c r="C268" s="186" t="s">
        <v>4059</v>
      </c>
      <c r="D268" s="203">
        <v>9025</v>
      </c>
      <c r="E268" s="192">
        <v>0.55937771166480721</v>
      </c>
      <c r="F268" s="183"/>
      <c r="G268" s="182"/>
    </row>
    <row r="269" spans="1:7" ht="13.5" thickBot="1" x14ac:dyDescent="0.25">
      <c r="A269" s="184" t="s">
        <v>2318</v>
      </c>
      <c r="B269" s="185" t="s">
        <v>976</v>
      </c>
      <c r="C269" s="185" t="s">
        <v>4056</v>
      </c>
      <c r="D269" s="181">
        <v>3848</v>
      </c>
      <c r="E269" s="182">
        <v>0.23850254121730508</v>
      </c>
      <c r="F269" s="183"/>
      <c r="G269" s="182"/>
    </row>
    <row r="270" spans="1:7" ht="13.5" thickBot="1" x14ac:dyDescent="0.25">
      <c r="A270" s="184"/>
      <c r="B270" s="185"/>
      <c r="C270" s="185"/>
      <c r="D270" s="200" t="s">
        <v>4472</v>
      </c>
      <c r="E270" s="191">
        <v>1</v>
      </c>
      <c r="F270" s="190">
        <v>32521</v>
      </c>
      <c r="G270" s="191">
        <v>0.498</v>
      </c>
    </row>
    <row r="271" spans="1:7" x14ac:dyDescent="0.2">
      <c r="A271" s="184"/>
      <c r="B271" s="185"/>
      <c r="C271" s="185"/>
      <c r="D271" s="181"/>
      <c r="E271" s="182"/>
      <c r="F271" s="183"/>
      <c r="G271" s="182"/>
    </row>
    <row r="272" spans="1:7" x14ac:dyDescent="0.2">
      <c r="A272" s="184" t="s">
        <v>4231</v>
      </c>
      <c r="B272" s="186" t="s">
        <v>3473</v>
      </c>
      <c r="C272" s="186" t="s">
        <v>4059</v>
      </c>
      <c r="D272" s="203">
        <v>9930</v>
      </c>
      <c r="E272" s="192">
        <v>0.64859568909209664</v>
      </c>
      <c r="F272" s="183"/>
      <c r="G272" s="182"/>
    </row>
    <row r="273" spans="1:7" x14ac:dyDescent="0.2">
      <c r="A273" s="184" t="s">
        <v>2318</v>
      </c>
      <c r="B273" s="185" t="s">
        <v>4232</v>
      </c>
      <c r="C273" s="185" t="s">
        <v>4084</v>
      </c>
      <c r="D273" s="181">
        <v>129</v>
      </c>
      <c r="E273" s="182">
        <v>8.4258654474199876E-3</v>
      </c>
      <c r="F273" s="183"/>
      <c r="G273" s="182"/>
    </row>
    <row r="274" spans="1:7" x14ac:dyDescent="0.2">
      <c r="A274" s="184" t="s">
        <v>2318</v>
      </c>
      <c r="B274" s="185" t="s">
        <v>4233</v>
      </c>
      <c r="C274" s="185" t="s">
        <v>4064</v>
      </c>
      <c r="D274" s="181">
        <v>850</v>
      </c>
      <c r="E274" s="182">
        <v>5.5519268451992163E-2</v>
      </c>
      <c r="F274" s="183"/>
      <c r="G274" s="182"/>
    </row>
    <row r="275" spans="1:7" x14ac:dyDescent="0.2">
      <c r="A275" s="184" t="s">
        <v>2318</v>
      </c>
      <c r="B275" s="185" t="s">
        <v>3853</v>
      </c>
      <c r="C275" s="185" t="s">
        <v>4056</v>
      </c>
      <c r="D275" s="181">
        <v>2920</v>
      </c>
      <c r="E275" s="182">
        <v>0.19072501632919661</v>
      </c>
      <c r="F275" s="183"/>
      <c r="G275" s="182"/>
    </row>
    <row r="276" spans="1:7" x14ac:dyDescent="0.2">
      <c r="A276" s="184" t="s">
        <v>2318</v>
      </c>
      <c r="B276" s="185" t="s">
        <v>480</v>
      </c>
      <c r="C276" s="185" t="s">
        <v>4095</v>
      </c>
      <c r="D276" s="181">
        <v>44</v>
      </c>
      <c r="E276" s="182">
        <v>2.8739386022207706E-3</v>
      </c>
      <c r="F276" s="183"/>
      <c r="G276" s="182"/>
    </row>
    <row r="277" spans="1:7" ht="13.5" thickBot="1" x14ac:dyDescent="0.25">
      <c r="A277" s="184" t="s">
        <v>2318</v>
      </c>
      <c r="B277" s="185" t="s">
        <v>4234</v>
      </c>
      <c r="C277" s="185" t="s">
        <v>4057</v>
      </c>
      <c r="D277" s="181">
        <v>1437</v>
      </c>
      <c r="E277" s="182">
        <v>9.3860222077073813E-2</v>
      </c>
      <c r="F277" s="183"/>
      <c r="G277" s="182"/>
    </row>
    <row r="278" spans="1:7" ht="13.5" thickBot="1" x14ac:dyDescent="0.25">
      <c r="A278" s="184"/>
      <c r="B278" s="185"/>
      <c r="C278" s="185"/>
      <c r="D278" s="200" t="s">
        <v>4473</v>
      </c>
      <c r="E278" s="191">
        <v>0.99999999999999989</v>
      </c>
      <c r="F278" s="190">
        <v>28130</v>
      </c>
      <c r="G278" s="191">
        <v>0.54700000000000004</v>
      </c>
    </row>
    <row r="279" spans="1:7" x14ac:dyDescent="0.2">
      <c r="A279" s="184"/>
      <c r="B279" s="185"/>
      <c r="C279" s="185"/>
      <c r="D279" s="181"/>
      <c r="E279" s="182"/>
      <c r="F279" s="183"/>
      <c r="G279" s="182"/>
    </row>
    <row r="280" spans="1:7" x14ac:dyDescent="0.2">
      <c r="A280" s="184" t="s">
        <v>4235</v>
      </c>
      <c r="B280" s="185" t="s">
        <v>4236</v>
      </c>
      <c r="C280" s="185" t="s">
        <v>4070</v>
      </c>
      <c r="D280" s="181">
        <v>487</v>
      </c>
      <c r="E280" s="182">
        <v>2.52501685072847E-2</v>
      </c>
      <c r="F280" s="183"/>
      <c r="G280" s="182"/>
    </row>
    <row r="281" spans="1:7" x14ac:dyDescent="0.2">
      <c r="A281" s="184" t="s">
        <v>2318</v>
      </c>
      <c r="B281" s="185" t="s">
        <v>3877</v>
      </c>
      <c r="C281" s="185" t="s">
        <v>4057</v>
      </c>
      <c r="D281" s="181">
        <v>1350</v>
      </c>
      <c r="E281" s="182">
        <v>6.9995333644423702E-2</v>
      </c>
      <c r="F281" s="183"/>
      <c r="G281" s="182"/>
    </row>
    <row r="282" spans="1:7" x14ac:dyDescent="0.2">
      <c r="A282" s="184" t="s">
        <v>2318</v>
      </c>
      <c r="B282" s="185" t="s">
        <v>4237</v>
      </c>
      <c r="C282" s="185" t="s">
        <v>4073</v>
      </c>
      <c r="D282" s="181">
        <v>135</v>
      </c>
      <c r="E282" s="182">
        <v>6.9995333644423709E-3</v>
      </c>
      <c r="F282" s="183"/>
      <c r="G282" s="182"/>
    </row>
    <row r="283" spans="1:7" x14ac:dyDescent="0.2">
      <c r="A283" s="184" t="s">
        <v>2318</v>
      </c>
      <c r="B283" s="185" t="s">
        <v>1760</v>
      </c>
      <c r="C283" s="185" t="s">
        <v>4084</v>
      </c>
      <c r="D283" s="181">
        <v>59</v>
      </c>
      <c r="E283" s="182">
        <v>3.0590553222377766E-3</v>
      </c>
      <c r="F283" s="183"/>
      <c r="G283" s="182"/>
    </row>
    <row r="284" spans="1:7" x14ac:dyDescent="0.2">
      <c r="A284" s="184" t="s">
        <v>2318</v>
      </c>
      <c r="B284" s="186" t="s">
        <v>3857</v>
      </c>
      <c r="C284" s="186" t="s">
        <v>4059</v>
      </c>
      <c r="D284" s="203">
        <v>12108</v>
      </c>
      <c r="E284" s="192">
        <v>0.6277803701975424</v>
      </c>
      <c r="F284" s="183"/>
      <c r="G284" s="182"/>
    </row>
    <row r="285" spans="1:7" x14ac:dyDescent="0.2">
      <c r="A285" s="184" t="s">
        <v>2318</v>
      </c>
      <c r="B285" s="185" t="s">
        <v>4238</v>
      </c>
      <c r="C285" s="185" t="s">
        <v>4064</v>
      </c>
      <c r="D285" s="181">
        <v>1416</v>
      </c>
      <c r="E285" s="182">
        <v>7.3417327733706642E-2</v>
      </c>
      <c r="F285" s="183"/>
      <c r="G285" s="182"/>
    </row>
    <row r="286" spans="1:7" ht="13.5" thickBot="1" x14ac:dyDescent="0.25">
      <c r="A286" s="184" t="s">
        <v>2318</v>
      </c>
      <c r="B286" s="185" t="s">
        <v>3859</v>
      </c>
      <c r="C286" s="185" t="s">
        <v>4056</v>
      </c>
      <c r="D286" s="181">
        <v>3732</v>
      </c>
      <c r="E286" s="182">
        <v>0.19349821123036243</v>
      </c>
      <c r="F286" s="183"/>
      <c r="G286" s="182"/>
    </row>
    <row r="287" spans="1:7" ht="13.5" thickBot="1" x14ac:dyDescent="0.25">
      <c r="A287" s="184"/>
      <c r="B287" s="185"/>
      <c r="C287" s="185"/>
      <c r="D287" s="200" t="s">
        <v>4474</v>
      </c>
      <c r="E287" s="191">
        <v>1</v>
      </c>
      <c r="F287" s="190">
        <v>31416</v>
      </c>
      <c r="G287" s="191">
        <v>0.61699999999999999</v>
      </c>
    </row>
    <row r="288" spans="1:7" x14ac:dyDescent="0.2">
      <c r="A288" s="184"/>
      <c r="B288" s="185"/>
      <c r="C288" s="185"/>
      <c r="D288" s="181"/>
      <c r="E288" s="182"/>
      <c r="F288" s="183"/>
      <c r="G288" s="182"/>
    </row>
    <row r="289" spans="1:7" x14ac:dyDescent="0.2">
      <c r="A289" s="184" t="s">
        <v>4239</v>
      </c>
      <c r="B289" s="185" t="s">
        <v>4240</v>
      </c>
      <c r="C289" s="185" t="s">
        <v>4064</v>
      </c>
      <c r="D289" s="181">
        <v>741</v>
      </c>
      <c r="E289" s="182">
        <v>4.2248702890700728E-2</v>
      </c>
      <c r="F289" s="183"/>
      <c r="G289" s="182"/>
    </row>
    <row r="290" spans="1:7" x14ac:dyDescent="0.2">
      <c r="A290" s="184" t="s">
        <v>2318</v>
      </c>
      <c r="B290" s="186" t="s">
        <v>4241</v>
      </c>
      <c r="C290" s="186" t="s">
        <v>4059</v>
      </c>
      <c r="D290" s="203">
        <v>11214</v>
      </c>
      <c r="E290" s="192">
        <v>0.63937510690461252</v>
      </c>
      <c r="F290" s="183"/>
      <c r="G290" s="182"/>
    </row>
    <row r="291" spans="1:7" x14ac:dyDescent="0.2">
      <c r="A291" s="184" t="s">
        <v>2318</v>
      </c>
      <c r="B291" s="185" t="s">
        <v>4242</v>
      </c>
      <c r="C291" s="185" t="s">
        <v>4056</v>
      </c>
      <c r="D291" s="181">
        <v>3940</v>
      </c>
      <c r="E291" s="182">
        <v>0.22464222589657334</v>
      </c>
      <c r="F291" s="183"/>
      <c r="G291" s="182"/>
    </row>
    <row r="292" spans="1:7" ht="13.5" thickBot="1" x14ac:dyDescent="0.25">
      <c r="A292" s="184" t="s">
        <v>2318</v>
      </c>
      <c r="B292" s="185" t="s">
        <v>4243</v>
      </c>
      <c r="C292" s="185" t="s">
        <v>4057</v>
      </c>
      <c r="D292" s="181">
        <v>1644</v>
      </c>
      <c r="E292" s="182">
        <v>9.3733964308113343E-2</v>
      </c>
      <c r="F292" s="183"/>
      <c r="G292" s="182"/>
    </row>
    <row r="293" spans="1:7" ht="13.5" thickBot="1" x14ac:dyDescent="0.25">
      <c r="A293" s="184"/>
      <c r="B293" s="185"/>
      <c r="C293" s="185"/>
      <c r="D293" s="200" t="s">
        <v>4475</v>
      </c>
      <c r="E293" s="191">
        <v>0.99999999999999989</v>
      </c>
      <c r="F293" s="190">
        <v>29253</v>
      </c>
      <c r="G293" s="191">
        <v>0.60199999999999998</v>
      </c>
    </row>
    <row r="294" spans="1:7" x14ac:dyDescent="0.2">
      <c r="A294" s="184"/>
      <c r="B294" s="185"/>
      <c r="C294" s="185"/>
      <c r="D294" s="181"/>
      <c r="E294" s="182"/>
      <c r="F294" s="183"/>
      <c r="G294" s="182"/>
    </row>
    <row r="295" spans="1:7" x14ac:dyDescent="0.2">
      <c r="A295" s="184" t="s">
        <v>4244</v>
      </c>
      <c r="B295" s="185" t="s">
        <v>3867</v>
      </c>
      <c r="C295" s="185" t="s">
        <v>4064</v>
      </c>
      <c r="D295" s="181">
        <v>1199</v>
      </c>
      <c r="E295" s="182">
        <v>5.2819383259911895E-2</v>
      </c>
      <c r="F295" s="183"/>
      <c r="G295" s="182"/>
    </row>
    <row r="296" spans="1:7" x14ac:dyDescent="0.2">
      <c r="A296" s="184" t="s">
        <v>2318</v>
      </c>
      <c r="B296" s="186" t="s">
        <v>4245</v>
      </c>
      <c r="C296" s="186" t="s">
        <v>4059</v>
      </c>
      <c r="D296" s="203">
        <v>12352</v>
      </c>
      <c r="E296" s="192">
        <v>0.54414096916299559</v>
      </c>
      <c r="F296" s="183"/>
      <c r="G296" s="182"/>
    </row>
    <row r="297" spans="1:7" x14ac:dyDescent="0.2">
      <c r="A297" s="184" t="s">
        <v>2318</v>
      </c>
      <c r="B297" s="185" t="s">
        <v>3869</v>
      </c>
      <c r="C297" s="185" t="s">
        <v>4056</v>
      </c>
      <c r="D297" s="181">
        <v>6316</v>
      </c>
      <c r="E297" s="182">
        <v>0.27823788546255507</v>
      </c>
      <c r="F297" s="183"/>
      <c r="G297" s="182"/>
    </row>
    <row r="298" spans="1:7" x14ac:dyDescent="0.2">
      <c r="A298" s="184" t="s">
        <v>2318</v>
      </c>
      <c r="B298" s="185" t="s">
        <v>4246</v>
      </c>
      <c r="C298" s="185" t="s">
        <v>4057</v>
      </c>
      <c r="D298" s="181">
        <v>2290</v>
      </c>
      <c r="E298" s="182">
        <v>0.10088105726872247</v>
      </c>
      <c r="F298" s="183"/>
      <c r="G298" s="182"/>
    </row>
    <row r="299" spans="1:7" ht="13.5" thickBot="1" x14ac:dyDescent="0.25">
      <c r="A299" s="184" t="s">
        <v>2318</v>
      </c>
      <c r="B299" s="185" t="s">
        <v>4247</v>
      </c>
      <c r="C299" s="185" t="s">
        <v>4070</v>
      </c>
      <c r="D299" s="181">
        <v>543</v>
      </c>
      <c r="E299" s="182">
        <v>2.3920704845814978E-2</v>
      </c>
      <c r="F299" s="183"/>
      <c r="G299" s="182"/>
    </row>
    <row r="300" spans="1:7" ht="13.5" thickBot="1" x14ac:dyDescent="0.25">
      <c r="A300" s="184"/>
      <c r="B300" s="185"/>
      <c r="C300" s="185"/>
      <c r="D300" s="200" t="s">
        <v>4476</v>
      </c>
      <c r="E300" s="191">
        <v>1</v>
      </c>
      <c r="F300" s="190">
        <v>41230</v>
      </c>
      <c r="G300" s="191">
        <v>0.55300000000000005</v>
      </c>
    </row>
    <row r="301" spans="1:7" x14ac:dyDescent="0.2">
      <c r="A301" s="184"/>
      <c r="B301" s="185"/>
      <c r="C301" s="185"/>
      <c r="D301" s="181"/>
      <c r="E301" s="182"/>
      <c r="F301" s="183"/>
      <c r="G301" s="182"/>
    </row>
    <row r="302" spans="1:7" x14ac:dyDescent="0.2">
      <c r="A302" s="184" t="s">
        <v>4248</v>
      </c>
      <c r="B302" s="185" t="s">
        <v>4249</v>
      </c>
      <c r="C302" s="185" t="s">
        <v>4064</v>
      </c>
      <c r="D302" s="181">
        <v>658</v>
      </c>
      <c r="E302" s="182">
        <v>3.9898132427843805E-2</v>
      </c>
      <c r="F302" s="183"/>
      <c r="G302" s="182"/>
    </row>
    <row r="303" spans="1:7" x14ac:dyDescent="0.2">
      <c r="A303" s="184" t="s">
        <v>2318</v>
      </c>
      <c r="B303" s="186" t="s">
        <v>3486</v>
      </c>
      <c r="C303" s="186" t="s">
        <v>4059</v>
      </c>
      <c r="D303" s="203">
        <v>13592</v>
      </c>
      <c r="E303" s="192">
        <v>0.82415716711132669</v>
      </c>
      <c r="F303" s="183"/>
      <c r="G303" s="182"/>
    </row>
    <row r="304" spans="1:7" ht="13.5" thickBot="1" x14ac:dyDescent="0.25">
      <c r="A304" s="184" t="s">
        <v>2318</v>
      </c>
      <c r="B304" s="185" t="s">
        <v>4250</v>
      </c>
      <c r="C304" s="185" t="s">
        <v>4056</v>
      </c>
      <c r="D304" s="181">
        <v>2242</v>
      </c>
      <c r="E304" s="182">
        <v>0.13594470046082949</v>
      </c>
      <c r="F304" s="183"/>
      <c r="G304" s="182"/>
    </row>
    <row r="305" spans="1:7" ht="13.5" thickBot="1" x14ac:dyDescent="0.25">
      <c r="A305" s="184"/>
      <c r="B305" s="185"/>
      <c r="C305" s="185"/>
      <c r="D305" s="200" t="s">
        <v>4477</v>
      </c>
      <c r="E305" s="191">
        <v>1</v>
      </c>
      <c r="F305" s="190">
        <v>32976</v>
      </c>
      <c r="G305" s="191">
        <v>0.505</v>
      </c>
    </row>
    <row r="306" spans="1:7" x14ac:dyDescent="0.2">
      <c r="A306" s="184"/>
      <c r="B306" s="185"/>
      <c r="C306" s="185"/>
      <c r="D306" s="181"/>
      <c r="E306" s="182"/>
      <c r="F306" s="183"/>
      <c r="G306" s="182"/>
    </row>
    <row r="307" spans="1:7" x14ac:dyDescent="0.2">
      <c r="A307" s="184" t="s">
        <v>4251</v>
      </c>
      <c r="B307" s="185" t="s">
        <v>4041</v>
      </c>
      <c r="C307" s="185" t="s">
        <v>4084</v>
      </c>
      <c r="D307" s="181">
        <v>73</v>
      </c>
      <c r="E307" s="182">
        <v>3.2751581497599712E-3</v>
      </c>
      <c r="F307" s="183"/>
      <c r="G307" s="182"/>
    </row>
    <row r="308" spans="1:7" x14ac:dyDescent="0.2">
      <c r="A308" s="184" t="s">
        <v>2318</v>
      </c>
      <c r="B308" s="185" t="s">
        <v>4252</v>
      </c>
      <c r="C308" s="185" t="s">
        <v>4073</v>
      </c>
      <c r="D308" s="181">
        <v>182</v>
      </c>
      <c r="E308" s="182">
        <v>8.1654627843330795E-3</v>
      </c>
      <c r="F308" s="183"/>
      <c r="G308" s="182"/>
    </row>
    <row r="309" spans="1:7" x14ac:dyDescent="0.2">
      <c r="A309" s="184" t="s">
        <v>2318</v>
      </c>
      <c r="B309" s="185" t="s">
        <v>4253</v>
      </c>
      <c r="C309" s="185" t="s">
        <v>4056</v>
      </c>
      <c r="D309" s="181">
        <v>7177</v>
      </c>
      <c r="E309" s="182">
        <v>0.32199739781955222</v>
      </c>
      <c r="F309" s="183"/>
      <c r="G309" s="182"/>
    </row>
    <row r="310" spans="1:7" x14ac:dyDescent="0.2">
      <c r="A310" s="184" t="s">
        <v>2318</v>
      </c>
      <c r="B310" s="185" t="s">
        <v>4254</v>
      </c>
      <c r="C310" s="185" t="s">
        <v>4057</v>
      </c>
      <c r="D310" s="181">
        <v>1423</v>
      </c>
      <c r="E310" s="182">
        <v>6.384315133025259E-2</v>
      </c>
      <c r="F310" s="183"/>
      <c r="G310" s="182"/>
    </row>
    <row r="311" spans="1:7" x14ac:dyDescent="0.2">
      <c r="A311" s="184" t="s">
        <v>2318</v>
      </c>
      <c r="B311" s="185" t="s">
        <v>3632</v>
      </c>
      <c r="C311" s="185" t="s">
        <v>4064</v>
      </c>
      <c r="D311" s="181">
        <v>629</v>
      </c>
      <c r="E311" s="182">
        <v>2.8220198304096191E-2</v>
      </c>
      <c r="F311" s="183"/>
      <c r="G311" s="182"/>
    </row>
    <row r="312" spans="1:7" ht="13.5" thickBot="1" x14ac:dyDescent="0.25">
      <c r="A312" s="184" t="s">
        <v>2318</v>
      </c>
      <c r="B312" s="186" t="s">
        <v>4255</v>
      </c>
      <c r="C312" s="186" t="s">
        <v>4059</v>
      </c>
      <c r="D312" s="203">
        <v>12805</v>
      </c>
      <c r="E312" s="192">
        <v>0.57449863161200587</v>
      </c>
      <c r="F312" s="183"/>
      <c r="G312" s="182"/>
    </row>
    <row r="313" spans="1:7" ht="13.5" thickBot="1" x14ac:dyDescent="0.25">
      <c r="A313" s="184"/>
      <c r="B313" s="185"/>
      <c r="C313" s="185"/>
      <c r="D313" s="200" t="s">
        <v>4478</v>
      </c>
      <c r="E313" s="191">
        <v>0.99999999999999989</v>
      </c>
      <c r="F313" s="190">
        <v>37018</v>
      </c>
      <c r="G313" s="191">
        <v>0.60399999999999998</v>
      </c>
    </row>
    <row r="314" spans="1:7" x14ac:dyDescent="0.2">
      <c r="A314" s="184"/>
      <c r="B314" s="185"/>
      <c r="C314" s="185"/>
      <c r="D314" s="181"/>
      <c r="E314" s="182"/>
      <c r="F314" s="183"/>
      <c r="G314" s="182"/>
    </row>
    <row r="315" spans="1:7" x14ac:dyDescent="0.2">
      <c r="A315" s="184" t="s">
        <v>4256</v>
      </c>
      <c r="B315" s="185" t="s">
        <v>4257</v>
      </c>
      <c r="C315" s="185" t="s">
        <v>4056</v>
      </c>
      <c r="D315" s="181">
        <v>6181</v>
      </c>
      <c r="E315" s="182">
        <v>0.2891154871602975</v>
      </c>
      <c r="F315" s="183"/>
      <c r="G315" s="182"/>
    </row>
    <row r="316" spans="1:7" x14ac:dyDescent="0.2">
      <c r="A316" s="184" t="s">
        <v>2318</v>
      </c>
      <c r="B316" s="185" t="s">
        <v>4258</v>
      </c>
      <c r="C316" s="185" t="s">
        <v>4070</v>
      </c>
      <c r="D316" s="181">
        <v>912</v>
      </c>
      <c r="E316" s="182">
        <v>4.2658683755086767E-2</v>
      </c>
      <c r="F316" s="183"/>
      <c r="G316" s="182"/>
    </row>
    <row r="317" spans="1:7" x14ac:dyDescent="0.2">
      <c r="A317" s="184" t="s">
        <v>2318</v>
      </c>
      <c r="B317" s="185" t="s">
        <v>4259</v>
      </c>
      <c r="C317" s="185" t="s">
        <v>4059</v>
      </c>
      <c r="D317" s="181">
        <v>6388</v>
      </c>
      <c r="E317" s="182">
        <v>0.29879788577576127</v>
      </c>
      <c r="F317" s="183"/>
      <c r="G317" s="182"/>
    </row>
    <row r="318" spans="1:7" x14ac:dyDescent="0.2">
      <c r="A318" s="184" t="s">
        <v>2318</v>
      </c>
      <c r="B318" s="186" t="s">
        <v>4260</v>
      </c>
      <c r="C318" s="186" t="s">
        <v>4057</v>
      </c>
      <c r="D318" s="203">
        <v>7499</v>
      </c>
      <c r="E318" s="192">
        <v>0.35076476916600402</v>
      </c>
      <c r="F318" s="183"/>
      <c r="G318" s="182"/>
    </row>
    <row r="319" spans="1:7" ht="13.5" thickBot="1" x14ac:dyDescent="0.25">
      <c r="A319" s="184" t="s">
        <v>2318</v>
      </c>
      <c r="B319" s="185" t="s">
        <v>1017</v>
      </c>
      <c r="C319" s="185" t="s">
        <v>4084</v>
      </c>
      <c r="D319" s="181">
        <v>399</v>
      </c>
      <c r="E319" s="182">
        <v>1.8663174142850462E-2</v>
      </c>
      <c r="F319" s="183"/>
      <c r="G319" s="182"/>
    </row>
    <row r="320" spans="1:7" ht="13.5" thickBot="1" x14ac:dyDescent="0.25">
      <c r="A320" s="184"/>
      <c r="B320" s="185"/>
      <c r="C320" s="185"/>
      <c r="D320" s="200" t="s">
        <v>4479</v>
      </c>
      <c r="E320" s="191">
        <v>1</v>
      </c>
      <c r="F320" s="190">
        <v>40045</v>
      </c>
      <c r="G320" s="191">
        <v>0.53600000000000003</v>
      </c>
    </row>
    <row r="321" spans="1:7" x14ac:dyDescent="0.2">
      <c r="A321" s="184"/>
      <c r="B321" s="185"/>
      <c r="C321" s="185"/>
      <c r="D321" s="181"/>
      <c r="E321" s="182"/>
      <c r="F321" s="183"/>
      <c r="G321" s="182"/>
    </row>
    <row r="322" spans="1:7" x14ac:dyDescent="0.2">
      <c r="A322" s="184" t="s">
        <v>4261</v>
      </c>
      <c r="B322" s="185" t="s">
        <v>3277</v>
      </c>
      <c r="C322" s="185" t="s">
        <v>4056</v>
      </c>
      <c r="D322" s="181">
        <v>5016</v>
      </c>
      <c r="E322" s="182">
        <v>0.29882044560943644</v>
      </c>
      <c r="F322" s="183"/>
      <c r="G322" s="182"/>
    </row>
    <row r="323" spans="1:7" x14ac:dyDescent="0.2">
      <c r="A323" s="184" t="s">
        <v>2318</v>
      </c>
      <c r="B323" s="185" t="s">
        <v>3886</v>
      </c>
      <c r="C323" s="185" t="s">
        <v>4057</v>
      </c>
      <c r="D323" s="181">
        <v>4973</v>
      </c>
      <c r="E323" s="182">
        <v>0.29625878708447517</v>
      </c>
      <c r="F323" s="183"/>
      <c r="G323" s="182"/>
    </row>
    <row r="324" spans="1:7" ht="13.5" thickBot="1" x14ac:dyDescent="0.25">
      <c r="A324" s="184" t="s">
        <v>2318</v>
      </c>
      <c r="B324" s="186" t="s">
        <v>4262</v>
      </c>
      <c r="C324" s="186" t="s">
        <v>4059</v>
      </c>
      <c r="D324" s="203">
        <v>6797</v>
      </c>
      <c r="E324" s="192">
        <v>0.40492076730608839</v>
      </c>
      <c r="F324" s="183"/>
      <c r="G324" s="182"/>
    </row>
    <row r="325" spans="1:7" ht="13.5" thickBot="1" x14ac:dyDescent="0.25">
      <c r="A325" s="184"/>
      <c r="B325" s="185"/>
      <c r="C325" s="185"/>
      <c r="D325" s="200" t="s">
        <v>4480</v>
      </c>
      <c r="E325" s="191">
        <v>1</v>
      </c>
      <c r="F325" s="190">
        <v>25826</v>
      </c>
      <c r="G325" s="191">
        <v>0.65200000000000002</v>
      </c>
    </row>
    <row r="326" spans="1:7" x14ac:dyDescent="0.2">
      <c r="A326" s="184"/>
      <c r="B326" s="185"/>
      <c r="C326" s="185"/>
      <c r="D326" s="181"/>
      <c r="E326" s="182"/>
      <c r="F326" s="183"/>
      <c r="G326" s="182"/>
    </row>
    <row r="327" spans="1:7" x14ac:dyDescent="0.2">
      <c r="A327" s="184" t="s">
        <v>4263</v>
      </c>
      <c r="B327" s="185" t="s">
        <v>3634</v>
      </c>
      <c r="C327" s="185" t="s">
        <v>4056</v>
      </c>
      <c r="D327" s="181">
        <v>5555</v>
      </c>
      <c r="E327" s="182">
        <v>0.28236669547095006</v>
      </c>
      <c r="F327" s="183"/>
      <c r="G327" s="182"/>
    </row>
    <row r="328" spans="1:7" x14ac:dyDescent="0.2">
      <c r="A328" s="184" t="s">
        <v>2318</v>
      </c>
      <c r="B328" s="185" t="s">
        <v>4264</v>
      </c>
      <c r="C328" s="185" t="s">
        <v>4057</v>
      </c>
      <c r="D328" s="181">
        <v>5692</v>
      </c>
      <c r="E328" s="182">
        <v>0.28933055456717327</v>
      </c>
      <c r="F328" s="183"/>
      <c r="G328" s="182"/>
    </row>
    <row r="329" spans="1:7" ht="13.5" thickBot="1" x14ac:dyDescent="0.25">
      <c r="A329" s="184" t="s">
        <v>2318</v>
      </c>
      <c r="B329" s="186" t="s">
        <v>4265</v>
      </c>
      <c r="C329" s="186" t="s">
        <v>4059</v>
      </c>
      <c r="D329" s="203">
        <v>8426</v>
      </c>
      <c r="E329" s="192">
        <v>0.42830274996187667</v>
      </c>
      <c r="F329" s="183"/>
      <c r="G329" s="182"/>
    </row>
    <row r="330" spans="1:7" ht="13.5" thickBot="1" x14ac:dyDescent="0.25">
      <c r="A330" s="184"/>
      <c r="B330" s="185"/>
      <c r="C330" s="185"/>
      <c r="D330" s="200" t="s">
        <v>4481</v>
      </c>
      <c r="E330" s="191">
        <v>1</v>
      </c>
      <c r="F330" s="190">
        <v>36485</v>
      </c>
      <c r="G330" s="191">
        <v>0.54200000000000004</v>
      </c>
    </row>
    <row r="331" spans="1:7" x14ac:dyDescent="0.2">
      <c r="A331" s="184"/>
      <c r="B331" s="185"/>
      <c r="C331" s="185"/>
      <c r="D331" s="181"/>
      <c r="E331" s="182"/>
      <c r="F331" s="183"/>
      <c r="G331" s="182"/>
    </row>
    <row r="332" spans="1:7" x14ac:dyDescent="0.2">
      <c r="A332" s="184" t="s">
        <v>4266</v>
      </c>
      <c r="B332" s="185" t="s">
        <v>3641</v>
      </c>
      <c r="C332" s="185" t="s">
        <v>4056</v>
      </c>
      <c r="D332" s="181">
        <v>4876</v>
      </c>
      <c r="E332" s="182">
        <v>0.26624440318881731</v>
      </c>
      <c r="F332" s="183"/>
      <c r="G332" s="182"/>
    </row>
    <row r="333" spans="1:7" x14ac:dyDescent="0.2">
      <c r="A333" s="184" t="s">
        <v>2318</v>
      </c>
      <c r="B333" s="185" t="s">
        <v>4267</v>
      </c>
      <c r="C333" s="185" t="s">
        <v>4059</v>
      </c>
      <c r="D333" s="181">
        <v>6232</v>
      </c>
      <c r="E333" s="182">
        <v>0.3402861199082669</v>
      </c>
      <c r="F333" s="183"/>
      <c r="G333" s="182"/>
    </row>
    <row r="334" spans="1:7" ht="13.5" thickBot="1" x14ac:dyDescent="0.25">
      <c r="A334" s="184" t="s">
        <v>2318</v>
      </c>
      <c r="B334" s="186" t="s">
        <v>4268</v>
      </c>
      <c r="C334" s="186" t="s">
        <v>4057</v>
      </c>
      <c r="D334" s="203">
        <v>7206</v>
      </c>
      <c r="E334" s="192">
        <v>0.39346947690291578</v>
      </c>
      <c r="F334" s="183"/>
      <c r="G334" s="182"/>
    </row>
    <row r="335" spans="1:7" ht="13.5" thickBot="1" x14ac:dyDescent="0.25">
      <c r="A335" s="184"/>
      <c r="B335" s="185"/>
      <c r="C335" s="185"/>
      <c r="D335" s="200" t="s">
        <v>4482</v>
      </c>
      <c r="E335" s="191">
        <v>1</v>
      </c>
      <c r="F335" s="190">
        <v>28176</v>
      </c>
      <c r="G335" s="191">
        <v>0.65200000000000002</v>
      </c>
    </row>
    <row r="336" spans="1:7" x14ac:dyDescent="0.2">
      <c r="A336" s="184"/>
      <c r="B336" s="185"/>
      <c r="C336" s="185"/>
      <c r="D336" s="181"/>
      <c r="E336" s="182"/>
      <c r="F336" s="183"/>
      <c r="G336" s="182"/>
    </row>
    <row r="337" spans="1:7" x14ac:dyDescent="0.2">
      <c r="A337" s="184" t="s">
        <v>4269</v>
      </c>
      <c r="B337" s="185" t="s">
        <v>4270</v>
      </c>
      <c r="C337" s="185" t="s">
        <v>4059</v>
      </c>
      <c r="D337" s="181">
        <v>3807</v>
      </c>
      <c r="E337" s="182">
        <v>0.23462344385554049</v>
      </c>
      <c r="F337" s="183"/>
      <c r="G337" s="182"/>
    </row>
    <row r="338" spans="1:7" x14ac:dyDescent="0.2">
      <c r="A338" s="184" t="s">
        <v>2318</v>
      </c>
      <c r="B338" s="185" t="s">
        <v>4271</v>
      </c>
      <c r="C338" s="185" t="s">
        <v>4056</v>
      </c>
      <c r="D338" s="181">
        <v>5057</v>
      </c>
      <c r="E338" s="182">
        <v>0.31166029828670033</v>
      </c>
      <c r="F338" s="183"/>
      <c r="G338" s="182"/>
    </row>
    <row r="339" spans="1:7" x14ac:dyDescent="0.2">
      <c r="A339" s="184" t="s">
        <v>2318</v>
      </c>
      <c r="B339" s="186" t="s">
        <v>4272</v>
      </c>
      <c r="C339" s="186" t="s">
        <v>4057</v>
      </c>
      <c r="D339" s="203">
        <v>6862</v>
      </c>
      <c r="E339" s="192">
        <v>0.42290151608529519</v>
      </c>
      <c r="F339" s="183"/>
      <c r="G339" s="182"/>
    </row>
    <row r="340" spans="1:7" ht="13.5" thickBot="1" x14ac:dyDescent="0.25">
      <c r="A340" s="184" t="s">
        <v>2318</v>
      </c>
      <c r="B340" s="185" t="s">
        <v>2968</v>
      </c>
      <c r="C340" s="185" t="s">
        <v>4064</v>
      </c>
      <c r="D340" s="181">
        <v>500</v>
      </c>
      <c r="E340" s="182">
        <v>3.0814741772463947E-2</v>
      </c>
      <c r="F340" s="183"/>
      <c r="G340" s="182"/>
    </row>
    <row r="341" spans="1:7" ht="13.5" thickBot="1" x14ac:dyDescent="0.25">
      <c r="A341" s="184"/>
      <c r="B341" s="185"/>
      <c r="C341" s="185"/>
      <c r="D341" s="200" t="s">
        <v>4483</v>
      </c>
      <c r="E341" s="191">
        <v>0.99999999999999989</v>
      </c>
      <c r="F341" s="190">
        <v>25371</v>
      </c>
      <c r="G341" s="191">
        <v>0.64100000000000001</v>
      </c>
    </row>
    <row r="342" spans="1:7" x14ac:dyDescent="0.2">
      <c r="A342" s="184"/>
      <c r="B342" s="185"/>
      <c r="C342" s="185"/>
      <c r="D342" s="181"/>
      <c r="E342" s="182"/>
      <c r="F342" s="183"/>
      <c r="G342" s="182"/>
    </row>
    <row r="343" spans="1:7" x14ac:dyDescent="0.2">
      <c r="A343" s="184" t="s">
        <v>4273</v>
      </c>
      <c r="B343" s="185" t="s">
        <v>4274</v>
      </c>
      <c r="C343" s="185" t="s">
        <v>4056</v>
      </c>
      <c r="D343" s="181">
        <v>3594</v>
      </c>
      <c r="E343" s="182">
        <v>0.30431837425910246</v>
      </c>
      <c r="F343" s="183"/>
      <c r="G343" s="182"/>
    </row>
    <row r="344" spans="1:7" x14ac:dyDescent="0.2">
      <c r="A344" s="184" t="s">
        <v>2318</v>
      </c>
      <c r="B344" s="186" t="s">
        <v>4275</v>
      </c>
      <c r="C344" s="186" t="s">
        <v>4057</v>
      </c>
      <c r="D344" s="203">
        <v>5452</v>
      </c>
      <c r="E344" s="192">
        <v>0.46164267569856055</v>
      </c>
      <c r="F344" s="183"/>
      <c r="G344" s="182"/>
    </row>
    <row r="345" spans="1:7" x14ac:dyDescent="0.2">
      <c r="A345" s="184" t="s">
        <v>2318</v>
      </c>
      <c r="B345" s="185" t="s">
        <v>4276</v>
      </c>
      <c r="C345" s="185" t="s">
        <v>4070</v>
      </c>
      <c r="D345" s="181">
        <v>628</v>
      </c>
      <c r="E345" s="182">
        <v>5.3175275190516513E-2</v>
      </c>
      <c r="F345" s="183"/>
      <c r="G345" s="182"/>
    </row>
    <row r="346" spans="1:7" ht="13.5" thickBot="1" x14ac:dyDescent="0.25">
      <c r="A346" s="184" t="s">
        <v>2318</v>
      </c>
      <c r="B346" s="185" t="s">
        <v>4277</v>
      </c>
      <c r="C346" s="185" t="s">
        <v>4059</v>
      </c>
      <c r="D346" s="181">
        <v>2136</v>
      </c>
      <c r="E346" s="182">
        <v>0.18086367485182048</v>
      </c>
      <c r="F346" s="183"/>
      <c r="G346" s="182"/>
    </row>
    <row r="347" spans="1:7" ht="13.5" thickBot="1" x14ac:dyDescent="0.25">
      <c r="A347" s="184"/>
      <c r="B347" s="185"/>
      <c r="C347" s="185"/>
      <c r="D347" s="200" t="s">
        <v>4484</v>
      </c>
      <c r="E347" s="191">
        <v>1</v>
      </c>
      <c r="F347" s="190">
        <v>24714</v>
      </c>
      <c r="G347" s="191">
        <v>0.47899999999999998</v>
      </c>
    </row>
    <row r="348" spans="1:7" x14ac:dyDescent="0.2">
      <c r="A348" s="184"/>
      <c r="B348" s="185"/>
      <c r="C348" s="185"/>
      <c r="D348" s="181"/>
      <c r="E348" s="182"/>
      <c r="F348" s="183"/>
      <c r="G348" s="182"/>
    </row>
    <row r="349" spans="1:7" x14ac:dyDescent="0.2">
      <c r="A349" s="184" t="s">
        <v>4278</v>
      </c>
      <c r="B349" s="185" t="s">
        <v>4279</v>
      </c>
      <c r="C349" s="185" t="s">
        <v>4070</v>
      </c>
      <c r="D349" s="181">
        <v>378</v>
      </c>
      <c r="E349" s="182">
        <v>3.0814380044020543E-2</v>
      </c>
      <c r="F349" s="183"/>
      <c r="G349" s="182"/>
    </row>
    <row r="350" spans="1:7" x14ac:dyDescent="0.2">
      <c r="A350" s="184" t="s">
        <v>2318</v>
      </c>
      <c r="B350" s="185" t="s">
        <v>4280</v>
      </c>
      <c r="C350" s="185" t="s">
        <v>4056</v>
      </c>
      <c r="D350" s="181">
        <v>4356</v>
      </c>
      <c r="E350" s="182">
        <v>0.35509904622157007</v>
      </c>
      <c r="F350" s="183"/>
      <c r="G350" s="182"/>
    </row>
    <row r="351" spans="1:7" x14ac:dyDescent="0.2">
      <c r="A351" s="184" t="s">
        <v>2318</v>
      </c>
      <c r="B351" s="185" t="s">
        <v>3776</v>
      </c>
      <c r="C351" s="185" t="s">
        <v>4059</v>
      </c>
      <c r="D351" s="181">
        <v>2407</v>
      </c>
      <c r="E351" s="182">
        <v>0.19621749408983452</v>
      </c>
      <c r="F351" s="183"/>
      <c r="G351" s="182"/>
    </row>
    <row r="352" spans="1:7" ht="13.5" thickBot="1" x14ac:dyDescent="0.25">
      <c r="A352" s="184" t="s">
        <v>2318</v>
      </c>
      <c r="B352" s="186" t="s">
        <v>4281</v>
      </c>
      <c r="C352" s="186" t="s">
        <v>4057</v>
      </c>
      <c r="D352" s="203">
        <v>5126</v>
      </c>
      <c r="E352" s="192">
        <v>0.41786907964457487</v>
      </c>
      <c r="F352" s="183"/>
      <c r="G352" s="182"/>
    </row>
    <row r="353" spans="1:7" ht="13.5" thickBot="1" x14ac:dyDescent="0.25">
      <c r="A353" s="184"/>
      <c r="B353" s="185"/>
      <c r="C353" s="185"/>
      <c r="D353" s="200" t="s">
        <v>4485</v>
      </c>
      <c r="E353" s="191">
        <v>1</v>
      </c>
      <c r="F353" s="190">
        <v>23918</v>
      </c>
      <c r="G353" s="191">
        <v>0.51400000000000001</v>
      </c>
    </row>
    <row r="354" spans="1:7" x14ac:dyDescent="0.2">
      <c r="A354" s="184"/>
      <c r="B354" s="185"/>
      <c r="C354" s="185"/>
      <c r="D354" s="181"/>
      <c r="E354" s="182"/>
      <c r="F354" s="183"/>
      <c r="G354" s="182"/>
    </row>
    <row r="355" spans="1:7" x14ac:dyDescent="0.2">
      <c r="A355" s="184" t="s">
        <v>4282</v>
      </c>
      <c r="B355" s="186" t="s">
        <v>4283</v>
      </c>
      <c r="C355" s="186" t="s">
        <v>4057</v>
      </c>
      <c r="D355" s="203">
        <v>7676</v>
      </c>
      <c r="E355" s="192">
        <v>0.37037394451145961</v>
      </c>
      <c r="F355" s="183"/>
      <c r="G355" s="182"/>
    </row>
    <row r="356" spans="1:7" x14ac:dyDescent="0.2">
      <c r="A356" s="184" t="s">
        <v>2318</v>
      </c>
      <c r="B356" s="185" t="s">
        <v>4284</v>
      </c>
      <c r="C356" s="185" t="s">
        <v>4073</v>
      </c>
      <c r="D356" s="181">
        <v>405</v>
      </c>
      <c r="E356" s="182">
        <v>1.9541616405307601E-2</v>
      </c>
      <c r="F356" s="183"/>
      <c r="G356" s="182"/>
    </row>
    <row r="357" spans="1:7" x14ac:dyDescent="0.2">
      <c r="A357" s="184" t="s">
        <v>2318</v>
      </c>
      <c r="B357" s="185" t="s">
        <v>4285</v>
      </c>
      <c r="C357" s="185" t="s">
        <v>4084</v>
      </c>
      <c r="D357" s="181">
        <v>391</v>
      </c>
      <c r="E357" s="182">
        <v>1.8866103739445115E-2</v>
      </c>
      <c r="F357" s="183"/>
      <c r="G357" s="182"/>
    </row>
    <row r="358" spans="1:7" x14ac:dyDescent="0.2">
      <c r="A358" s="184" t="s">
        <v>2318</v>
      </c>
      <c r="B358" s="185" t="s">
        <v>3663</v>
      </c>
      <c r="C358" s="185" t="s">
        <v>4084</v>
      </c>
      <c r="D358" s="181">
        <v>1093</v>
      </c>
      <c r="E358" s="182">
        <v>5.2738238841978285E-2</v>
      </c>
      <c r="F358" s="183"/>
      <c r="G358" s="182"/>
    </row>
    <row r="359" spans="1:7" x14ac:dyDescent="0.2">
      <c r="A359" s="184" t="s">
        <v>2318</v>
      </c>
      <c r="B359" s="185" t="s">
        <v>4286</v>
      </c>
      <c r="C359" s="185" t="s">
        <v>4056</v>
      </c>
      <c r="D359" s="181">
        <v>7454</v>
      </c>
      <c r="E359" s="182">
        <v>0.35966224366706878</v>
      </c>
      <c r="F359" s="183"/>
      <c r="G359" s="182"/>
    </row>
    <row r="360" spans="1:7" ht="13.5" thickBot="1" x14ac:dyDescent="0.25">
      <c r="A360" s="184" t="s">
        <v>2318</v>
      </c>
      <c r="B360" s="185" t="s">
        <v>4287</v>
      </c>
      <c r="C360" s="185" t="s">
        <v>4059</v>
      </c>
      <c r="D360" s="181">
        <v>3706</v>
      </c>
      <c r="E360" s="182">
        <v>0.17881785283474066</v>
      </c>
      <c r="F360" s="183"/>
      <c r="G360" s="182"/>
    </row>
    <row r="361" spans="1:7" ht="13.5" thickBot="1" x14ac:dyDescent="0.25">
      <c r="A361" s="184"/>
      <c r="B361" s="185"/>
      <c r="C361" s="185"/>
      <c r="D361" s="200" t="s">
        <v>4486</v>
      </c>
      <c r="E361" s="191">
        <v>1</v>
      </c>
      <c r="F361" s="190">
        <v>34928</v>
      </c>
      <c r="G361" s="191">
        <v>0.59599999999999997</v>
      </c>
    </row>
    <row r="362" spans="1:7" x14ac:dyDescent="0.2">
      <c r="A362" s="184"/>
      <c r="B362" s="185"/>
      <c r="C362" s="185"/>
      <c r="D362" s="181"/>
      <c r="E362" s="182"/>
      <c r="F362" s="183"/>
      <c r="G362" s="182"/>
    </row>
    <row r="363" spans="1:7" x14ac:dyDescent="0.2">
      <c r="A363" s="184" t="s">
        <v>4288</v>
      </c>
      <c r="B363" s="186" t="s">
        <v>3784</v>
      </c>
      <c r="C363" s="186" t="s">
        <v>4057</v>
      </c>
      <c r="D363" s="203">
        <v>8544</v>
      </c>
      <c r="E363" s="192">
        <v>0.54552419869748436</v>
      </c>
      <c r="F363" s="183"/>
      <c r="G363" s="182"/>
    </row>
    <row r="364" spans="1:7" x14ac:dyDescent="0.2">
      <c r="A364" s="184" t="s">
        <v>2318</v>
      </c>
      <c r="B364" s="185" t="s">
        <v>4289</v>
      </c>
      <c r="C364" s="185" t="s">
        <v>4064</v>
      </c>
      <c r="D364" s="181">
        <v>528</v>
      </c>
      <c r="E364" s="182">
        <v>3.3712169582428807E-2</v>
      </c>
      <c r="F364" s="183"/>
      <c r="G364" s="182"/>
    </row>
    <row r="365" spans="1:7" x14ac:dyDescent="0.2">
      <c r="A365" s="184" t="s">
        <v>2318</v>
      </c>
      <c r="B365" s="185" t="s">
        <v>4290</v>
      </c>
      <c r="C365" s="185" t="s">
        <v>4056</v>
      </c>
      <c r="D365" s="181">
        <v>3389</v>
      </c>
      <c r="E365" s="182">
        <v>0.21638360362661219</v>
      </c>
      <c r="F365" s="183"/>
      <c r="G365" s="182"/>
    </row>
    <row r="366" spans="1:7" ht="13.5" thickBot="1" x14ac:dyDescent="0.25">
      <c r="A366" s="184" t="s">
        <v>2318</v>
      </c>
      <c r="B366" s="185" t="s">
        <v>4291</v>
      </c>
      <c r="C366" s="185" t="s">
        <v>4059</v>
      </c>
      <c r="D366" s="181">
        <v>3201</v>
      </c>
      <c r="E366" s="182">
        <v>0.20438002809347466</v>
      </c>
      <c r="F366" s="183"/>
      <c r="G366" s="182"/>
    </row>
    <row r="367" spans="1:7" ht="13.5" thickBot="1" x14ac:dyDescent="0.25">
      <c r="A367" s="184"/>
      <c r="B367" s="185"/>
      <c r="C367" s="185"/>
      <c r="D367" s="200" t="s">
        <v>4487</v>
      </c>
      <c r="E367" s="191">
        <v>1</v>
      </c>
      <c r="F367" s="190">
        <v>29694</v>
      </c>
      <c r="G367" s="191">
        <v>0.52900000000000003</v>
      </c>
    </row>
    <row r="368" spans="1:7" x14ac:dyDescent="0.2">
      <c r="A368" s="184"/>
      <c r="B368" s="185"/>
      <c r="C368" s="185"/>
      <c r="D368" s="181"/>
      <c r="E368" s="182"/>
      <c r="F368" s="183"/>
      <c r="G368" s="182"/>
    </row>
    <row r="369" spans="1:7" x14ac:dyDescent="0.2">
      <c r="A369" s="184" t="s">
        <v>4292</v>
      </c>
      <c r="B369" s="185" t="s">
        <v>4293</v>
      </c>
      <c r="C369" s="185" t="s">
        <v>4070</v>
      </c>
      <c r="D369" s="181">
        <v>416</v>
      </c>
      <c r="E369" s="182">
        <v>2.4508071167668198E-2</v>
      </c>
      <c r="F369" s="183"/>
      <c r="G369" s="182"/>
    </row>
    <row r="370" spans="1:7" x14ac:dyDescent="0.2">
      <c r="A370" s="184" t="s">
        <v>2318</v>
      </c>
      <c r="B370" s="185" t="s">
        <v>4294</v>
      </c>
      <c r="C370" s="185" t="s">
        <v>4056</v>
      </c>
      <c r="D370" s="181">
        <v>5182</v>
      </c>
      <c r="E370" s="182">
        <v>0.30529044420878992</v>
      </c>
      <c r="F370" s="183"/>
      <c r="G370" s="182"/>
    </row>
    <row r="371" spans="1:7" x14ac:dyDescent="0.2">
      <c r="A371" s="184" t="s">
        <v>2318</v>
      </c>
      <c r="B371" s="185" t="s">
        <v>4295</v>
      </c>
      <c r="C371" s="185" t="s">
        <v>4073</v>
      </c>
      <c r="D371" s="181">
        <v>276</v>
      </c>
      <c r="E371" s="182">
        <v>1.6260162601626018E-2</v>
      </c>
      <c r="F371" s="183"/>
      <c r="G371" s="182"/>
    </row>
    <row r="372" spans="1:7" x14ac:dyDescent="0.2">
      <c r="A372" s="184" t="s">
        <v>2318</v>
      </c>
      <c r="B372" s="186" t="s">
        <v>4296</v>
      </c>
      <c r="C372" s="186" t="s">
        <v>4057</v>
      </c>
      <c r="D372" s="203">
        <v>6284</v>
      </c>
      <c r="E372" s="192">
        <v>0.37021326735006482</v>
      </c>
      <c r="F372" s="183"/>
      <c r="G372" s="182"/>
    </row>
    <row r="373" spans="1:7" ht="13.5" thickBot="1" x14ac:dyDescent="0.25">
      <c r="A373" s="184" t="s">
        <v>2318</v>
      </c>
      <c r="B373" s="185" t="s">
        <v>4297</v>
      </c>
      <c r="C373" s="185" t="s">
        <v>4059</v>
      </c>
      <c r="D373" s="181">
        <v>4816</v>
      </c>
      <c r="E373" s="182">
        <v>0.28372805467185108</v>
      </c>
      <c r="F373" s="183"/>
      <c r="G373" s="182"/>
    </row>
    <row r="374" spans="1:7" ht="13.5" thickBot="1" x14ac:dyDescent="0.25">
      <c r="A374" s="184"/>
      <c r="B374" s="185"/>
      <c r="C374" s="185"/>
      <c r="D374" s="200" t="s">
        <v>4488</v>
      </c>
      <c r="E374" s="191">
        <v>1</v>
      </c>
      <c r="F374" s="190">
        <v>29733</v>
      </c>
      <c r="G374" s="191">
        <v>0.57199999999999995</v>
      </c>
    </row>
    <row r="375" spans="1:7" x14ac:dyDescent="0.2">
      <c r="A375" s="184"/>
      <c r="B375" s="185"/>
      <c r="C375" s="185"/>
      <c r="D375" s="181"/>
      <c r="E375" s="182"/>
      <c r="F375" s="183"/>
      <c r="G375" s="182"/>
    </row>
    <row r="376" spans="1:7" x14ac:dyDescent="0.2">
      <c r="A376" s="184" t="s">
        <v>4298</v>
      </c>
      <c r="B376" s="185" t="s">
        <v>3414</v>
      </c>
      <c r="C376" s="185" t="s">
        <v>4056</v>
      </c>
      <c r="D376" s="181">
        <v>5388</v>
      </c>
      <c r="E376" s="182">
        <v>0.33918791312559016</v>
      </c>
      <c r="F376" s="183"/>
      <c r="G376" s="182"/>
    </row>
    <row r="377" spans="1:7" x14ac:dyDescent="0.2">
      <c r="A377" s="184" t="s">
        <v>2318</v>
      </c>
      <c r="B377" s="185" t="s">
        <v>4299</v>
      </c>
      <c r="C377" s="185" t="s">
        <v>4059</v>
      </c>
      <c r="D377" s="181">
        <v>2927</v>
      </c>
      <c r="E377" s="182">
        <v>0.18426188227887944</v>
      </c>
      <c r="F377" s="183"/>
      <c r="G377" s="182"/>
    </row>
    <row r="378" spans="1:7" ht="13.5" thickBot="1" x14ac:dyDescent="0.25">
      <c r="A378" s="184" t="s">
        <v>2318</v>
      </c>
      <c r="B378" s="186" t="s">
        <v>3794</v>
      </c>
      <c r="C378" s="186" t="s">
        <v>4057</v>
      </c>
      <c r="D378" s="203">
        <v>7570</v>
      </c>
      <c r="E378" s="192">
        <v>0.47655020459553038</v>
      </c>
      <c r="F378" s="183"/>
      <c r="G378" s="182"/>
    </row>
    <row r="379" spans="1:7" ht="13.5" thickBot="1" x14ac:dyDescent="0.25">
      <c r="A379" s="184"/>
      <c r="B379" s="185"/>
      <c r="C379" s="185"/>
      <c r="D379" s="200" t="s">
        <v>4489</v>
      </c>
      <c r="E379" s="191">
        <v>1</v>
      </c>
      <c r="F379" s="190">
        <v>26861</v>
      </c>
      <c r="G379" s="191">
        <v>0.59299999999999997</v>
      </c>
    </row>
    <row r="380" spans="1:7" x14ac:dyDescent="0.2">
      <c r="A380" s="184"/>
      <c r="B380" s="185"/>
      <c r="C380" s="185"/>
      <c r="D380" s="181"/>
      <c r="E380" s="182"/>
      <c r="F380" s="183"/>
      <c r="G380" s="182"/>
    </row>
    <row r="381" spans="1:7" x14ac:dyDescent="0.2">
      <c r="A381" s="184" t="s">
        <v>4491</v>
      </c>
      <c r="B381" s="185" t="s">
        <v>4300</v>
      </c>
      <c r="C381" s="185" t="s">
        <v>4064</v>
      </c>
      <c r="D381" s="181">
        <v>204</v>
      </c>
      <c r="E381" s="182">
        <v>3.0325553738665082E-2</v>
      </c>
      <c r="F381" s="183"/>
      <c r="G381" s="182"/>
    </row>
    <row r="382" spans="1:7" x14ac:dyDescent="0.2">
      <c r="A382" s="184" t="s">
        <v>2318</v>
      </c>
      <c r="B382" s="186" t="s">
        <v>4301</v>
      </c>
      <c r="C382" s="186" t="s">
        <v>4057</v>
      </c>
      <c r="D382" s="203">
        <v>2950</v>
      </c>
      <c r="E382" s="192">
        <v>0.43853129180912742</v>
      </c>
      <c r="F382" s="183"/>
      <c r="G382" s="182"/>
    </row>
    <row r="383" spans="1:7" x14ac:dyDescent="0.2">
      <c r="A383" s="184" t="s">
        <v>2318</v>
      </c>
      <c r="B383" s="185" t="s">
        <v>4302</v>
      </c>
      <c r="C383" s="185" t="s">
        <v>4059</v>
      </c>
      <c r="D383" s="181">
        <v>2071</v>
      </c>
      <c r="E383" s="182">
        <v>0.3078638323175264</v>
      </c>
      <c r="F383" s="183"/>
      <c r="G383" s="182"/>
    </row>
    <row r="384" spans="1:7" ht="13.5" thickBot="1" x14ac:dyDescent="0.25">
      <c r="A384" s="184" t="s">
        <v>2318</v>
      </c>
      <c r="B384" s="185" t="s">
        <v>3892</v>
      </c>
      <c r="C384" s="185" t="s">
        <v>4056</v>
      </c>
      <c r="D384" s="181">
        <v>1502</v>
      </c>
      <c r="E384" s="182">
        <v>0.22327932213468113</v>
      </c>
      <c r="F384" s="183"/>
      <c r="G384" s="182"/>
    </row>
    <row r="385" spans="1:7" ht="13.5" thickBot="1" x14ac:dyDescent="0.25">
      <c r="A385" s="184"/>
      <c r="B385" s="185"/>
      <c r="C385" s="185"/>
      <c r="D385" s="200" t="s">
        <v>4490</v>
      </c>
      <c r="E385" s="191">
        <v>1</v>
      </c>
      <c r="F385" s="190">
        <v>13222</v>
      </c>
      <c r="G385" s="191">
        <v>0.51200000000000001</v>
      </c>
    </row>
    <row r="386" spans="1:7" x14ac:dyDescent="0.2">
      <c r="A386" s="184"/>
      <c r="B386" s="185"/>
      <c r="C386" s="185"/>
      <c r="D386" s="181"/>
      <c r="E386" s="182"/>
      <c r="F386" s="183"/>
      <c r="G386" s="182"/>
    </row>
    <row r="387" spans="1:7" x14ac:dyDescent="0.2">
      <c r="A387" s="184" t="s">
        <v>4492</v>
      </c>
      <c r="B387" s="185" t="s">
        <v>3894</v>
      </c>
      <c r="C387" s="185" t="s">
        <v>4056</v>
      </c>
      <c r="D387" s="181">
        <v>2486</v>
      </c>
      <c r="E387" s="182">
        <v>0.25947187141216993</v>
      </c>
      <c r="F387" s="183"/>
      <c r="G387" s="182"/>
    </row>
    <row r="388" spans="1:7" x14ac:dyDescent="0.2">
      <c r="A388" s="184" t="s">
        <v>2318</v>
      </c>
      <c r="B388" s="185" t="s">
        <v>4303</v>
      </c>
      <c r="C388" s="185" t="s">
        <v>4059</v>
      </c>
      <c r="D388" s="181">
        <v>2915</v>
      </c>
      <c r="E388" s="182">
        <v>0.30424799081515497</v>
      </c>
      <c r="F388" s="183"/>
      <c r="G388" s="182"/>
    </row>
    <row r="389" spans="1:7" x14ac:dyDescent="0.2">
      <c r="A389" s="184" t="s">
        <v>2318</v>
      </c>
      <c r="B389" s="185" t="s">
        <v>4304</v>
      </c>
      <c r="C389" s="185" t="s">
        <v>4064</v>
      </c>
      <c r="D389" s="181">
        <v>345</v>
      </c>
      <c r="E389" s="182">
        <v>3.6008767352050934E-2</v>
      </c>
      <c r="F389" s="183"/>
      <c r="G389" s="182"/>
    </row>
    <row r="390" spans="1:7" ht="13.5" thickBot="1" x14ac:dyDescent="0.25">
      <c r="A390" s="184" t="s">
        <v>2318</v>
      </c>
      <c r="B390" s="186" t="s">
        <v>4305</v>
      </c>
      <c r="C390" s="186" t="s">
        <v>4057</v>
      </c>
      <c r="D390" s="203">
        <v>3835</v>
      </c>
      <c r="E390" s="192">
        <v>0.40027137042062416</v>
      </c>
      <c r="F390" s="183"/>
      <c r="G390" s="182"/>
    </row>
    <row r="391" spans="1:7" ht="13.5" thickBot="1" x14ac:dyDescent="0.25">
      <c r="A391" s="184"/>
      <c r="B391" s="185"/>
      <c r="C391" s="185"/>
      <c r="D391" s="200" t="s">
        <v>4493</v>
      </c>
      <c r="E391" s="191">
        <v>1</v>
      </c>
      <c r="F391" s="190">
        <v>22940</v>
      </c>
      <c r="G391" s="191">
        <v>0.41899999999999998</v>
      </c>
    </row>
    <row r="392" spans="1:7" x14ac:dyDescent="0.2">
      <c r="A392" s="184"/>
      <c r="B392" s="185"/>
      <c r="C392" s="185"/>
      <c r="D392" s="181"/>
      <c r="E392" s="182"/>
      <c r="F392" s="183"/>
      <c r="G392" s="182"/>
    </row>
    <row r="393" spans="1:7" x14ac:dyDescent="0.2">
      <c r="A393" s="184" t="s">
        <v>4306</v>
      </c>
      <c r="B393" s="185" t="s">
        <v>4307</v>
      </c>
      <c r="C393" s="185" t="s">
        <v>4073</v>
      </c>
      <c r="D393" s="181">
        <v>285</v>
      </c>
      <c r="E393" s="182">
        <v>1.4575768424282719E-2</v>
      </c>
      <c r="F393" s="183"/>
      <c r="G393" s="182"/>
    </row>
    <row r="394" spans="1:7" x14ac:dyDescent="0.2">
      <c r="A394" s="184" t="s">
        <v>2318</v>
      </c>
      <c r="B394" s="185" t="s">
        <v>4308</v>
      </c>
      <c r="C394" s="185" t="s">
        <v>4070</v>
      </c>
      <c r="D394" s="181">
        <v>324</v>
      </c>
      <c r="E394" s="182">
        <v>1.6570347261289829E-2</v>
      </c>
      <c r="F394" s="183"/>
      <c r="G394" s="182"/>
    </row>
    <row r="395" spans="1:7" x14ac:dyDescent="0.2">
      <c r="A395" s="184" t="s">
        <v>2318</v>
      </c>
      <c r="B395" s="185" t="s">
        <v>3899</v>
      </c>
      <c r="C395" s="185" t="s">
        <v>4056</v>
      </c>
      <c r="D395" s="181">
        <v>5527</v>
      </c>
      <c r="E395" s="182">
        <v>0.28266762133687923</v>
      </c>
      <c r="F395" s="183"/>
      <c r="G395" s="182"/>
    </row>
    <row r="396" spans="1:7" x14ac:dyDescent="0.2">
      <c r="A396" s="184" t="s">
        <v>2318</v>
      </c>
      <c r="B396" s="185" t="s">
        <v>4309</v>
      </c>
      <c r="C396" s="185" t="s">
        <v>4057</v>
      </c>
      <c r="D396" s="181">
        <v>3959</v>
      </c>
      <c r="E396" s="182">
        <v>0.20247532347977293</v>
      </c>
      <c r="F396" s="183"/>
      <c r="G396" s="182"/>
    </row>
    <row r="397" spans="1:7" x14ac:dyDescent="0.2">
      <c r="A397" s="184" t="s">
        <v>2318</v>
      </c>
      <c r="B397" s="186" t="s">
        <v>4310</v>
      </c>
      <c r="C397" s="186" t="s">
        <v>4059</v>
      </c>
      <c r="D397" s="203">
        <v>8983</v>
      </c>
      <c r="E397" s="192">
        <v>0.45941799212397072</v>
      </c>
      <c r="F397" s="183"/>
      <c r="G397" s="182"/>
    </row>
    <row r="398" spans="1:7" ht="13.5" thickBot="1" x14ac:dyDescent="0.25">
      <c r="A398" s="184" t="s">
        <v>2318</v>
      </c>
      <c r="B398" s="185" t="s">
        <v>3008</v>
      </c>
      <c r="C398" s="185" t="s">
        <v>4064</v>
      </c>
      <c r="D398" s="181">
        <v>475</v>
      </c>
      <c r="E398" s="182">
        <v>2.4292947373804531E-2</v>
      </c>
      <c r="F398" s="183"/>
      <c r="G398" s="182"/>
    </row>
    <row r="399" spans="1:7" ht="13.5" thickBot="1" x14ac:dyDescent="0.25">
      <c r="A399" s="184"/>
      <c r="B399" s="185"/>
      <c r="C399" s="185"/>
      <c r="D399" s="200" t="s">
        <v>4494</v>
      </c>
      <c r="E399" s="191">
        <v>1</v>
      </c>
      <c r="F399" s="190">
        <v>36515</v>
      </c>
      <c r="G399" s="191">
        <v>0.53800000000000003</v>
      </c>
    </row>
    <row r="400" spans="1:7" x14ac:dyDescent="0.2">
      <c r="A400" s="184"/>
      <c r="B400" s="185"/>
      <c r="C400" s="185"/>
      <c r="D400" s="181"/>
      <c r="E400" s="182"/>
      <c r="F400" s="183"/>
      <c r="G400" s="182"/>
    </row>
    <row r="401" spans="1:7" x14ac:dyDescent="0.2">
      <c r="A401" s="184" t="s">
        <v>4311</v>
      </c>
      <c r="B401" s="186" t="s">
        <v>3504</v>
      </c>
      <c r="C401" s="186" t="s">
        <v>4057</v>
      </c>
      <c r="D401" s="203">
        <v>5343</v>
      </c>
      <c r="E401" s="192">
        <v>0.33171912832929784</v>
      </c>
      <c r="F401" s="183"/>
      <c r="G401" s="182"/>
    </row>
    <row r="402" spans="1:7" x14ac:dyDescent="0.2">
      <c r="A402" s="184" t="s">
        <v>2318</v>
      </c>
      <c r="B402" s="185" t="s">
        <v>3904</v>
      </c>
      <c r="C402" s="185" t="s">
        <v>4056</v>
      </c>
      <c r="D402" s="181">
        <v>4968</v>
      </c>
      <c r="E402" s="182">
        <v>0.30843732538647795</v>
      </c>
      <c r="F402" s="183"/>
      <c r="G402" s="182"/>
    </row>
    <row r="403" spans="1:7" x14ac:dyDescent="0.2">
      <c r="A403" s="184" t="s">
        <v>2318</v>
      </c>
      <c r="B403" s="185" t="s">
        <v>3905</v>
      </c>
      <c r="C403" s="185" t="s">
        <v>4064</v>
      </c>
      <c r="D403" s="181">
        <v>787</v>
      </c>
      <c r="E403" s="182">
        <v>4.8860743775998014E-2</v>
      </c>
      <c r="F403" s="183"/>
      <c r="G403" s="182"/>
    </row>
    <row r="404" spans="1:7" ht="13.5" thickBot="1" x14ac:dyDescent="0.25">
      <c r="A404" s="184" t="s">
        <v>2318</v>
      </c>
      <c r="B404" s="185" t="s">
        <v>4312</v>
      </c>
      <c r="C404" s="185" t="s">
        <v>4059</v>
      </c>
      <c r="D404" s="181">
        <v>5009</v>
      </c>
      <c r="E404" s="182">
        <v>0.31098280250822624</v>
      </c>
      <c r="F404" s="183"/>
      <c r="G404" s="182"/>
    </row>
    <row r="405" spans="1:7" ht="13.5" thickBot="1" x14ac:dyDescent="0.25">
      <c r="A405" s="184"/>
      <c r="B405" s="185"/>
      <c r="C405" s="185"/>
      <c r="D405" s="200" t="s">
        <v>4495</v>
      </c>
      <c r="E405" s="191">
        <v>1</v>
      </c>
      <c r="F405" s="190">
        <v>32930</v>
      </c>
      <c r="G405" s="191">
        <v>0.49</v>
      </c>
    </row>
    <row r="406" spans="1:7" x14ac:dyDescent="0.2">
      <c r="A406" s="184"/>
      <c r="B406" s="185"/>
      <c r="C406" s="185"/>
      <c r="D406" s="181"/>
      <c r="E406" s="182"/>
      <c r="F406" s="183"/>
      <c r="G406" s="182"/>
    </row>
    <row r="407" spans="1:7" x14ac:dyDescent="0.2">
      <c r="A407" s="184" t="s">
        <v>4313</v>
      </c>
      <c r="B407" s="185" t="s">
        <v>3903</v>
      </c>
      <c r="C407" s="185" t="s">
        <v>4059</v>
      </c>
      <c r="D407" s="181">
        <v>5062</v>
      </c>
      <c r="E407" s="182">
        <v>0.28902592211944728</v>
      </c>
      <c r="F407" s="183"/>
      <c r="G407" s="182"/>
    </row>
    <row r="408" spans="1:7" x14ac:dyDescent="0.2">
      <c r="A408" s="184" t="s">
        <v>2318</v>
      </c>
      <c r="B408" s="186" t="s">
        <v>3509</v>
      </c>
      <c r="C408" s="186" t="s">
        <v>4056</v>
      </c>
      <c r="D408" s="203">
        <v>6229</v>
      </c>
      <c r="E408" s="192">
        <v>0.35565833047847434</v>
      </c>
      <c r="F408" s="183"/>
      <c r="G408" s="182"/>
    </row>
    <row r="409" spans="1:7" x14ac:dyDescent="0.2">
      <c r="A409" s="184" t="s">
        <v>2318</v>
      </c>
      <c r="B409" s="185" t="s">
        <v>4314</v>
      </c>
      <c r="C409" s="185" t="s">
        <v>4057</v>
      </c>
      <c r="D409" s="181">
        <v>4175</v>
      </c>
      <c r="E409" s="182">
        <v>0.23838072399223478</v>
      </c>
      <c r="F409" s="183"/>
      <c r="G409" s="182"/>
    </row>
    <row r="410" spans="1:7" ht="13.5" thickBot="1" x14ac:dyDescent="0.25">
      <c r="A410" s="184" t="s">
        <v>2318</v>
      </c>
      <c r="B410" s="185" t="s">
        <v>4315</v>
      </c>
      <c r="C410" s="185" t="s">
        <v>4070</v>
      </c>
      <c r="D410" s="181">
        <v>2048</v>
      </c>
      <c r="E410" s="182">
        <v>0.11693502340984355</v>
      </c>
      <c r="F410" s="183"/>
      <c r="G410" s="182"/>
    </row>
    <row r="411" spans="1:7" ht="13.5" thickBot="1" x14ac:dyDescent="0.25">
      <c r="A411" s="184"/>
      <c r="B411" s="185"/>
      <c r="C411" s="185"/>
      <c r="D411" s="200" t="s">
        <v>4496</v>
      </c>
      <c r="E411" s="191">
        <v>0.99999999999999989</v>
      </c>
      <c r="F411" s="190">
        <v>33349</v>
      </c>
      <c r="G411" s="191">
        <v>0.52600000000000002</v>
      </c>
    </row>
    <row r="412" spans="1:7" x14ac:dyDescent="0.2">
      <c r="A412" s="184"/>
      <c r="B412" s="185"/>
      <c r="C412" s="185"/>
      <c r="D412" s="181"/>
      <c r="E412" s="182"/>
      <c r="F412" s="183"/>
      <c r="G412" s="182"/>
    </row>
    <row r="413" spans="1:7" x14ac:dyDescent="0.2">
      <c r="A413" s="184" t="s">
        <v>4316</v>
      </c>
      <c r="B413" s="186" t="s">
        <v>3713</v>
      </c>
      <c r="C413" s="186" t="s">
        <v>4057</v>
      </c>
      <c r="D413" s="203">
        <v>8504</v>
      </c>
      <c r="E413" s="192">
        <v>0.41068237793982709</v>
      </c>
      <c r="F413" s="183"/>
      <c r="G413" s="182"/>
    </row>
    <row r="414" spans="1:7" x14ac:dyDescent="0.2">
      <c r="A414" s="184" t="s">
        <v>2318</v>
      </c>
      <c r="B414" s="185" t="s">
        <v>4317</v>
      </c>
      <c r="C414" s="185" t="s">
        <v>4073</v>
      </c>
      <c r="D414" s="181">
        <v>360</v>
      </c>
      <c r="E414" s="182">
        <v>1.7385425218525135E-2</v>
      </c>
      <c r="F414" s="183"/>
      <c r="G414" s="182"/>
    </row>
    <row r="415" spans="1:7" x14ac:dyDescent="0.2">
      <c r="A415" s="184" t="s">
        <v>2318</v>
      </c>
      <c r="B415" s="185" t="s">
        <v>4318</v>
      </c>
      <c r="C415" s="185" t="s">
        <v>4056</v>
      </c>
      <c r="D415" s="181">
        <v>6827</v>
      </c>
      <c r="E415" s="182">
        <v>0.3296952721301975</v>
      </c>
      <c r="F415" s="183"/>
      <c r="G415" s="182"/>
    </row>
    <row r="416" spans="1:7" x14ac:dyDescent="0.2">
      <c r="A416" s="184" t="s">
        <v>2318</v>
      </c>
      <c r="B416" s="185" t="s">
        <v>4319</v>
      </c>
      <c r="C416" s="185" t="s">
        <v>4100</v>
      </c>
      <c r="D416" s="181">
        <v>187</v>
      </c>
      <c r="E416" s="182">
        <v>9.030762544067223E-3</v>
      </c>
      <c r="F416" s="183"/>
      <c r="G416" s="182"/>
    </row>
    <row r="417" spans="1:7" x14ac:dyDescent="0.2">
      <c r="A417" s="184" t="s">
        <v>2318</v>
      </c>
      <c r="B417" s="185" t="s">
        <v>4320</v>
      </c>
      <c r="C417" s="185" t="s">
        <v>4059</v>
      </c>
      <c r="D417" s="181">
        <v>3937</v>
      </c>
      <c r="E417" s="182">
        <v>0.19012894190370405</v>
      </c>
      <c r="F417" s="183"/>
      <c r="G417" s="182"/>
    </row>
    <row r="418" spans="1:7" ht="13.5" thickBot="1" x14ac:dyDescent="0.25">
      <c r="A418" s="184" t="s">
        <v>2318</v>
      </c>
      <c r="B418" s="185" t="s">
        <v>4321</v>
      </c>
      <c r="C418" s="185" t="s">
        <v>4070</v>
      </c>
      <c r="D418" s="181">
        <v>892</v>
      </c>
      <c r="E418" s="182">
        <v>4.3077220263678946E-2</v>
      </c>
      <c r="F418" s="183"/>
      <c r="G418" s="182"/>
    </row>
    <row r="419" spans="1:7" ht="13.5" thickBot="1" x14ac:dyDescent="0.25">
      <c r="A419" s="184"/>
      <c r="B419" s="185"/>
      <c r="C419" s="185"/>
      <c r="D419" s="200" t="s">
        <v>4497</v>
      </c>
      <c r="E419" s="191">
        <v>1</v>
      </c>
      <c r="F419" s="190">
        <v>37239</v>
      </c>
      <c r="G419" s="191">
        <v>0.55800000000000005</v>
      </c>
    </row>
    <row r="420" spans="1:7" x14ac:dyDescent="0.2">
      <c r="A420" s="184"/>
      <c r="B420" s="185"/>
      <c r="C420" s="185"/>
      <c r="D420" s="181"/>
      <c r="E420" s="182"/>
      <c r="F420" s="183"/>
      <c r="G420" s="182"/>
    </row>
    <row r="421" spans="1:7" x14ac:dyDescent="0.2">
      <c r="A421" s="184" t="s">
        <v>4322</v>
      </c>
      <c r="B421" s="185" t="s">
        <v>3918</v>
      </c>
      <c r="C421" s="185" t="s">
        <v>4070</v>
      </c>
      <c r="D421" s="181">
        <v>1135</v>
      </c>
      <c r="E421" s="182">
        <v>6.1873092019188836E-2</v>
      </c>
      <c r="F421" s="183"/>
      <c r="G421" s="182"/>
    </row>
    <row r="422" spans="1:7" x14ac:dyDescent="0.2">
      <c r="A422" s="184" t="s">
        <v>2318</v>
      </c>
      <c r="B422" s="186" t="s">
        <v>4323</v>
      </c>
      <c r="C422" s="186" t="s">
        <v>4057</v>
      </c>
      <c r="D422" s="203">
        <v>7829</v>
      </c>
      <c r="E422" s="192">
        <v>0.42678805058874836</v>
      </c>
      <c r="F422" s="183"/>
      <c r="G422" s="182"/>
    </row>
    <row r="423" spans="1:7" x14ac:dyDescent="0.2">
      <c r="A423" s="184" t="s">
        <v>2318</v>
      </c>
      <c r="B423" s="185" t="s">
        <v>3919</v>
      </c>
      <c r="C423" s="185" t="s">
        <v>4059</v>
      </c>
      <c r="D423" s="181">
        <v>4244</v>
      </c>
      <c r="E423" s="182">
        <v>0.23135630178805058</v>
      </c>
      <c r="F423" s="183"/>
      <c r="G423" s="182"/>
    </row>
    <row r="424" spans="1:7" ht="13.5" thickBot="1" x14ac:dyDescent="0.25">
      <c r="A424" s="184" t="s">
        <v>2318</v>
      </c>
      <c r="B424" s="185" t="s">
        <v>3920</v>
      </c>
      <c r="C424" s="185" t="s">
        <v>4056</v>
      </c>
      <c r="D424" s="181">
        <v>5136</v>
      </c>
      <c r="E424" s="182">
        <v>0.2799825556040122</v>
      </c>
      <c r="F424" s="183"/>
      <c r="G424" s="182"/>
    </row>
    <row r="425" spans="1:7" ht="13.5" thickBot="1" x14ac:dyDescent="0.25">
      <c r="A425" s="184"/>
      <c r="B425" s="185"/>
      <c r="C425" s="185"/>
      <c r="D425" s="200" t="s">
        <v>4498</v>
      </c>
      <c r="E425" s="191">
        <v>1</v>
      </c>
      <c r="F425" s="190">
        <v>33227</v>
      </c>
      <c r="G425" s="191">
        <v>0.55400000000000005</v>
      </c>
    </row>
    <row r="426" spans="1:7" x14ac:dyDescent="0.2">
      <c r="A426" s="184"/>
      <c r="B426" s="185"/>
      <c r="C426" s="185"/>
      <c r="D426" s="181"/>
      <c r="E426" s="182"/>
      <c r="F426" s="183"/>
      <c r="G426" s="182"/>
    </row>
    <row r="427" spans="1:7" x14ac:dyDescent="0.2">
      <c r="A427" s="184" t="s">
        <v>4324</v>
      </c>
      <c r="B427" s="185" t="s">
        <v>4325</v>
      </c>
      <c r="C427" s="185" t="s">
        <v>4073</v>
      </c>
      <c r="D427" s="181">
        <v>339</v>
      </c>
      <c r="E427" s="182">
        <v>2.7516233766233765E-2</v>
      </c>
      <c r="F427" s="183"/>
      <c r="G427" s="182"/>
    </row>
    <row r="428" spans="1:7" x14ac:dyDescent="0.2">
      <c r="A428" s="184" t="s">
        <v>2318</v>
      </c>
      <c r="B428" s="186" t="s">
        <v>4326</v>
      </c>
      <c r="C428" s="186" t="s">
        <v>4057</v>
      </c>
      <c r="D428" s="203">
        <v>4763</v>
      </c>
      <c r="E428" s="192">
        <v>0.38660714285714287</v>
      </c>
      <c r="F428" s="183"/>
      <c r="G428" s="182"/>
    </row>
    <row r="429" spans="1:7" x14ac:dyDescent="0.2">
      <c r="A429" s="184" t="s">
        <v>2318</v>
      </c>
      <c r="B429" s="185" t="s">
        <v>4327</v>
      </c>
      <c r="C429" s="185" t="s">
        <v>4059</v>
      </c>
      <c r="D429" s="181">
        <v>4214</v>
      </c>
      <c r="E429" s="182">
        <v>0.34204545454545454</v>
      </c>
      <c r="F429" s="183"/>
      <c r="G429" s="182"/>
    </row>
    <row r="430" spans="1:7" ht="13.5" thickBot="1" x14ac:dyDescent="0.25">
      <c r="A430" s="184" t="s">
        <v>2318</v>
      </c>
      <c r="B430" s="185" t="s">
        <v>4328</v>
      </c>
      <c r="C430" s="185" t="s">
        <v>4056</v>
      </c>
      <c r="D430" s="181">
        <v>3004</v>
      </c>
      <c r="E430" s="182">
        <v>0.24383116883116884</v>
      </c>
      <c r="F430" s="183"/>
      <c r="G430" s="182"/>
    </row>
    <row r="431" spans="1:7" ht="13.5" thickBot="1" x14ac:dyDescent="0.25">
      <c r="A431" s="184"/>
      <c r="B431" s="185"/>
      <c r="C431" s="185"/>
      <c r="D431" s="200" t="s">
        <v>4499</v>
      </c>
      <c r="E431" s="191">
        <v>1</v>
      </c>
      <c r="F431" s="190">
        <v>23476</v>
      </c>
      <c r="G431" s="191">
        <v>0.52700000000000002</v>
      </c>
    </row>
    <row r="432" spans="1:7" x14ac:dyDescent="0.2">
      <c r="A432" s="184"/>
      <c r="B432" s="185"/>
      <c r="C432" s="185"/>
      <c r="D432" s="181"/>
      <c r="E432" s="182"/>
      <c r="F432" s="183"/>
      <c r="G432" s="182"/>
    </row>
    <row r="433" spans="1:7" x14ac:dyDescent="0.2">
      <c r="A433" s="184" t="s">
        <v>4329</v>
      </c>
      <c r="B433" s="185" t="s">
        <v>4330</v>
      </c>
      <c r="C433" s="185" t="s">
        <v>4056</v>
      </c>
      <c r="D433" s="181">
        <v>5018</v>
      </c>
      <c r="E433" s="182">
        <v>0.27560828252869773</v>
      </c>
      <c r="F433" s="183"/>
      <c r="G433" s="182"/>
    </row>
    <row r="434" spans="1:7" x14ac:dyDescent="0.2">
      <c r="A434" s="184" t="s">
        <v>2318</v>
      </c>
      <c r="B434" s="185" t="s">
        <v>2523</v>
      </c>
      <c r="C434" s="185" t="s">
        <v>4059</v>
      </c>
      <c r="D434" s="181">
        <v>5481</v>
      </c>
      <c r="E434" s="182">
        <v>0.30103806228373703</v>
      </c>
      <c r="F434" s="183"/>
      <c r="G434" s="182"/>
    </row>
    <row r="435" spans="1:7" x14ac:dyDescent="0.2">
      <c r="A435" s="184" t="s">
        <v>2318</v>
      </c>
      <c r="B435" s="185" t="s">
        <v>3930</v>
      </c>
      <c r="C435" s="185" t="s">
        <v>4070</v>
      </c>
      <c r="D435" s="181">
        <v>1206</v>
      </c>
      <c r="E435" s="182">
        <v>6.6238260009886307E-2</v>
      </c>
      <c r="F435" s="183"/>
      <c r="G435" s="182"/>
    </row>
    <row r="436" spans="1:7" ht="13.5" thickBot="1" x14ac:dyDescent="0.25">
      <c r="A436" s="184" t="s">
        <v>2318</v>
      </c>
      <c r="B436" s="186" t="s">
        <v>4331</v>
      </c>
      <c r="C436" s="186" t="s">
        <v>4057</v>
      </c>
      <c r="D436" s="203">
        <v>6502</v>
      </c>
      <c r="E436" s="192">
        <v>0.35711539517767893</v>
      </c>
      <c r="F436" s="183"/>
      <c r="G436" s="182"/>
    </row>
    <row r="437" spans="1:7" ht="13.5" thickBot="1" x14ac:dyDescent="0.25">
      <c r="A437" s="184"/>
      <c r="B437" s="185"/>
      <c r="C437" s="185"/>
      <c r="D437" s="200" t="s">
        <v>4500</v>
      </c>
      <c r="E437" s="191">
        <v>1</v>
      </c>
      <c r="F437" s="190">
        <v>30827</v>
      </c>
      <c r="G437" s="191">
        <v>0.59299999999999997</v>
      </c>
    </row>
    <row r="438" spans="1:7" x14ac:dyDescent="0.2">
      <c r="A438" s="184"/>
      <c r="B438" s="185"/>
      <c r="C438" s="185"/>
      <c r="D438" s="181"/>
      <c r="E438" s="182"/>
      <c r="F438" s="183"/>
      <c r="G438" s="182"/>
    </row>
    <row r="439" spans="1:7" x14ac:dyDescent="0.2">
      <c r="A439" s="184" t="s">
        <v>4332</v>
      </c>
      <c r="B439" s="186" t="s">
        <v>4333</v>
      </c>
      <c r="C439" s="186" t="s">
        <v>4059</v>
      </c>
      <c r="D439" s="203">
        <v>8321</v>
      </c>
      <c r="E439" s="192">
        <v>0.37819289155531316</v>
      </c>
      <c r="F439" s="183"/>
      <c r="G439" s="182"/>
    </row>
    <row r="440" spans="1:7" x14ac:dyDescent="0.2">
      <c r="A440" s="184" t="s">
        <v>2318</v>
      </c>
      <c r="B440" s="185" t="s">
        <v>4334</v>
      </c>
      <c r="C440" s="185" t="s">
        <v>4073</v>
      </c>
      <c r="D440" s="181">
        <v>301</v>
      </c>
      <c r="E440" s="182">
        <v>1.3680574493227888E-2</v>
      </c>
      <c r="F440" s="183"/>
      <c r="G440" s="182"/>
    </row>
    <row r="441" spans="1:7" x14ac:dyDescent="0.2">
      <c r="A441" s="184" t="s">
        <v>2318</v>
      </c>
      <c r="B441" s="185" t="s">
        <v>4335</v>
      </c>
      <c r="C441" s="185" t="s">
        <v>4070</v>
      </c>
      <c r="D441" s="181">
        <v>612</v>
      </c>
      <c r="E441" s="182">
        <v>2.7815653122443416E-2</v>
      </c>
      <c r="F441" s="183"/>
      <c r="G441" s="182"/>
    </row>
    <row r="442" spans="1:7" x14ac:dyDescent="0.2">
      <c r="A442" s="184" t="s">
        <v>2318</v>
      </c>
      <c r="B442" s="185" t="s">
        <v>2695</v>
      </c>
      <c r="C442" s="185" t="s">
        <v>4056</v>
      </c>
      <c r="D442" s="181">
        <v>6225</v>
      </c>
      <c r="E442" s="182">
        <v>0.28292882465230434</v>
      </c>
      <c r="F442" s="183"/>
      <c r="G442" s="182"/>
    </row>
    <row r="443" spans="1:7" ht="13.5" thickBot="1" x14ac:dyDescent="0.25">
      <c r="A443" s="184" t="s">
        <v>2318</v>
      </c>
      <c r="B443" s="185" t="s">
        <v>4336</v>
      </c>
      <c r="C443" s="185" t="s">
        <v>4057</v>
      </c>
      <c r="D443" s="181">
        <v>6543</v>
      </c>
      <c r="E443" s="182">
        <v>0.29738205617671121</v>
      </c>
      <c r="F443" s="183"/>
      <c r="G443" s="182"/>
    </row>
    <row r="444" spans="1:7" ht="13.5" thickBot="1" x14ac:dyDescent="0.25">
      <c r="A444" s="184"/>
      <c r="B444" s="185"/>
      <c r="C444" s="185"/>
      <c r="D444" s="200" t="s">
        <v>4501</v>
      </c>
      <c r="E444" s="191">
        <v>1</v>
      </c>
      <c r="F444" s="190">
        <v>37889</v>
      </c>
      <c r="G444" s="191">
        <v>0.58299999999999996</v>
      </c>
    </row>
    <row r="445" spans="1:7" x14ac:dyDescent="0.2">
      <c r="A445" s="184"/>
      <c r="B445" s="185"/>
      <c r="C445" s="185"/>
      <c r="D445" s="181"/>
      <c r="E445" s="182"/>
      <c r="F445" s="183"/>
      <c r="G445" s="182"/>
    </row>
    <row r="446" spans="1:7" x14ac:dyDescent="0.2">
      <c r="A446" s="184" t="s">
        <v>4337</v>
      </c>
      <c r="B446" s="186" t="s">
        <v>4338</v>
      </c>
      <c r="C446" s="186" t="s">
        <v>4059</v>
      </c>
      <c r="D446" s="203">
        <v>8918</v>
      </c>
      <c r="E446" s="192">
        <v>0.47486687965921193</v>
      </c>
      <c r="F446" s="183"/>
      <c r="G446" s="182"/>
    </row>
    <row r="447" spans="1:7" x14ac:dyDescent="0.2">
      <c r="A447" s="184" t="s">
        <v>2318</v>
      </c>
      <c r="B447" s="185" t="s">
        <v>4339</v>
      </c>
      <c r="C447" s="185" t="s">
        <v>4056</v>
      </c>
      <c r="D447" s="181">
        <v>4743</v>
      </c>
      <c r="E447" s="182">
        <v>0.25255591054313098</v>
      </c>
      <c r="F447" s="183"/>
      <c r="G447" s="182"/>
    </row>
    <row r="448" spans="1:7" x14ac:dyDescent="0.2">
      <c r="A448" s="184" t="s">
        <v>2318</v>
      </c>
      <c r="B448" s="185" t="s">
        <v>3939</v>
      </c>
      <c r="C448" s="185" t="s">
        <v>4057</v>
      </c>
      <c r="D448" s="181">
        <v>3918</v>
      </c>
      <c r="E448" s="182">
        <v>0.20862619808306709</v>
      </c>
      <c r="F448" s="183"/>
      <c r="G448" s="182"/>
    </row>
    <row r="449" spans="1:7" ht="13.5" thickBot="1" x14ac:dyDescent="0.25">
      <c r="A449" s="184" t="s">
        <v>2318</v>
      </c>
      <c r="B449" s="185" t="s">
        <v>4340</v>
      </c>
      <c r="C449" s="185" t="s">
        <v>4064</v>
      </c>
      <c r="D449" s="181">
        <v>1201</v>
      </c>
      <c r="E449" s="182">
        <v>6.3951011714589986E-2</v>
      </c>
      <c r="F449" s="183"/>
      <c r="G449" s="182"/>
    </row>
    <row r="450" spans="1:7" ht="13.5" thickBot="1" x14ac:dyDescent="0.25">
      <c r="A450" s="184"/>
      <c r="B450" s="185"/>
      <c r="C450" s="185"/>
      <c r="D450" s="200" t="s">
        <v>4502</v>
      </c>
      <c r="E450" s="191">
        <v>0.99999999999999989</v>
      </c>
      <c r="F450" s="190">
        <v>32483</v>
      </c>
      <c r="G450" s="191">
        <v>0.57899999999999996</v>
      </c>
    </row>
    <row r="451" spans="1:7" x14ac:dyDescent="0.2">
      <c r="A451" s="184"/>
      <c r="B451" s="185"/>
      <c r="C451" s="185"/>
      <c r="D451" s="181"/>
      <c r="E451" s="182"/>
      <c r="F451" s="183"/>
      <c r="G451" s="182"/>
    </row>
    <row r="452" spans="1:7" x14ac:dyDescent="0.2">
      <c r="A452" s="184" t="s">
        <v>4341</v>
      </c>
      <c r="B452" s="185" t="s">
        <v>4342</v>
      </c>
      <c r="C452" s="185" t="s">
        <v>4057</v>
      </c>
      <c r="D452" s="181">
        <v>3063</v>
      </c>
      <c r="E452" s="182">
        <v>0.16310772671601256</v>
      </c>
      <c r="F452" s="183"/>
      <c r="G452" s="182"/>
    </row>
    <row r="453" spans="1:7" x14ac:dyDescent="0.2">
      <c r="A453" s="184" t="s">
        <v>2318</v>
      </c>
      <c r="B453" s="186" t="s">
        <v>3941</v>
      </c>
      <c r="C453" s="186" t="s">
        <v>4059</v>
      </c>
      <c r="D453" s="203">
        <v>11144</v>
      </c>
      <c r="E453" s="192">
        <v>0.59342883007614888</v>
      </c>
      <c r="F453" s="183"/>
      <c r="G453" s="182"/>
    </row>
    <row r="454" spans="1:7" x14ac:dyDescent="0.2">
      <c r="A454" s="184" t="s">
        <v>2318</v>
      </c>
      <c r="B454" s="185" t="s">
        <v>4343</v>
      </c>
      <c r="C454" s="185" t="s">
        <v>4064</v>
      </c>
      <c r="D454" s="181">
        <v>634</v>
      </c>
      <c r="E454" s="182">
        <v>3.3761116140369564E-2</v>
      </c>
      <c r="F454" s="183"/>
      <c r="G454" s="182"/>
    </row>
    <row r="455" spans="1:7" ht="13.5" thickBot="1" x14ac:dyDescent="0.25">
      <c r="A455" s="184" t="s">
        <v>2318</v>
      </c>
      <c r="B455" s="185" t="s">
        <v>3544</v>
      </c>
      <c r="C455" s="185" t="s">
        <v>4056</v>
      </c>
      <c r="D455" s="181">
        <v>3938</v>
      </c>
      <c r="E455" s="182">
        <v>0.20970232706746897</v>
      </c>
      <c r="F455" s="183"/>
      <c r="G455" s="182"/>
    </row>
    <row r="456" spans="1:7" ht="13.5" thickBot="1" x14ac:dyDescent="0.25">
      <c r="A456" s="184"/>
      <c r="B456" s="185"/>
      <c r="C456" s="185"/>
      <c r="D456" s="200" t="s">
        <v>4503</v>
      </c>
      <c r="E456" s="191">
        <v>1</v>
      </c>
      <c r="F456" s="190">
        <v>30283</v>
      </c>
      <c r="G456" s="191">
        <v>0.625</v>
      </c>
    </row>
    <row r="457" spans="1:7" x14ac:dyDescent="0.2">
      <c r="A457" s="184"/>
      <c r="B457" s="185"/>
      <c r="C457" s="185"/>
      <c r="D457" s="181"/>
      <c r="E457" s="182"/>
      <c r="F457" s="183"/>
      <c r="G457" s="182"/>
    </row>
    <row r="458" spans="1:7" x14ac:dyDescent="0.2">
      <c r="A458" s="184" t="s">
        <v>4344</v>
      </c>
      <c r="B458" s="185" t="s">
        <v>3944</v>
      </c>
      <c r="C458" s="185" t="s">
        <v>4056</v>
      </c>
      <c r="D458" s="181">
        <v>4793</v>
      </c>
      <c r="E458" s="182">
        <v>0.3527896363904019</v>
      </c>
      <c r="F458" s="183"/>
      <c r="G458" s="182"/>
    </row>
    <row r="459" spans="1:7" x14ac:dyDescent="0.2">
      <c r="A459" s="184" t="s">
        <v>2318</v>
      </c>
      <c r="B459" s="185" t="s">
        <v>3538</v>
      </c>
      <c r="C459" s="185" t="s">
        <v>4064</v>
      </c>
      <c r="D459" s="181">
        <v>377</v>
      </c>
      <c r="E459" s="182">
        <v>2.7749153540409244E-2</v>
      </c>
      <c r="F459" s="183"/>
      <c r="G459" s="182"/>
    </row>
    <row r="460" spans="1:7" x14ac:dyDescent="0.2">
      <c r="A460" s="184" t="s">
        <v>2318</v>
      </c>
      <c r="B460" s="185" t="s">
        <v>3946</v>
      </c>
      <c r="C460" s="185" t="s">
        <v>4059</v>
      </c>
      <c r="D460" s="181">
        <v>3364</v>
      </c>
      <c r="E460" s="182">
        <v>0.24760783159134403</v>
      </c>
      <c r="F460" s="183"/>
      <c r="G460" s="182"/>
    </row>
    <row r="461" spans="1:7" x14ac:dyDescent="0.2">
      <c r="A461" s="184" t="s">
        <v>2318</v>
      </c>
      <c r="B461" s="186" t="s">
        <v>4345</v>
      </c>
      <c r="C461" s="186" t="s">
        <v>4057</v>
      </c>
      <c r="D461" s="203">
        <v>4803</v>
      </c>
      <c r="E461" s="192">
        <v>0.35352568820844987</v>
      </c>
      <c r="F461" s="183"/>
      <c r="G461" s="182"/>
    </row>
    <row r="462" spans="1:7" ht="13.5" thickBot="1" x14ac:dyDescent="0.25">
      <c r="A462" s="184" t="s">
        <v>2318</v>
      </c>
      <c r="B462" s="185" t="s">
        <v>4346</v>
      </c>
      <c r="C462" s="185" t="s">
        <v>4100</v>
      </c>
      <c r="D462" s="181">
        <v>249</v>
      </c>
      <c r="E462" s="182">
        <v>1.8327690269394965E-2</v>
      </c>
      <c r="F462" s="183"/>
      <c r="G462" s="182"/>
    </row>
    <row r="463" spans="1:7" ht="13.5" thickBot="1" x14ac:dyDescent="0.25">
      <c r="A463" s="184"/>
      <c r="B463" s="185"/>
      <c r="C463" s="185"/>
      <c r="D463" s="200" t="s">
        <v>4504</v>
      </c>
      <c r="E463" s="191">
        <v>1</v>
      </c>
      <c r="F463" s="190">
        <v>25516</v>
      </c>
      <c r="G463" s="191">
        <v>0.53400000000000003</v>
      </c>
    </row>
    <row r="464" spans="1:7" x14ac:dyDescent="0.2">
      <c r="A464" s="184"/>
      <c r="B464" s="185"/>
      <c r="C464" s="185"/>
      <c r="D464" s="181"/>
      <c r="E464" s="182"/>
      <c r="F464" s="183"/>
      <c r="G464" s="182"/>
    </row>
    <row r="465" spans="1:7" x14ac:dyDescent="0.2">
      <c r="A465" s="184" t="s">
        <v>4347</v>
      </c>
      <c r="B465" s="185" t="s">
        <v>4348</v>
      </c>
      <c r="C465" s="185" t="s">
        <v>4056</v>
      </c>
      <c r="D465" s="181">
        <v>6404</v>
      </c>
      <c r="E465" s="182">
        <v>0.34694983205114316</v>
      </c>
      <c r="F465" s="183"/>
      <c r="G465" s="182"/>
    </row>
    <row r="466" spans="1:7" x14ac:dyDescent="0.2">
      <c r="A466" s="184" t="s">
        <v>2318</v>
      </c>
      <c r="B466" s="185" t="s">
        <v>4349</v>
      </c>
      <c r="C466" s="185" t="s">
        <v>4059</v>
      </c>
      <c r="D466" s="181">
        <v>4228</v>
      </c>
      <c r="E466" s="182">
        <v>0.22906056994257232</v>
      </c>
      <c r="F466" s="183"/>
      <c r="G466" s="182"/>
    </row>
    <row r="467" spans="1:7" x14ac:dyDescent="0.2">
      <c r="A467" s="184" t="s">
        <v>2318</v>
      </c>
      <c r="B467" s="185" t="s">
        <v>887</v>
      </c>
      <c r="C467" s="185" t="s">
        <v>4064</v>
      </c>
      <c r="D467" s="181">
        <v>464</v>
      </c>
      <c r="E467" s="182">
        <v>2.513815147903348E-2</v>
      </c>
      <c r="F467" s="183"/>
      <c r="G467" s="182"/>
    </row>
    <row r="468" spans="1:7" ht="13.5" thickBot="1" x14ac:dyDescent="0.25">
      <c r="A468" s="184" t="s">
        <v>2318</v>
      </c>
      <c r="B468" s="186" t="s">
        <v>3951</v>
      </c>
      <c r="C468" s="186" t="s">
        <v>4057</v>
      </c>
      <c r="D468" s="203">
        <v>7362</v>
      </c>
      <c r="E468" s="192">
        <v>0.39885144652725107</v>
      </c>
      <c r="F468" s="183"/>
      <c r="G468" s="182"/>
    </row>
    <row r="469" spans="1:7" ht="13.5" thickBot="1" x14ac:dyDescent="0.25">
      <c r="A469" s="184"/>
      <c r="B469" s="185"/>
      <c r="C469" s="185"/>
      <c r="D469" s="200" t="s">
        <v>4505</v>
      </c>
      <c r="E469" s="191">
        <v>1</v>
      </c>
      <c r="F469" s="190">
        <v>32991</v>
      </c>
      <c r="G469" s="191">
        <v>0.56200000000000006</v>
      </c>
    </row>
    <row r="470" spans="1:7" x14ac:dyDescent="0.2">
      <c r="A470" s="184"/>
      <c r="B470" s="185"/>
      <c r="C470" s="185"/>
      <c r="D470" s="181"/>
      <c r="E470" s="182"/>
      <c r="F470" s="183"/>
      <c r="G470" s="182"/>
    </row>
    <row r="471" spans="1:7" x14ac:dyDescent="0.2">
      <c r="A471" s="184" t="s">
        <v>4350</v>
      </c>
      <c r="B471" s="185" t="s">
        <v>4351</v>
      </c>
      <c r="C471" s="185" t="s">
        <v>4070</v>
      </c>
      <c r="D471" s="181">
        <v>731</v>
      </c>
      <c r="E471" s="182">
        <v>4.4998461064943061E-2</v>
      </c>
      <c r="F471" s="183"/>
      <c r="G471" s="182"/>
    </row>
    <row r="472" spans="1:7" x14ac:dyDescent="0.2">
      <c r="A472" s="184" t="s">
        <v>2318</v>
      </c>
      <c r="B472" s="185" t="s">
        <v>4352</v>
      </c>
      <c r="C472" s="185" t="s">
        <v>4057</v>
      </c>
      <c r="D472" s="181">
        <v>5790</v>
      </c>
      <c r="E472" s="182">
        <v>0.35641735918744227</v>
      </c>
      <c r="F472" s="183"/>
      <c r="G472" s="182"/>
    </row>
    <row r="473" spans="1:7" x14ac:dyDescent="0.2">
      <c r="A473" s="184" t="s">
        <v>2318</v>
      </c>
      <c r="B473" s="185" t="s">
        <v>3955</v>
      </c>
      <c r="C473" s="185" t="s">
        <v>4056</v>
      </c>
      <c r="D473" s="181">
        <v>3427</v>
      </c>
      <c r="E473" s="182">
        <v>0.21095721760541705</v>
      </c>
      <c r="F473" s="183"/>
      <c r="G473" s="182"/>
    </row>
    <row r="474" spans="1:7" x14ac:dyDescent="0.2">
      <c r="A474" s="184" t="s">
        <v>2318</v>
      </c>
      <c r="B474" s="185" t="s">
        <v>4353</v>
      </c>
      <c r="C474" s="185" t="s">
        <v>4084</v>
      </c>
      <c r="D474" s="181">
        <v>137</v>
      </c>
      <c r="E474" s="182">
        <v>8.4333641120344725E-3</v>
      </c>
      <c r="F474" s="183"/>
      <c r="G474" s="182"/>
    </row>
    <row r="475" spans="1:7" ht="13.5" thickBot="1" x14ac:dyDescent="0.25">
      <c r="A475" s="184" t="s">
        <v>2318</v>
      </c>
      <c r="B475" s="186" t="s">
        <v>4354</v>
      </c>
      <c r="C475" s="186" t="s">
        <v>4059</v>
      </c>
      <c r="D475" s="203">
        <v>6160</v>
      </c>
      <c r="E475" s="192">
        <v>0.37919359803016311</v>
      </c>
      <c r="F475" s="183"/>
      <c r="G475" s="182"/>
    </row>
    <row r="476" spans="1:7" ht="13.5" thickBot="1" x14ac:dyDescent="0.25">
      <c r="A476" s="184"/>
      <c r="B476" s="185"/>
      <c r="C476" s="185"/>
      <c r="D476" s="200" t="s">
        <v>4506</v>
      </c>
      <c r="E476" s="191">
        <v>1</v>
      </c>
      <c r="F476" s="190">
        <v>30585</v>
      </c>
      <c r="G476" s="191">
        <v>0.53300000000000003</v>
      </c>
    </row>
    <row r="477" spans="1:7" x14ac:dyDescent="0.2">
      <c r="A477" s="184"/>
      <c r="B477" s="185"/>
      <c r="C477" s="185"/>
      <c r="D477" s="181"/>
      <c r="E477" s="182"/>
      <c r="F477" s="183"/>
      <c r="G477" s="182"/>
    </row>
    <row r="478" spans="1:7" x14ac:dyDescent="0.2">
      <c r="A478" s="184" t="s">
        <v>4355</v>
      </c>
      <c r="B478" s="185" t="s">
        <v>4356</v>
      </c>
      <c r="C478" s="185" t="s">
        <v>4070</v>
      </c>
      <c r="D478" s="181">
        <v>685</v>
      </c>
      <c r="E478" s="182">
        <v>3.422091222460908E-2</v>
      </c>
      <c r="F478" s="183"/>
      <c r="G478" s="182"/>
    </row>
    <row r="479" spans="1:7" x14ac:dyDescent="0.2">
      <c r="A479" s="184" t="s">
        <v>2318</v>
      </c>
      <c r="B479" s="185" t="s">
        <v>4357</v>
      </c>
      <c r="C479" s="185" t="s">
        <v>4056</v>
      </c>
      <c r="D479" s="181">
        <v>5274</v>
      </c>
      <c r="E479" s="182">
        <v>0.26347604536144276</v>
      </c>
      <c r="F479" s="183"/>
      <c r="G479" s="182"/>
    </row>
    <row r="480" spans="1:7" x14ac:dyDescent="0.2">
      <c r="A480" s="184" t="s">
        <v>2318</v>
      </c>
      <c r="B480" s="186" t="s">
        <v>4358</v>
      </c>
      <c r="C480" s="186" t="s">
        <v>4057</v>
      </c>
      <c r="D480" s="203">
        <v>10692</v>
      </c>
      <c r="E480" s="192">
        <v>0.53414597592046764</v>
      </c>
      <c r="F480" s="183"/>
      <c r="G480" s="182"/>
    </row>
    <row r="481" spans="1:7" ht="13.5" thickBot="1" x14ac:dyDescent="0.25">
      <c r="A481" s="184" t="s">
        <v>2318</v>
      </c>
      <c r="B481" s="185" t="s">
        <v>4359</v>
      </c>
      <c r="C481" s="185" t="s">
        <v>4059</v>
      </c>
      <c r="D481" s="181">
        <v>3366</v>
      </c>
      <c r="E481" s="182">
        <v>0.16815706649348053</v>
      </c>
      <c r="F481" s="183"/>
      <c r="G481" s="182"/>
    </row>
    <row r="482" spans="1:7" ht="13.5" thickBot="1" x14ac:dyDescent="0.25">
      <c r="A482" s="184"/>
      <c r="B482" s="185"/>
      <c r="C482" s="185"/>
      <c r="D482" s="200" t="s">
        <v>4507</v>
      </c>
      <c r="E482" s="191">
        <v>1</v>
      </c>
      <c r="F482" s="190">
        <v>33859</v>
      </c>
      <c r="G482" s="191">
        <v>0.59399999999999997</v>
      </c>
    </row>
    <row r="483" spans="1:7" x14ac:dyDescent="0.2">
      <c r="A483" s="184"/>
      <c r="B483" s="185"/>
      <c r="C483" s="185"/>
      <c r="D483" s="181"/>
      <c r="E483" s="182"/>
      <c r="F483" s="183"/>
      <c r="G483" s="182"/>
    </row>
    <row r="484" spans="1:7" x14ac:dyDescent="0.2">
      <c r="A484" s="184" t="s">
        <v>4360</v>
      </c>
      <c r="B484" s="185" t="s">
        <v>4361</v>
      </c>
      <c r="C484" s="185" t="s">
        <v>4070</v>
      </c>
      <c r="D484" s="181">
        <v>376</v>
      </c>
      <c r="E484" s="182">
        <v>3.874291602266873E-2</v>
      </c>
      <c r="F484" s="183"/>
      <c r="G484" s="182"/>
    </row>
    <row r="485" spans="1:7" x14ac:dyDescent="0.2">
      <c r="A485" s="184" t="s">
        <v>2318</v>
      </c>
      <c r="B485" s="186" t="s">
        <v>4362</v>
      </c>
      <c r="C485" s="186" t="s">
        <v>4059</v>
      </c>
      <c r="D485" s="203">
        <v>3821</v>
      </c>
      <c r="E485" s="192">
        <v>0.39371458011334365</v>
      </c>
      <c r="F485" s="183"/>
      <c r="G485" s="182"/>
    </row>
    <row r="486" spans="1:7" x14ac:dyDescent="0.2">
      <c r="A486" s="184" t="s">
        <v>2318</v>
      </c>
      <c r="B486" s="185" t="s">
        <v>2734</v>
      </c>
      <c r="C486" s="185" t="s">
        <v>4056</v>
      </c>
      <c r="D486" s="181">
        <v>3529</v>
      </c>
      <c r="E486" s="182">
        <v>0.36362699639361157</v>
      </c>
      <c r="F486" s="183"/>
      <c r="G486" s="182"/>
    </row>
    <row r="487" spans="1:7" ht="13.5" thickBot="1" x14ac:dyDescent="0.25">
      <c r="A487" s="184" t="s">
        <v>2318</v>
      </c>
      <c r="B487" s="185" t="s">
        <v>4363</v>
      </c>
      <c r="C487" s="185" t="s">
        <v>4057</v>
      </c>
      <c r="D487" s="181">
        <v>1979</v>
      </c>
      <c r="E487" s="182">
        <v>0.2039155074703761</v>
      </c>
      <c r="F487" s="183"/>
      <c r="G487" s="182"/>
    </row>
    <row r="488" spans="1:7" ht="13.5" thickBot="1" x14ac:dyDescent="0.25">
      <c r="A488" s="184"/>
      <c r="B488" s="185"/>
      <c r="C488" s="185"/>
      <c r="D488" s="200" t="s">
        <v>4508</v>
      </c>
      <c r="E488" s="191">
        <v>1</v>
      </c>
      <c r="F488" s="190">
        <v>20464</v>
      </c>
      <c r="G488" s="191">
        <v>0.47499999999999998</v>
      </c>
    </row>
    <row r="489" spans="1:7" x14ac:dyDescent="0.2">
      <c r="A489" s="184"/>
      <c r="B489" s="185"/>
      <c r="C489" s="185"/>
      <c r="D489" s="181"/>
      <c r="E489" s="182"/>
      <c r="F489" s="183"/>
      <c r="G489" s="182"/>
    </row>
    <row r="490" spans="1:7" x14ac:dyDescent="0.2">
      <c r="A490" s="184" t="s">
        <v>4364</v>
      </c>
      <c r="B490" s="185" t="s">
        <v>4365</v>
      </c>
      <c r="C490" s="185" t="s">
        <v>4057</v>
      </c>
      <c r="D490" s="181">
        <v>4173</v>
      </c>
      <c r="E490" s="182">
        <v>0.24658748448856585</v>
      </c>
      <c r="F490" s="183"/>
      <c r="G490" s="182"/>
    </row>
    <row r="491" spans="1:7" x14ac:dyDescent="0.2">
      <c r="A491" s="184" t="s">
        <v>2318</v>
      </c>
      <c r="B491" s="185" t="s">
        <v>3969</v>
      </c>
      <c r="C491" s="185" t="s">
        <v>4064</v>
      </c>
      <c r="D491" s="181">
        <v>3262</v>
      </c>
      <c r="E491" s="182">
        <v>0.19275542161555279</v>
      </c>
      <c r="F491" s="183"/>
      <c r="G491" s="182"/>
    </row>
    <row r="492" spans="1:7" x14ac:dyDescent="0.2">
      <c r="A492" s="184" t="s">
        <v>2318</v>
      </c>
      <c r="B492" s="185" t="s">
        <v>4366</v>
      </c>
      <c r="C492" s="185" t="s">
        <v>4070</v>
      </c>
      <c r="D492" s="181">
        <v>683</v>
      </c>
      <c r="E492" s="182">
        <v>4.0359274360338003E-2</v>
      </c>
      <c r="F492" s="183"/>
      <c r="G492" s="182"/>
    </row>
    <row r="493" spans="1:7" x14ac:dyDescent="0.2">
      <c r="A493" s="184" t="s">
        <v>2318</v>
      </c>
      <c r="B493" s="185" t="s">
        <v>4367</v>
      </c>
      <c r="C493" s="185" t="s">
        <v>4056</v>
      </c>
      <c r="D493" s="181">
        <v>3836</v>
      </c>
      <c r="E493" s="182">
        <v>0.22667375760798913</v>
      </c>
      <c r="F493" s="183"/>
      <c r="G493" s="182"/>
    </row>
    <row r="494" spans="1:7" ht="13.5" thickBot="1" x14ac:dyDescent="0.25">
      <c r="A494" s="184" t="s">
        <v>2318</v>
      </c>
      <c r="B494" s="186" t="s">
        <v>4368</v>
      </c>
      <c r="C494" s="186" t="s">
        <v>4059</v>
      </c>
      <c r="D494" s="203">
        <v>4969</v>
      </c>
      <c r="E494" s="192">
        <v>0.29362406192755419</v>
      </c>
      <c r="F494" s="183"/>
      <c r="G494" s="182"/>
    </row>
    <row r="495" spans="1:7" ht="13.5" thickBot="1" x14ac:dyDescent="0.25">
      <c r="A495" s="184"/>
      <c r="B495" s="185"/>
      <c r="C495" s="185"/>
      <c r="D495" s="200" t="s">
        <v>4509</v>
      </c>
      <c r="E495" s="191">
        <v>0.99999999999999989</v>
      </c>
      <c r="F495" s="190">
        <v>35001</v>
      </c>
      <c r="G495" s="191">
        <v>0.48499999999999999</v>
      </c>
    </row>
    <row r="496" spans="1:7" x14ac:dyDescent="0.2">
      <c r="A496" s="184"/>
      <c r="B496" s="185"/>
      <c r="C496" s="185"/>
      <c r="D496" s="181"/>
      <c r="E496" s="182"/>
      <c r="F496" s="183"/>
      <c r="G496" s="182"/>
    </row>
    <row r="497" spans="1:7" x14ac:dyDescent="0.2">
      <c r="A497" s="184" t="s">
        <v>4369</v>
      </c>
      <c r="B497" s="185" t="s">
        <v>426</v>
      </c>
      <c r="C497" s="185" t="s">
        <v>4084</v>
      </c>
      <c r="D497" s="181">
        <v>232</v>
      </c>
      <c r="E497" s="182">
        <v>1.1843381489611516E-2</v>
      </c>
      <c r="F497" s="183"/>
      <c r="G497" s="182"/>
    </row>
    <row r="498" spans="1:7" x14ac:dyDescent="0.2">
      <c r="A498" s="184" t="s">
        <v>2318</v>
      </c>
      <c r="B498" s="185" t="s">
        <v>4370</v>
      </c>
      <c r="C498" s="185" t="s">
        <v>4084</v>
      </c>
      <c r="D498" s="181">
        <v>60</v>
      </c>
      <c r="E498" s="182">
        <v>3.0629434886926335E-3</v>
      </c>
      <c r="F498" s="183"/>
      <c r="G498" s="182"/>
    </row>
    <row r="499" spans="1:7" x14ac:dyDescent="0.2">
      <c r="A499" s="184" t="s">
        <v>2318</v>
      </c>
      <c r="B499" s="185" t="s">
        <v>4371</v>
      </c>
      <c r="C499" s="185" t="s">
        <v>4064</v>
      </c>
      <c r="D499" s="181">
        <v>738</v>
      </c>
      <c r="E499" s="182">
        <v>3.7674204910919391E-2</v>
      </c>
      <c r="F499" s="183"/>
      <c r="G499" s="182"/>
    </row>
    <row r="500" spans="1:7" x14ac:dyDescent="0.2">
      <c r="A500" s="184" t="s">
        <v>2318</v>
      </c>
      <c r="B500" s="185" t="s">
        <v>4372</v>
      </c>
      <c r="C500" s="185" t="s">
        <v>4073</v>
      </c>
      <c r="D500" s="181">
        <v>274</v>
      </c>
      <c r="E500" s="182">
        <v>1.398744193169636E-2</v>
      </c>
      <c r="F500" s="183"/>
      <c r="G500" s="182"/>
    </row>
    <row r="501" spans="1:7" x14ac:dyDescent="0.2">
      <c r="A501" s="184" t="s">
        <v>2318</v>
      </c>
      <c r="B501" s="185" t="s">
        <v>3974</v>
      </c>
      <c r="C501" s="185" t="s">
        <v>4070</v>
      </c>
      <c r="D501" s="181">
        <v>1035</v>
      </c>
      <c r="E501" s="182">
        <v>5.2835775179947933E-2</v>
      </c>
      <c r="F501" s="183"/>
      <c r="G501" s="182"/>
    </row>
    <row r="502" spans="1:7" x14ac:dyDescent="0.2">
      <c r="A502" s="184" t="s">
        <v>2318</v>
      </c>
      <c r="B502" s="186" t="s">
        <v>4373</v>
      </c>
      <c r="C502" s="186" t="s">
        <v>4059</v>
      </c>
      <c r="D502" s="203">
        <v>7024</v>
      </c>
      <c r="E502" s="192">
        <v>0.35856858440961764</v>
      </c>
      <c r="F502" s="183"/>
      <c r="G502" s="182"/>
    </row>
    <row r="503" spans="1:7" x14ac:dyDescent="0.2">
      <c r="A503" s="184" t="s">
        <v>2318</v>
      </c>
      <c r="B503" s="185" t="s">
        <v>4374</v>
      </c>
      <c r="C503" s="185" t="s">
        <v>4056</v>
      </c>
      <c r="D503" s="181">
        <v>5414</v>
      </c>
      <c r="E503" s="182">
        <v>0.27637960079636531</v>
      </c>
      <c r="F503" s="183"/>
      <c r="G503" s="182"/>
    </row>
    <row r="504" spans="1:7" ht="13.5" thickBot="1" x14ac:dyDescent="0.25">
      <c r="A504" s="184" t="s">
        <v>2318</v>
      </c>
      <c r="B504" s="185" t="s">
        <v>4375</v>
      </c>
      <c r="C504" s="185" t="s">
        <v>4057</v>
      </c>
      <c r="D504" s="181">
        <v>4812</v>
      </c>
      <c r="E504" s="182">
        <v>0.24564806779314921</v>
      </c>
      <c r="F504" s="183"/>
      <c r="G504" s="182"/>
    </row>
    <row r="505" spans="1:7" ht="13.5" thickBot="1" x14ac:dyDescent="0.25">
      <c r="A505" s="184"/>
      <c r="B505" s="185"/>
      <c r="C505" s="185"/>
      <c r="D505" s="200" t="s">
        <v>4510</v>
      </c>
      <c r="E505" s="191">
        <v>1</v>
      </c>
      <c r="F505" s="190">
        <v>37771</v>
      </c>
      <c r="G505" s="191">
        <v>0.52</v>
      </c>
    </row>
    <row r="506" spans="1:7" x14ac:dyDescent="0.2">
      <c r="A506" s="184"/>
      <c r="B506" s="185"/>
      <c r="C506" s="185"/>
      <c r="D506" s="181"/>
      <c r="E506" s="182"/>
      <c r="F506" s="183"/>
      <c r="G506" s="182"/>
    </row>
    <row r="507" spans="1:7" x14ac:dyDescent="0.2">
      <c r="A507" s="184" t="s">
        <v>4376</v>
      </c>
      <c r="B507" s="185" t="s">
        <v>3526</v>
      </c>
      <c r="C507" s="185" t="s">
        <v>4084</v>
      </c>
      <c r="D507" s="181">
        <v>1871</v>
      </c>
      <c r="E507" s="182">
        <v>0.11252104883329324</v>
      </c>
      <c r="F507" s="183"/>
      <c r="G507" s="182"/>
    </row>
    <row r="508" spans="1:7" x14ac:dyDescent="0.2">
      <c r="A508" s="184" t="s">
        <v>2318</v>
      </c>
      <c r="B508" s="185" t="s">
        <v>4377</v>
      </c>
      <c r="C508" s="185" t="s">
        <v>4056</v>
      </c>
      <c r="D508" s="181">
        <v>5296</v>
      </c>
      <c r="E508" s="182">
        <v>0.31849891748857351</v>
      </c>
      <c r="F508" s="183"/>
      <c r="G508" s="182"/>
    </row>
    <row r="509" spans="1:7" x14ac:dyDescent="0.2">
      <c r="A509" s="184" t="s">
        <v>2318</v>
      </c>
      <c r="B509" s="186" t="s">
        <v>4378</v>
      </c>
      <c r="C509" s="186" t="s">
        <v>4057</v>
      </c>
      <c r="D509" s="203">
        <v>6670</v>
      </c>
      <c r="E509" s="192">
        <v>0.40113062304546548</v>
      </c>
      <c r="F509" s="183"/>
      <c r="G509" s="182"/>
    </row>
    <row r="510" spans="1:7" ht="13.5" thickBot="1" x14ac:dyDescent="0.25">
      <c r="A510" s="184" t="s">
        <v>2318</v>
      </c>
      <c r="B510" s="185" t="s">
        <v>4379</v>
      </c>
      <c r="C510" s="185" t="s">
        <v>4059</v>
      </c>
      <c r="D510" s="181">
        <v>2791</v>
      </c>
      <c r="E510" s="182">
        <v>0.16784941063266778</v>
      </c>
      <c r="F510" s="183"/>
      <c r="G510" s="182"/>
    </row>
    <row r="511" spans="1:7" ht="13.5" thickBot="1" x14ac:dyDescent="0.25">
      <c r="A511" s="184"/>
      <c r="B511" s="185"/>
      <c r="C511" s="185"/>
      <c r="D511" s="200" t="s">
        <v>4511</v>
      </c>
      <c r="E511" s="191">
        <v>1</v>
      </c>
      <c r="F511" s="190">
        <v>32578</v>
      </c>
      <c r="G511" s="191">
        <v>0.51300000000000001</v>
      </c>
    </row>
    <row r="512" spans="1:7" x14ac:dyDescent="0.2">
      <c r="A512" s="184"/>
      <c r="B512" s="185"/>
      <c r="C512" s="185"/>
      <c r="D512" s="181"/>
      <c r="E512" s="182"/>
      <c r="F512" s="183"/>
      <c r="G512" s="182"/>
    </row>
    <row r="513" spans="1:7" x14ac:dyDescent="0.2">
      <c r="A513" s="184" t="s">
        <v>4380</v>
      </c>
      <c r="B513" s="186" t="s">
        <v>4381</v>
      </c>
      <c r="C513" s="186" t="s">
        <v>4059</v>
      </c>
      <c r="D513" s="203">
        <v>11365</v>
      </c>
      <c r="E513" s="192">
        <v>0.52049461873139458</v>
      </c>
      <c r="F513" s="183"/>
      <c r="G513" s="182"/>
    </row>
    <row r="514" spans="1:7" x14ac:dyDescent="0.2">
      <c r="A514" s="184" t="s">
        <v>2318</v>
      </c>
      <c r="B514" s="185" t="s">
        <v>3993</v>
      </c>
      <c r="C514" s="185" t="s">
        <v>4056</v>
      </c>
      <c r="D514" s="181">
        <v>5655</v>
      </c>
      <c r="E514" s="182">
        <v>0.25898786352186853</v>
      </c>
      <c r="F514" s="183"/>
      <c r="G514" s="182"/>
    </row>
    <row r="515" spans="1:7" ht="13.5" thickBot="1" x14ac:dyDescent="0.25">
      <c r="A515" s="184" t="s">
        <v>2318</v>
      </c>
      <c r="B515" s="185" t="s">
        <v>4382</v>
      </c>
      <c r="C515" s="185" t="s">
        <v>4057</v>
      </c>
      <c r="D515" s="181">
        <v>4815</v>
      </c>
      <c r="E515" s="182">
        <v>0.22051751774673689</v>
      </c>
      <c r="F515" s="183"/>
      <c r="G515" s="182"/>
    </row>
    <row r="516" spans="1:7" ht="13.5" thickBot="1" x14ac:dyDescent="0.25">
      <c r="A516" s="184"/>
      <c r="B516" s="185"/>
      <c r="C516" s="185"/>
      <c r="D516" s="200" t="s">
        <v>4512</v>
      </c>
      <c r="E516" s="191">
        <v>1</v>
      </c>
      <c r="F516" s="190">
        <v>33048</v>
      </c>
      <c r="G516" s="191">
        <v>0.66400000000000003</v>
      </c>
    </row>
    <row r="517" spans="1:7" x14ac:dyDescent="0.2">
      <c r="A517" s="184"/>
      <c r="B517" s="185"/>
      <c r="C517" s="185"/>
      <c r="D517" s="181"/>
      <c r="E517" s="182"/>
      <c r="F517" s="183"/>
      <c r="G517" s="182"/>
    </row>
    <row r="518" spans="1:7" x14ac:dyDescent="0.2">
      <c r="A518" s="184" t="s">
        <v>4383</v>
      </c>
      <c r="B518" s="185" t="s">
        <v>4384</v>
      </c>
      <c r="C518" s="185" t="s">
        <v>4073</v>
      </c>
      <c r="D518" s="181">
        <v>269</v>
      </c>
      <c r="E518" s="182">
        <v>1.0844587784720822E-2</v>
      </c>
      <c r="F518" s="183"/>
      <c r="G518" s="182"/>
    </row>
    <row r="519" spans="1:7" x14ac:dyDescent="0.2">
      <c r="A519" s="184" t="s">
        <v>2318</v>
      </c>
      <c r="B519" s="185" t="s">
        <v>4385</v>
      </c>
      <c r="C519" s="185" t="s">
        <v>4070</v>
      </c>
      <c r="D519" s="181">
        <v>1081</v>
      </c>
      <c r="E519" s="182">
        <v>4.3579923402539814E-2</v>
      </c>
      <c r="F519" s="183"/>
      <c r="G519" s="182"/>
    </row>
    <row r="520" spans="1:7" x14ac:dyDescent="0.2">
      <c r="A520" s="184" t="s">
        <v>2318</v>
      </c>
      <c r="B520" s="186" t="s">
        <v>4386</v>
      </c>
      <c r="C520" s="186" t="s">
        <v>4059</v>
      </c>
      <c r="D520" s="203">
        <v>11546</v>
      </c>
      <c r="E520" s="192">
        <v>0.46547067123563796</v>
      </c>
      <c r="F520" s="183"/>
      <c r="G520" s="182"/>
    </row>
    <row r="521" spans="1:7" x14ac:dyDescent="0.2">
      <c r="A521" s="184" t="s">
        <v>2318</v>
      </c>
      <c r="B521" s="185" t="s">
        <v>4387</v>
      </c>
      <c r="C521" s="185" t="s">
        <v>4064</v>
      </c>
      <c r="D521" s="181">
        <v>916</v>
      </c>
      <c r="E521" s="182">
        <v>3.6928038701874624E-2</v>
      </c>
      <c r="F521" s="183"/>
      <c r="G521" s="182"/>
    </row>
    <row r="522" spans="1:7" x14ac:dyDescent="0.2">
      <c r="A522" s="184" t="s">
        <v>2318</v>
      </c>
      <c r="B522" s="185" t="s">
        <v>4388</v>
      </c>
      <c r="C522" s="185" t="s">
        <v>4056</v>
      </c>
      <c r="D522" s="181">
        <v>6362</v>
      </c>
      <c r="E522" s="182">
        <v>0.25648054827655714</v>
      </c>
      <c r="F522" s="183"/>
      <c r="G522" s="182"/>
    </row>
    <row r="523" spans="1:7" ht="13.5" thickBot="1" x14ac:dyDescent="0.25">
      <c r="A523" s="184" t="s">
        <v>2318</v>
      </c>
      <c r="B523" s="185" t="s">
        <v>4389</v>
      </c>
      <c r="C523" s="185" t="s">
        <v>4057</v>
      </c>
      <c r="D523" s="181">
        <v>4631</v>
      </c>
      <c r="E523" s="182">
        <v>0.18669623059866963</v>
      </c>
      <c r="F523" s="183"/>
      <c r="G523" s="182"/>
    </row>
    <row r="524" spans="1:7" ht="13.5" thickBot="1" x14ac:dyDescent="0.25">
      <c r="A524" s="184"/>
      <c r="B524" s="185"/>
      <c r="C524" s="185"/>
      <c r="D524" s="200" t="s">
        <v>4513</v>
      </c>
      <c r="E524" s="191">
        <v>1</v>
      </c>
      <c r="F524" s="190">
        <v>46603</v>
      </c>
      <c r="G524" s="191">
        <v>0.53300000000000003</v>
      </c>
    </row>
    <row r="525" spans="1:7" x14ac:dyDescent="0.2">
      <c r="A525" s="184"/>
      <c r="B525" s="185"/>
      <c r="C525" s="185"/>
      <c r="D525" s="181"/>
      <c r="E525" s="182"/>
      <c r="F525" s="183"/>
      <c r="G525" s="182"/>
    </row>
    <row r="526" spans="1:7" x14ac:dyDescent="0.2">
      <c r="A526" s="184" t="s">
        <v>4390</v>
      </c>
      <c r="B526" s="185" t="s">
        <v>4391</v>
      </c>
      <c r="C526" s="185" t="s">
        <v>4064</v>
      </c>
      <c r="D526" s="181">
        <v>778</v>
      </c>
      <c r="E526" s="182">
        <v>3.4289743928776061E-2</v>
      </c>
      <c r="F526" s="183"/>
      <c r="G526" s="182"/>
    </row>
    <row r="527" spans="1:7" x14ac:dyDescent="0.2">
      <c r="A527" s="184" t="s">
        <v>2318</v>
      </c>
      <c r="B527" s="185" t="s">
        <v>4392</v>
      </c>
      <c r="C527" s="185" t="s">
        <v>4057</v>
      </c>
      <c r="D527" s="181">
        <v>2858</v>
      </c>
      <c r="E527" s="182">
        <v>0.12596412358411566</v>
      </c>
      <c r="F527" s="183"/>
      <c r="G527" s="182"/>
    </row>
    <row r="528" spans="1:7" x14ac:dyDescent="0.2">
      <c r="A528" s="184" t="s">
        <v>2318</v>
      </c>
      <c r="B528" s="185" t="s">
        <v>3986</v>
      </c>
      <c r="C528" s="185" t="s">
        <v>4056</v>
      </c>
      <c r="D528" s="181">
        <v>6340</v>
      </c>
      <c r="E528" s="182">
        <v>0.27943056106483316</v>
      </c>
      <c r="F528" s="183"/>
      <c r="G528" s="182"/>
    </row>
    <row r="529" spans="1:7" x14ac:dyDescent="0.2">
      <c r="A529" s="184" t="s">
        <v>2318</v>
      </c>
      <c r="B529" s="185" t="s">
        <v>4393</v>
      </c>
      <c r="C529" s="185" t="s">
        <v>4070</v>
      </c>
      <c r="D529" s="181">
        <v>493</v>
      </c>
      <c r="E529" s="182">
        <v>2.172859094715501E-2</v>
      </c>
      <c r="F529" s="183"/>
      <c r="G529" s="182"/>
    </row>
    <row r="530" spans="1:7" ht="13.5" thickBot="1" x14ac:dyDescent="0.25">
      <c r="A530" s="184" t="s">
        <v>2318</v>
      </c>
      <c r="B530" s="186" t="s">
        <v>4394</v>
      </c>
      <c r="C530" s="186" t="s">
        <v>4059</v>
      </c>
      <c r="D530" s="203">
        <v>12220</v>
      </c>
      <c r="E530" s="192">
        <v>0.5385869804751201</v>
      </c>
      <c r="F530" s="183"/>
      <c r="G530" s="182"/>
    </row>
    <row r="531" spans="1:7" ht="13.5" thickBot="1" x14ac:dyDescent="0.25">
      <c r="A531" s="184"/>
      <c r="B531" s="185"/>
      <c r="C531" s="185"/>
      <c r="D531" s="200" t="s">
        <v>4514</v>
      </c>
      <c r="E531" s="191">
        <v>1</v>
      </c>
      <c r="F531" s="190">
        <v>36356</v>
      </c>
      <c r="G531" s="191">
        <v>0.626</v>
      </c>
    </row>
    <row r="532" spans="1:7" x14ac:dyDescent="0.2">
      <c r="A532" s="184"/>
      <c r="B532" s="185"/>
      <c r="C532" s="185"/>
      <c r="D532" s="181"/>
      <c r="E532" s="182"/>
      <c r="F532" s="183"/>
      <c r="G532" s="182"/>
    </row>
    <row r="533" spans="1:7" x14ac:dyDescent="0.2">
      <c r="A533" s="184" t="s">
        <v>4395</v>
      </c>
      <c r="B533" s="186" t="s">
        <v>4396</v>
      </c>
      <c r="C533" s="186" t="s">
        <v>4059</v>
      </c>
      <c r="D533" s="203">
        <v>7268</v>
      </c>
      <c r="E533" s="192">
        <v>0.37828553583511165</v>
      </c>
      <c r="F533" s="183"/>
      <c r="G533" s="182"/>
    </row>
    <row r="534" spans="1:7" x14ac:dyDescent="0.2">
      <c r="A534" s="184" t="s">
        <v>2318</v>
      </c>
      <c r="B534" s="185" t="s">
        <v>4397</v>
      </c>
      <c r="C534" s="185" t="s">
        <v>4073</v>
      </c>
      <c r="D534" s="181">
        <v>220</v>
      </c>
      <c r="E534" s="182">
        <v>1.1450580336230677E-2</v>
      </c>
      <c r="F534" s="183"/>
      <c r="G534" s="182"/>
    </row>
    <row r="535" spans="1:7" x14ac:dyDescent="0.2">
      <c r="A535" s="184" t="s">
        <v>2318</v>
      </c>
      <c r="B535" s="185" t="s">
        <v>4398</v>
      </c>
      <c r="C535" s="185" t="s">
        <v>4064</v>
      </c>
      <c r="D535" s="181">
        <v>657</v>
      </c>
      <c r="E535" s="182">
        <v>3.4195596731379792E-2</v>
      </c>
      <c r="F535" s="183"/>
      <c r="G535" s="182"/>
    </row>
    <row r="536" spans="1:7" x14ac:dyDescent="0.2">
      <c r="A536" s="184" t="s">
        <v>2318</v>
      </c>
      <c r="B536" s="185" t="s">
        <v>4004</v>
      </c>
      <c r="C536" s="185" t="s">
        <v>4056</v>
      </c>
      <c r="D536" s="181">
        <v>4944</v>
      </c>
      <c r="E536" s="182">
        <v>0.25732576901056575</v>
      </c>
      <c r="F536" s="183"/>
      <c r="G536" s="182"/>
    </row>
    <row r="537" spans="1:7" x14ac:dyDescent="0.2">
      <c r="A537" s="184" t="s">
        <v>2318</v>
      </c>
      <c r="B537" s="185" t="s">
        <v>4399</v>
      </c>
      <c r="C537" s="185" t="s">
        <v>4057</v>
      </c>
      <c r="D537" s="181">
        <v>5586</v>
      </c>
      <c r="E537" s="182">
        <v>0.29074064435538438</v>
      </c>
      <c r="F537" s="183"/>
      <c r="G537" s="182"/>
    </row>
    <row r="538" spans="1:7" ht="13.5" thickBot="1" x14ac:dyDescent="0.25">
      <c r="A538" s="184" t="s">
        <v>2318</v>
      </c>
      <c r="B538" s="185" t="s">
        <v>4400</v>
      </c>
      <c r="C538" s="185" t="s">
        <v>4070</v>
      </c>
      <c r="D538" s="181">
        <v>538</v>
      </c>
      <c r="E538" s="182">
        <v>2.8001873731327748E-2</v>
      </c>
      <c r="F538" s="183"/>
      <c r="G538" s="182"/>
    </row>
    <row r="539" spans="1:7" ht="13.5" thickBot="1" x14ac:dyDescent="0.25">
      <c r="A539" s="184"/>
      <c r="B539" s="185"/>
      <c r="C539" s="185"/>
      <c r="D539" s="200" t="s">
        <v>4515</v>
      </c>
      <c r="E539" s="191">
        <v>1</v>
      </c>
      <c r="F539" s="190">
        <v>32852</v>
      </c>
      <c r="G539" s="191">
        <v>0.58699999999999997</v>
      </c>
    </row>
    <row r="540" spans="1:7" x14ac:dyDescent="0.2">
      <c r="A540" s="184"/>
      <c r="B540" s="185"/>
      <c r="C540" s="185"/>
      <c r="D540" s="181"/>
      <c r="E540" s="182"/>
      <c r="F540" s="183"/>
      <c r="G540" s="182"/>
    </row>
    <row r="541" spans="1:7" x14ac:dyDescent="0.2">
      <c r="A541" s="184" t="s">
        <v>4401</v>
      </c>
      <c r="B541" s="186" t="s">
        <v>4402</v>
      </c>
      <c r="C541" s="186" t="s">
        <v>4059</v>
      </c>
      <c r="D541" s="203">
        <v>9376</v>
      </c>
      <c r="E541" s="192">
        <v>0.42606561846769064</v>
      </c>
      <c r="F541" s="183"/>
      <c r="G541" s="182"/>
    </row>
    <row r="542" spans="1:7" x14ac:dyDescent="0.2">
      <c r="A542" s="184" t="s">
        <v>2318</v>
      </c>
      <c r="B542" s="185" t="s">
        <v>4403</v>
      </c>
      <c r="C542" s="185" t="s">
        <v>4057</v>
      </c>
      <c r="D542" s="181">
        <v>5286</v>
      </c>
      <c r="E542" s="182">
        <v>0.24020721621375987</v>
      </c>
      <c r="F542" s="183"/>
      <c r="G542" s="182"/>
    </row>
    <row r="543" spans="1:7" x14ac:dyDescent="0.2">
      <c r="A543" s="184" t="s">
        <v>2318</v>
      </c>
      <c r="B543" s="185" t="s">
        <v>4404</v>
      </c>
      <c r="C543" s="185" t="s">
        <v>4070</v>
      </c>
      <c r="D543" s="181">
        <v>721</v>
      </c>
      <c r="E543" s="182">
        <v>3.2763791693174588E-2</v>
      </c>
      <c r="F543" s="183"/>
      <c r="G543" s="182"/>
    </row>
    <row r="544" spans="1:7" ht="13.5" thickBot="1" x14ac:dyDescent="0.25">
      <c r="A544" s="184" t="s">
        <v>2318</v>
      </c>
      <c r="B544" s="185" t="s">
        <v>3596</v>
      </c>
      <c r="C544" s="185" t="s">
        <v>4056</v>
      </c>
      <c r="D544" s="181">
        <v>6623</v>
      </c>
      <c r="E544" s="182">
        <v>0.3009633736253749</v>
      </c>
      <c r="F544" s="183"/>
      <c r="G544" s="182"/>
    </row>
    <row r="545" spans="1:7" ht="13.5" thickBot="1" x14ac:dyDescent="0.25">
      <c r="A545" s="184"/>
      <c r="B545" s="185"/>
      <c r="C545" s="185"/>
      <c r="D545" s="200" t="s">
        <v>4516</v>
      </c>
      <c r="E545" s="191">
        <v>1</v>
      </c>
      <c r="F545" s="190">
        <v>34346</v>
      </c>
      <c r="G545" s="191">
        <v>0.64300000000000002</v>
      </c>
    </row>
    <row r="546" spans="1:7" x14ac:dyDescent="0.2">
      <c r="A546" s="184"/>
      <c r="B546" s="185"/>
      <c r="C546" s="185"/>
      <c r="D546" s="181"/>
      <c r="E546" s="182"/>
      <c r="F546" s="183"/>
      <c r="G546" s="182"/>
    </row>
    <row r="547" spans="1:7" x14ac:dyDescent="0.2">
      <c r="A547" s="184" t="s">
        <v>4405</v>
      </c>
      <c r="B547" s="185" t="s">
        <v>3676</v>
      </c>
      <c r="C547" s="185" t="s">
        <v>4064</v>
      </c>
      <c r="D547" s="181">
        <v>200</v>
      </c>
      <c r="E547" s="182">
        <v>1.2146978439113271E-2</v>
      </c>
      <c r="F547" s="183"/>
      <c r="G547" s="182"/>
    </row>
    <row r="548" spans="1:7" x14ac:dyDescent="0.2">
      <c r="A548" s="184" t="s">
        <v>2318</v>
      </c>
      <c r="B548" s="185" t="s">
        <v>4406</v>
      </c>
      <c r="C548" s="185" t="s">
        <v>4070</v>
      </c>
      <c r="D548" s="181">
        <v>304</v>
      </c>
      <c r="E548" s="182">
        <v>1.8463407227452173E-2</v>
      </c>
      <c r="F548" s="183"/>
      <c r="G548" s="182"/>
    </row>
    <row r="549" spans="1:7" x14ac:dyDescent="0.2">
      <c r="A549" s="184" t="s">
        <v>2318</v>
      </c>
      <c r="B549" s="185" t="s">
        <v>4407</v>
      </c>
      <c r="C549" s="185" t="s">
        <v>4056</v>
      </c>
      <c r="D549" s="181">
        <v>4452</v>
      </c>
      <c r="E549" s="182">
        <v>0.27039174005466138</v>
      </c>
      <c r="F549" s="183"/>
      <c r="G549" s="182"/>
    </row>
    <row r="550" spans="1:7" x14ac:dyDescent="0.2">
      <c r="A550" s="184" t="s">
        <v>2318</v>
      </c>
      <c r="B550" s="185" t="s">
        <v>4014</v>
      </c>
      <c r="C550" s="185" t="s">
        <v>4408</v>
      </c>
      <c r="D550" s="181">
        <v>72</v>
      </c>
      <c r="E550" s="182">
        <v>4.3729122380807778E-3</v>
      </c>
      <c r="F550" s="183"/>
      <c r="G550" s="182"/>
    </row>
    <row r="551" spans="1:7" x14ac:dyDescent="0.2">
      <c r="A551" s="184" t="s">
        <v>2318</v>
      </c>
      <c r="B551" s="186" t="s">
        <v>4409</v>
      </c>
      <c r="C551" s="186" t="s">
        <v>4057</v>
      </c>
      <c r="D551" s="203">
        <v>8652</v>
      </c>
      <c r="E551" s="192">
        <v>0.52547828727604007</v>
      </c>
      <c r="F551" s="183"/>
      <c r="G551" s="182"/>
    </row>
    <row r="552" spans="1:7" x14ac:dyDescent="0.2">
      <c r="A552" s="184" t="s">
        <v>2318</v>
      </c>
      <c r="B552" s="185" t="s">
        <v>4410</v>
      </c>
      <c r="C552" s="185" t="s">
        <v>4059</v>
      </c>
      <c r="D552" s="181">
        <v>2463</v>
      </c>
      <c r="E552" s="182">
        <v>0.14959003947767993</v>
      </c>
      <c r="F552" s="183"/>
      <c r="G552" s="182"/>
    </row>
    <row r="553" spans="1:7" ht="13.5" thickBot="1" x14ac:dyDescent="0.25">
      <c r="A553" s="184" t="s">
        <v>2318</v>
      </c>
      <c r="B553" s="185" t="s">
        <v>4411</v>
      </c>
      <c r="C553" s="185" t="s">
        <v>4073</v>
      </c>
      <c r="D553" s="181">
        <v>322</v>
      </c>
      <c r="E553" s="182">
        <v>1.9556635286972365E-2</v>
      </c>
      <c r="F553" s="183"/>
      <c r="G553" s="182"/>
    </row>
    <row r="554" spans="1:7" ht="13.5" thickBot="1" x14ac:dyDescent="0.25">
      <c r="A554" s="184"/>
      <c r="B554" s="185"/>
      <c r="C554" s="185"/>
      <c r="D554" s="200" t="s">
        <v>4517</v>
      </c>
      <c r="E554" s="191">
        <v>0.99999999999999989</v>
      </c>
      <c r="F554" s="190">
        <v>33215</v>
      </c>
      <c r="G554" s="191">
        <v>0.497</v>
      </c>
    </row>
    <row r="555" spans="1:7" x14ac:dyDescent="0.2">
      <c r="A555" s="184"/>
      <c r="B555" s="185"/>
      <c r="C555" s="185"/>
      <c r="D555" s="181"/>
      <c r="E555" s="182"/>
      <c r="F555" s="183"/>
      <c r="G555" s="182"/>
    </row>
    <row r="556" spans="1:7" x14ac:dyDescent="0.2">
      <c r="A556" s="184" t="s">
        <v>4412</v>
      </c>
      <c r="B556" s="185" t="s">
        <v>4019</v>
      </c>
      <c r="C556" s="185" t="s">
        <v>4057</v>
      </c>
      <c r="D556" s="181">
        <v>4171</v>
      </c>
      <c r="E556" s="182">
        <v>0.33277485240146798</v>
      </c>
      <c r="F556" s="183"/>
      <c r="G556" s="182"/>
    </row>
    <row r="557" spans="1:7" x14ac:dyDescent="0.2">
      <c r="A557" s="184" t="s">
        <v>2318</v>
      </c>
      <c r="B557" s="185" t="s">
        <v>4413</v>
      </c>
      <c r="C557" s="185" t="s">
        <v>4059</v>
      </c>
      <c r="D557" s="181">
        <v>2428</v>
      </c>
      <c r="E557" s="182">
        <v>0.19371310036700176</v>
      </c>
      <c r="F557" s="183"/>
      <c r="G557" s="182"/>
    </row>
    <row r="558" spans="1:7" ht="13.5" thickBot="1" x14ac:dyDescent="0.25">
      <c r="A558" s="184" t="s">
        <v>2318</v>
      </c>
      <c r="B558" s="186" t="s">
        <v>4020</v>
      </c>
      <c r="C558" s="186" t="s">
        <v>4056</v>
      </c>
      <c r="D558" s="203">
        <v>5935</v>
      </c>
      <c r="E558" s="192">
        <v>0.47351204723153023</v>
      </c>
      <c r="F558" s="183"/>
      <c r="G558" s="182"/>
    </row>
    <row r="559" spans="1:7" ht="13.5" thickBot="1" x14ac:dyDescent="0.25">
      <c r="A559" s="184"/>
      <c r="B559" s="185"/>
      <c r="C559" s="185"/>
      <c r="D559" s="200" t="s">
        <v>4518</v>
      </c>
      <c r="E559" s="191">
        <v>1</v>
      </c>
      <c r="F559" s="190">
        <v>26918</v>
      </c>
      <c r="G559" s="191">
        <v>0.46800000000000003</v>
      </c>
    </row>
    <row r="560" spans="1:7" x14ac:dyDescent="0.2">
      <c r="A560" s="184"/>
      <c r="B560" s="185"/>
      <c r="C560" s="185"/>
      <c r="D560" s="181"/>
      <c r="E560" s="182"/>
      <c r="F560" s="183"/>
      <c r="G560" s="182"/>
    </row>
    <row r="561" spans="1:7" x14ac:dyDescent="0.2">
      <c r="A561" s="184" t="s">
        <v>4414</v>
      </c>
      <c r="B561" s="185" t="s">
        <v>3607</v>
      </c>
      <c r="C561" s="185" t="s">
        <v>4056</v>
      </c>
      <c r="D561" s="181">
        <v>3433</v>
      </c>
      <c r="E561" s="182">
        <v>0.32316671373435002</v>
      </c>
      <c r="F561" s="183"/>
      <c r="G561" s="182"/>
    </row>
    <row r="562" spans="1:7" x14ac:dyDescent="0.2">
      <c r="A562" s="184" t="s">
        <v>2318</v>
      </c>
      <c r="B562" s="186" t="s">
        <v>4415</v>
      </c>
      <c r="C562" s="186" t="s">
        <v>4059</v>
      </c>
      <c r="D562" s="203">
        <v>4135</v>
      </c>
      <c r="E562" s="192">
        <v>0.38924974112774169</v>
      </c>
      <c r="F562" s="183"/>
      <c r="G562" s="182"/>
    </row>
    <row r="563" spans="1:7" ht="13.5" thickBot="1" x14ac:dyDescent="0.25">
      <c r="A563" s="184" t="s">
        <v>2318</v>
      </c>
      <c r="B563" s="185" t="s">
        <v>4023</v>
      </c>
      <c r="C563" s="185" t="s">
        <v>4057</v>
      </c>
      <c r="D563" s="181">
        <v>3055</v>
      </c>
      <c r="E563" s="182">
        <v>0.28758354513790829</v>
      </c>
      <c r="F563" s="183"/>
      <c r="G563" s="182"/>
    </row>
    <row r="564" spans="1:7" ht="13.5" thickBot="1" x14ac:dyDescent="0.25">
      <c r="A564" s="184"/>
      <c r="B564" s="185"/>
      <c r="C564" s="185"/>
      <c r="D564" s="200" t="s">
        <v>4519</v>
      </c>
      <c r="E564" s="191">
        <v>1</v>
      </c>
      <c r="F564" s="190">
        <v>23063</v>
      </c>
      <c r="G564" s="191">
        <v>0.46300000000000002</v>
      </c>
    </row>
    <row r="565" spans="1:7" x14ac:dyDescent="0.2">
      <c r="A565" s="184"/>
      <c r="B565" s="185"/>
      <c r="C565" s="185"/>
      <c r="D565" s="181"/>
      <c r="E565" s="182"/>
      <c r="F565" s="183"/>
      <c r="G565" s="182"/>
    </row>
    <row r="566" spans="1:7" x14ac:dyDescent="0.2">
      <c r="A566" s="184" t="s">
        <v>4416</v>
      </c>
      <c r="B566" s="186" t="s">
        <v>1065</v>
      </c>
      <c r="C566" s="186" t="s">
        <v>4059</v>
      </c>
      <c r="D566" s="203">
        <v>7531</v>
      </c>
      <c r="E566" s="192">
        <v>0.43869051086386673</v>
      </c>
      <c r="F566" s="183"/>
      <c r="G566" s="182"/>
    </row>
    <row r="567" spans="1:7" x14ac:dyDescent="0.2">
      <c r="A567" s="184" t="s">
        <v>2318</v>
      </c>
      <c r="B567" s="185" t="s">
        <v>3615</v>
      </c>
      <c r="C567" s="185" t="s">
        <v>4056</v>
      </c>
      <c r="D567" s="181">
        <v>5951</v>
      </c>
      <c r="E567" s="182">
        <v>0.34665346303955263</v>
      </c>
      <c r="F567" s="183"/>
      <c r="G567" s="182"/>
    </row>
    <row r="568" spans="1:7" ht="13.5" thickBot="1" x14ac:dyDescent="0.25">
      <c r="A568" s="184" t="s">
        <v>2318</v>
      </c>
      <c r="B568" s="185" t="s">
        <v>4417</v>
      </c>
      <c r="C568" s="185" t="s">
        <v>4057</v>
      </c>
      <c r="D568" s="181">
        <v>3685</v>
      </c>
      <c r="E568" s="182">
        <v>0.21465602609658066</v>
      </c>
      <c r="F568" s="183"/>
      <c r="G568" s="182"/>
    </row>
    <row r="569" spans="1:7" ht="13.5" thickBot="1" x14ac:dyDescent="0.25">
      <c r="A569" s="184"/>
      <c r="B569" s="185"/>
      <c r="C569" s="185"/>
      <c r="D569" s="200" t="s">
        <v>4520</v>
      </c>
      <c r="E569" s="191">
        <v>1</v>
      </c>
      <c r="F569" s="190">
        <v>31527</v>
      </c>
      <c r="G569" s="191">
        <v>0.54700000000000004</v>
      </c>
    </row>
    <row r="570" spans="1:7" x14ac:dyDescent="0.2">
      <c r="A570" s="184"/>
      <c r="B570" s="185"/>
      <c r="C570" s="185"/>
      <c r="D570" s="181"/>
      <c r="E570" s="182"/>
      <c r="F570" s="183"/>
      <c r="G570" s="182"/>
    </row>
    <row r="571" spans="1:7" x14ac:dyDescent="0.2">
      <c r="A571" s="184" t="s">
        <v>4418</v>
      </c>
      <c r="B571" s="185" t="s">
        <v>4419</v>
      </c>
      <c r="C571" s="185" t="s">
        <v>4057</v>
      </c>
      <c r="D571" s="181">
        <v>4996</v>
      </c>
      <c r="E571" s="182">
        <v>0.32957319084372322</v>
      </c>
      <c r="F571" s="183"/>
      <c r="G571" s="182"/>
    </row>
    <row r="572" spans="1:7" x14ac:dyDescent="0.2">
      <c r="A572" s="184"/>
      <c r="B572" s="186" t="s">
        <v>4420</v>
      </c>
      <c r="C572" s="186" t="s">
        <v>4059</v>
      </c>
      <c r="D572" s="203">
        <v>5442</v>
      </c>
      <c r="E572" s="192">
        <v>0.35899465663962005</v>
      </c>
      <c r="F572" s="183"/>
      <c r="G572" s="182"/>
    </row>
    <row r="573" spans="1:7" ht="13.5" thickBot="1" x14ac:dyDescent="0.25">
      <c r="A573" s="184"/>
      <c r="B573" s="185" t="s">
        <v>1546</v>
      </c>
      <c r="C573" s="185" t="s">
        <v>4056</v>
      </c>
      <c r="D573" s="181">
        <v>4721</v>
      </c>
      <c r="E573" s="182">
        <v>0.31143215251665679</v>
      </c>
      <c r="F573" s="183"/>
      <c r="G573" s="182"/>
    </row>
    <row r="574" spans="1:7" ht="13.5" thickBot="1" x14ac:dyDescent="0.25">
      <c r="A574" s="179"/>
      <c r="B574" s="180"/>
      <c r="C574" s="180"/>
      <c r="D574" s="200" t="s">
        <v>4521</v>
      </c>
      <c r="E574" s="191">
        <v>1</v>
      </c>
      <c r="F574" s="190">
        <v>28345</v>
      </c>
      <c r="G574" s="191">
        <v>0.53800000000000003</v>
      </c>
    </row>
    <row r="575" spans="1:7" ht="13.5" thickBot="1" x14ac:dyDescent="0.25">
      <c r="A575" s="179"/>
      <c r="B575" s="180"/>
      <c r="C575" s="180"/>
      <c r="D575" s="207"/>
      <c r="E575" s="189"/>
      <c r="F575" s="188"/>
      <c r="G575" s="189"/>
    </row>
    <row r="576" spans="1:7" ht="13.5" thickBot="1" x14ac:dyDescent="0.25">
      <c r="A576" s="179"/>
      <c r="B576" s="208" t="s">
        <v>4522</v>
      </c>
      <c r="C576" s="200"/>
      <c r="D576" s="200" t="s">
        <v>4523</v>
      </c>
      <c r="E576" s="200"/>
      <c r="F576" s="200">
        <f>SUM(F7:F574)</f>
        <v>2783643</v>
      </c>
      <c r="G576" s="191">
        <v>0.53700000000000003</v>
      </c>
    </row>
    <row r="577" spans="1:8" x14ac:dyDescent="0.2">
      <c r="A577" s="179"/>
      <c r="B577" s="180"/>
      <c r="C577" s="180"/>
      <c r="D577" s="181"/>
      <c r="E577" s="182"/>
      <c r="F577" s="183"/>
      <c r="G577" s="182"/>
    </row>
    <row r="578" spans="1:8" x14ac:dyDescent="0.2">
      <c r="A578" s="6" t="s">
        <v>1289</v>
      </c>
      <c r="B578" s="6"/>
      <c r="C578" s="8"/>
      <c r="D578" s="204"/>
      <c r="E578" s="93"/>
      <c r="F578" s="108"/>
      <c r="G578" s="99"/>
      <c r="H578" s="82"/>
    </row>
    <row r="579" spans="1:8" x14ac:dyDescent="0.2">
      <c r="A579" s="273" t="s">
        <v>2934</v>
      </c>
      <c r="B579" s="273"/>
      <c r="C579" s="273"/>
      <c r="D579" s="273"/>
      <c r="E579" s="273"/>
      <c r="F579" s="273"/>
      <c r="G579" s="273"/>
      <c r="H579" s="273"/>
    </row>
    <row r="580" spans="1:8" ht="12.75" customHeight="1" x14ac:dyDescent="0.2">
      <c r="A580" s="274" t="s">
        <v>1303</v>
      </c>
      <c r="B580" s="274"/>
      <c r="C580" s="274"/>
      <c r="D580" s="274"/>
      <c r="E580" s="274"/>
      <c r="F580" s="274"/>
      <c r="G580" s="274"/>
      <c r="H580" s="274"/>
    </row>
    <row r="581" spans="1:8" x14ac:dyDescent="0.2">
      <c r="A581" s="273" t="s">
        <v>2932</v>
      </c>
      <c r="B581" s="273"/>
      <c r="C581" s="273"/>
      <c r="D581" s="273"/>
      <c r="E581" s="273"/>
      <c r="F581" s="273"/>
      <c r="G581" s="273"/>
      <c r="H581" s="273"/>
    </row>
    <row r="582" spans="1:8" x14ac:dyDescent="0.2">
      <c r="A582" s="4"/>
      <c r="B582" s="4"/>
      <c r="C582" s="4"/>
      <c r="D582" s="205"/>
      <c r="E582" s="4"/>
      <c r="F582" s="4"/>
      <c r="G582" s="4"/>
      <c r="H582" s="4"/>
    </row>
    <row r="583" spans="1:8" x14ac:dyDescent="0.2">
      <c r="A583" s="193" t="s">
        <v>4421</v>
      </c>
      <c r="B583" s="180"/>
      <c r="C583" s="180"/>
      <c r="D583" s="181"/>
      <c r="E583" s="182"/>
      <c r="F583" s="183"/>
      <c r="G583" s="182"/>
    </row>
    <row r="584" spans="1:8" x14ac:dyDescent="0.2">
      <c r="A584" s="194" t="s">
        <v>4408</v>
      </c>
      <c r="B584" s="180" t="s">
        <v>1315</v>
      </c>
      <c r="C584" s="180"/>
      <c r="D584" s="181"/>
      <c r="E584" s="182"/>
      <c r="F584" s="183"/>
      <c r="G584" s="182"/>
    </row>
    <row r="585" spans="1:8" x14ac:dyDescent="0.2">
      <c r="A585" s="194" t="s">
        <v>4070</v>
      </c>
      <c r="B585" s="180" t="s">
        <v>2103</v>
      </c>
      <c r="C585" s="180"/>
      <c r="D585" s="181"/>
      <c r="E585" s="182"/>
      <c r="F585" s="183"/>
      <c r="G585" s="182"/>
    </row>
    <row r="586" spans="1:8" x14ac:dyDescent="0.2">
      <c r="A586" s="194" t="s">
        <v>4095</v>
      </c>
      <c r="B586" s="180" t="s">
        <v>4422</v>
      </c>
      <c r="C586" s="180"/>
      <c r="D586" s="181"/>
      <c r="E586" s="182"/>
      <c r="F586" s="183"/>
      <c r="G586" s="182"/>
    </row>
    <row r="587" spans="1:8" x14ac:dyDescent="0.2">
      <c r="A587" s="194" t="s">
        <v>4073</v>
      </c>
      <c r="B587" s="180" t="s">
        <v>4423</v>
      </c>
      <c r="C587" s="180"/>
      <c r="D587" s="181"/>
      <c r="E587" s="182"/>
      <c r="F587" s="183"/>
      <c r="G587" s="182"/>
    </row>
    <row r="588" spans="1:8" x14ac:dyDescent="0.2">
      <c r="A588" s="194" t="s">
        <v>4084</v>
      </c>
      <c r="B588" s="180" t="s">
        <v>4424</v>
      </c>
      <c r="C588" s="180"/>
      <c r="D588" s="181"/>
      <c r="E588" s="182"/>
      <c r="F588" s="183"/>
      <c r="G588" s="182"/>
    </row>
    <row r="589" spans="1:8" x14ac:dyDescent="0.2">
      <c r="A589" s="194" t="s">
        <v>4064</v>
      </c>
      <c r="B589" s="180" t="s">
        <v>4425</v>
      </c>
      <c r="C589" s="180"/>
      <c r="D589" s="181"/>
      <c r="E589" s="182"/>
      <c r="F589" s="183"/>
      <c r="G589" s="182"/>
    </row>
    <row r="590" spans="1:8" x14ac:dyDescent="0.2">
      <c r="A590" s="194" t="s">
        <v>4059</v>
      </c>
      <c r="B590" s="180" t="s">
        <v>4426</v>
      </c>
      <c r="C590" s="180"/>
      <c r="D590" s="181"/>
      <c r="E590" s="182"/>
      <c r="F590" s="183"/>
      <c r="G590" s="182"/>
    </row>
    <row r="591" spans="1:8" x14ac:dyDescent="0.2">
      <c r="A591" s="194" t="s">
        <v>4056</v>
      </c>
      <c r="B591" s="180" t="s">
        <v>4427</v>
      </c>
      <c r="C591" s="180"/>
      <c r="D591" s="181"/>
      <c r="E591" s="182"/>
      <c r="F591" s="183"/>
      <c r="G591" s="182"/>
    </row>
    <row r="592" spans="1:8" x14ac:dyDescent="0.2">
      <c r="A592" s="194" t="s">
        <v>4100</v>
      </c>
      <c r="B592" s="180" t="s">
        <v>4428</v>
      </c>
      <c r="C592" s="180"/>
      <c r="D592" s="181"/>
      <c r="E592" s="182"/>
      <c r="F592" s="183"/>
      <c r="G592" s="182"/>
    </row>
    <row r="593" spans="1:7" x14ac:dyDescent="0.2">
      <c r="A593" s="194" t="s">
        <v>4057</v>
      </c>
      <c r="B593" s="180" t="s">
        <v>4429</v>
      </c>
      <c r="C593" s="180"/>
      <c r="D593" s="181"/>
      <c r="E593" s="182"/>
      <c r="F593" s="183"/>
      <c r="G593" s="182"/>
    </row>
  </sheetData>
  <mergeCells count="4">
    <mergeCell ref="A581:H581"/>
    <mergeCell ref="A580:H580"/>
    <mergeCell ref="A1:G1"/>
    <mergeCell ref="A579:H57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zoomScaleNormal="100" workbookViewId="0">
      <pane ySplit="3" topLeftCell="A117" activePane="bottomLeft" state="frozen"/>
      <selection activeCell="G3" sqref="G3"/>
      <selection pane="bottomLeft" activeCell="F129" sqref="F129"/>
    </sheetView>
  </sheetViews>
  <sheetFormatPr defaultRowHeight="11.25" x14ac:dyDescent="0.2"/>
  <cols>
    <col min="1" max="1" width="20.7109375" style="1" customWidth="1"/>
    <col min="2" max="2" width="2.7109375" style="1" customWidth="1"/>
    <col min="3" max="3" width="20.7109375" style="1" customWidth="1"/>
    <col min="4" max="4" width="18.7109375" style="1" customWidth="1"/>
    <col min="5" max="5" width="9.7109375" style="16" customWidth="1"/>
    <col min="6" max="6" width="9.7109375" style="34" customWidth="1"/>
    <col min="7" max="7" width="8.7109375" style="21" customWidth="1"/>
    <col min="8" max="8" width="7.7109375" style="81" customWidth="1"/>
    <col min="9" max="16384" width="9.140625" style="1"/>
  </cols>
  <sheetData>
    <row r="1" spans="1:8" s="71" customFormat="1" ht="24" customHeight="1" x14ac:dyDescent="0.2">
      <c r="A1" s="270" t="s">
        <v>2332</v>
      </c>
      <c r="B1" s="270"/>
      <c r="C1" s="270"/>
      <c r="D1" s="270"/>
      <c r="E1" s="270"/>
      <c r="F1" s="270"/>
      <c r="G1" s="270"/>
      <c r="H1" s="270"/>
    </row>
    <row r="2" spans="1:8" s="37" customFormat="1" ht="42" customHeight="1" thickBot="1" x14ac:dyDescent="0.25">
      <c r="A2" s="36" t="s">
        <v>4782</v>
      </c>
      <c r="B2" s="36" t="s">
        <v>6373</v>
      </c>
      <c r="C2" s="36" t="s">
        <v>6763</v>
      </c>
      <c r="D2" s="75" t="s">
        <v>6764</v>
      </c>
      <c r="F2" s="271" t="s">
        <v>6374</v>
      </c>
      <c r="G2" s="271"/>
      <c r="H2" s="271"/>
    </row>
    <row r="3" spans="1:8" s="57" customFormat="1" ht="52.5" customHeight="1" thickBot="1" x14ac:dyDescent="0.25">
      <c r="A3" s="58" t="s">
        <v>1284</v>
      </c>
      <c r="B3" s="59"/>
      <c r="C3" s="59" t="s">
        <v>1285</v>
      </c>
      <c r="D3" s="59" t="s">
        <v>2652</v>
      </c>
      <c r="E3" s="73" t="s">
        <v>2653</v>
      </c>
      <c r="F3" s="74" t="s">
        <v>1286</v>
      </c>
      <c r="G3" s="73" t="s">
        <v>1287</v>
      </c>
      <c r="H3" s="74" t="s">
        <v>2656</v>
      </c>
    </row>
    <row r="4" spans="1:8" s="38" customFormat="1" ht="11.25" customHeight="1" x14ac:dyDescent="0.2">
      <c r="A4" s="62"/>
      <c r="B4" s="63"/>
      <c r="C4" s="63"/>
      <c r="D4" s="63"/>
      <c r="E4" s="64"/>
      <c r="F4" s="129"/>
      <c r="G4" s="64"/>
      <c r="H4" s="130"/>
    </row>
    <row r="5" spans="1:8" ht="11.25" customHeight="1" x14ac:dyDescent="0.2">
      <c r="A5" s="1" t="s">
        <v>3172</v>
      </c>
      <c r="C5" s="2" t="s">
        <v>6765</v>
      </c>
      <c r="D5" s="1" t="s">
        <v>1072</v>
      </c>
      <c r="E5" s="16">
        <v>637</v>
      </c>
    </row>
    <row r="6" spans="1:8" ht="11.25" customHeight="1" x14ac:dyDescent="0.2">
      <c r="C6" s="1" t="s">
        <v>6766</v>
      </c>
      <c r="D6" s="1" t="s">
        <v>1239</v>
      </c>
      <c r="E6" s="16">
        <v>495</v>
      </c>
      <c r="G6" s="162">
        <v>2327</v>
      </c>
    </row>
    <row r="7" spans="1:8" ht="11.25" customHeight="1" x14ac:dyDescent="0.2"/>
    <row r="8" spans="1:8" ht="11.25" customHeight="1" x14ac:dyDescent="0.2">
      <c r="A8" s="1" t="s">
        <v>3267</v>
      </c>
      <c r="C8" s="2" t="s">
        <v>6767</v>
      </c>
      <c r="D8" s="1" t="s">
        <v>1239</v>
      </c>
      <c r="E8" s="263">
        <v>478</v>
      </c>
    </row>
    <row r="9" spans="1:8" ht="11.25" customHeight="1" x14ac:dyDescent="0.2">
      <c r="C9" s="1" t="s">
        <v>6768</v>
      </c>
      <c r="D9" s="1" t="s">
        <v>1072</v>
      </c>
      <c r="E9" s="155">
        <v>470</v>
      </c>
      <c r="F9" s="156"/>
      <c r="G9" s="159"/>
      <c r="H9" s="158"/>
    </row>
    <row r="10" spans="1:8" ht="11.25" customHeight="1" x14ac:dyDescent="0.2">
      <c r="C10" s="1" t="s">
        <v>6769</v>
      </c>
      <c r="D10" s="1" t="s">
        <v>653</v>
      </c>
      <c r="E10" s="27">
        <v>207</v>
      </c>
      <c r="F10" s="35"/>
      <c r="G10" s="260">
        <v>1368</v>
      </c>
      <c r="H10" s="85"/>
    </row>
    <row r="11" spans="1:8" ht="11.25" customHeight="1" x14ac:dyDescent="0.2">
      <c r="G11" s="24"/>
    </row>
    <row r="12" spans="1:8" ht="11.25" customHeight="1" x14ac:dyDescent="0.2">
      <c r="A12" s="1" t="s">
        <v>2266</v>
      </c>
      <c r="C12" s="2" t="s">
        <v>6638</v>
      </c>
      <c r="D12" s="1" t="s">
        <v>1072</v>
      </c>
      <c r="E12" s="16">
        <v>414</v>
      </c>
      <c r="G12" s="24"/>
    </row>
    <row r="13" spans="1:8" ht="11.25" customHeight="1" x14ac:dyDescent="0.2">
      <c r="A13" s="264" t="s">
        <v>6823</v>
      </c>
      <c r="C13" s="1" t="s">
        <v>6770</v>
      </c>
      <c r="D13" s="1" t="s">
        <v>1239</v>
      </c>
      <c r="E13" s="16">
        <v>221</v>
      </c>
      <c r="G13" s="162">
        <v>1179</v>
      </c>
    </row>
    <row r="14" spans="1:8" ht="11.25" customHeight="1" x14ac:dyDescent="0.2">
      <c r="E14" s="155"/>
      <c r="F14" s="156"/>
      <c r="H14" s="158"/>
    </row>
    <row r="15" spans="1:8" ht="11.25" customHeight="1" x14ac:dyDescent="0.2">
      <c r="E15" s="27"/>
      <c r="F15" s="35"/>
      <c r="G15" s="151"/>
      <c r="H15" s="85"/>
    </row>
    <row r="16" spans="1:8" ht="11.25" customHeight="1" x14ac:dyDescent="0.2">
      <c r="A16" s="1" t="s">
        <v>1923</v>
      </c>
      <c r="C16" s="2" t="s">
        <v>6640</v>
      </c>
      <c r="D16" s="1" t="s">
        <v>1072</v>
      </c>
      <c r="E16" s="16">
        <v>457</v>
      </c>
    </row>
    <row r="17" spans="1:7" ht="11.25" customHeight="1" x14ac:dyDescent="0.2">
      <c r="C17" s="1" t="s">
        <v>6641</v>
      </c>
      <c r="D17" s="1" t="s">
        <v>1239</v>
      </c>
      <c r="E17" s="16">
        <v>284</v>
      </c>
      <c r="G17" s="157">
        <v>1179</v>
      </c>
    </row>
    <row r="18" spans="1:7" ht="11.25" customHeight="1" x14ac:dyDescent="0.2">
      <c r="C18" s="2"/>
    </row>
    <row r="19" spans="1:7" ht="11.25" customHeight="1" x14ac:dyDescent="0.2">
      <c r="A19" s="1" t="s">
        <v>1975</v>
      </c>
      <c r="C19" s="2" t="s">
        <v>6771</v>
      </c>
      <c r="D19" s="1" t="s">
        <v>1072</v>
      </c>
      <c r="E19" s="19">
        <v>396</v>
      </c>
      <c r="F19" s="25"/>
    </row>
    <row r="20" spans="1:7" ht="11.25" customHeight="1" x14ac:dyDescent="0.2">
      <c r="C20" s="1" t="s">
        <v>6772</v>
      </c>
      <c r="D20" s="1" t="s">
        <v>1239</v>
      </c>
      <c r="E20" s="16">
        <v>245</v>
      </c>
      <c r="F20" s="25"/>
      <c r="G20" s="162">
        <v>1081</v>
      </c>
    </row>
    <row r="21" spans="1:7" ht="11.25" customHeight="1" x14ac:dyDescent="0.2"/>
    <row r="22" spans="1:7" ht="11.25" customHeight="1" x14ac:dyDescent="0.2">
      <c r="A22" s="1" t="s">
        <v>5206</v>
      </c>
      <c r="C22" s="2" t="s">
        <v>6644</v>
      </c>
      <c r="D22" s="1" t="s">
        <v>1239</v>
      </c>
      <c r="E22" s="16">
        <v>1564</v>
      </c>
      <c r="F22" s="25"/>
    </row>
    <row r="23" spans="1:7" ht="11.25" customHeight="1" x14ac:dyDescent="0.2">
      <c r="C23" s="1" t="s">
        <v>6773</v>
      </c>
      <c r="D23" s="1" t="s">
        <v>1072</v>
      </c>
      <c r="E23" s="16">
        <v>728</v>
      </c>
      <c r="F23" s="25"/>
      <c r="G23" s="21">
        <v>3766</v>
      </c>
    </row>
    <row r="24" spans="1:7" ht="11.25" customHeight="1" x14ac:dyDescent="0.2">
      <c r="F24" s="25"/>
    </row>
    <row r="25" spans="1:7" ht="11.25" customHeight="1" x14ac:dyDescent="0.2">
      <c r="A25" s="1" t="s">
        <v>5216</v>
      </c>
      <c r="C25" s="2" t="s">
        <v>6523</v>
      </c>
      <c r="D25" s="1" t="s">
        <v>1239</v>
      </c>
      <c r="E25" s="16">
        <v>1482</v>
      </c>
      <c r="F25" s="25"/>
    </row>
    <row r="26" spans="1:7" ht="11.25" customHeight="1" x14ac:dyDescent="0.2">
      <c r="C26" s="1" t="s">
        <v>6774</v>
      </c>
      <c r="D26" s="1" t="s">
        <v>1072</v>
      </c>
      <c r="E26" s="16">
        <v>822</v>
      </c>
      <c r="F26" s="25"/>
    </row>
    <row r="27" spans="1:7" ht="11.25" customHeight="1" x14ac:dyDescent="0.2">
      <c r="C27" s="1" t="s">
        <v>6775</v>
      </c>
      <c r="D27" s="1" t="s">
        <v>6663</v>
      </c>
      <c r="E27" s="16">
        <v>256</v>
      </c>
      <c r="F27" s="25"/>
      <c r="G27" s="21">
        <v>4258</v>
      </c>
    </row>
    <row r="28" spans="1:7" ht="11.25" customHeight="1" x14ac:dyDescent="0.2">
      <c r="F28" s="25"/>
    </row>
    <row r="29" spans="1:7" ht="11.25" customHeight="1" x14ac:dyDescent="0.2">
      <c r="A29" s="1" t="s">
        <v>5225</v>
      </c>
      <c r="C29" s="2" t="s">
        <v>6518</v>
      </c>
      <c r="D29" s="1" t="s">
        <v>1239</v>
      </c>
      <c r="E29" s="16">
        <v>3654</v>
      </c>
      <c r="F29" s="25"/>
    </row>
    <row r="30" spans="1:7" ht="11.25" customHeight="1" x14ac:dyDescent="0.2">
      <c r="C30" s="1" t="s">
        <v>6776</v>
      </c>
      <c r="D30" s="1" t="s">
        <v>1918</v>
      </c>
      <c r="E30" s="16">
        <v>1423</v>
      </c>
      <c r="F30" s="25"/>
      <c r="G30" s="21">
        <v>7958</v>
      </c>
    </row>
    <row r="31" spans="1:7" ht="11.25" customHeight="1" x14ac:dyDescent="0.2">
      <c r="F31" s="25"/>
    </row>
    <row r="32" spans="1:7" ht="11.25" customHeight="1" x14ac:dyDescent="0.2">
      <c r="A32" s="1" t="s">
        <v>1125</v>
      </c>
      <c r="C32" s="2" t="s">
        <v>6648</v>
      </c>
      <c r="D32" s="1" t="s">
        <v>1072</v>
      </c>
      <c r="E32" s="16">
        <v>1651</v>
      </c>
    </row>
    <row r="33" spans="1:7" ht="11.25" customHeight="1" x14ac:dyDescent="0.2">
      <c r="C33" s="1" t="s">
        <v>6777</v>
      </c>
      <c r="D33" s="1" t="s">
        <v>1239</v>
      </c>
      <c r="E33" s="16">
        <v>249</v>
      </c>
      <c r="G33" s="162">
        <v>2852</v>
      </c>
    </row>
    <row r="34" spans="1:7" ht="11.25" customHeight="1" x14ac:dyDescent="0.2"/>
    <row r="35" spans="1:7" ht="11.25" customHeight="1" x14ac:dyDescent="0.2">
      <c r="A35" s="1" t="s">
        <v>1427</v>
      </c>
      <c r="C35" s="2" t="s">
        <v>6529</v>
      </c>
      <c r="D35" s="1" t="s">
        <v>1072</v>
      </c>
      <c r="E35" s="16">
        <v>518</v>
      </c>
    </row>
    <row r="36" spans="1:7" ht="11.25" customHeight="1" x14ac:dyDescent="0.2">
      <c r="C36" s="1" t="s">
        <v>6778</v>
      </c>
      <c r="D36" s="1" t="s">
        <v>1239</v>
      </c>
      <c r="E36" s="16">
        <v>479</v>
      </c>
      <c r="G36" s="159">
        <v>1295</v>
      </c>
    </row>
    <row r="37" spans="1:7" ht="11.25" customHeight="1" x14ac:dyDescent="0.2"/>
    <row r="38" spans="1:7" ht="11.25" customHeight="1" x14ac:dyDescent="0.2">
      <c r="A38" s="1" t="s">
        <v>6400</v>
      </c>
      <c r="C38" s="2" t="s">
        <v>6651</v>
      </c>
      <c r="D38" s="1" t="s">
        <v>1072</v>
      </c>
      <c r="E38" s="16">
        <v>496</v>
      </c>
    </row>
    <row r="39" spans="1:7" ht="11.25" customHeight="1" x14ac:dyDescent="0.2">
      <c r="C39" s="1" t="s">
        <v>6779</v>
      </c>
      <c r="D39" s="1" t="s">
        <v>1239</v>
      </c>
      <c r="E39" s="16">
        <v>348</v>
      </c>
    </row>
    <row r="40" spans="1:7" ht="11.25" customHeight="1" x14ac:dyDescent="0.2">
      <c r="C40" s="1" t="s">
        <v>6780</v>
      </c>
      <c r="D40" s="1" t="s">
        <v>653</v>
      </c>
      <c r="E40" s="16">
        <v>127</v>
      </c>
      <c r="G40" s="155">
        <v>979</v>
      </c>
    </row>
    <row r="41" spans="1:7" ht="11.25" customHeight="1" x14ac:dyDescent="0.2"/>
    <row r="42" spans="1:7" ht="11.25" customHeight="1" x14ac:dyDescent="0.2">
      <c r="A42" s="1" t="s">
        <v>6534</v>
      </c>
      <c r="C42" s="2" t="s">
        <v>6781</v>
      </c>
      <c r="D42" s="1" t="s">
        <v>1072</v>
      </c>
      <c r="E42" s="16">
        <v>40</v>
      </c>
    </row>
    <row r="43" spans="1:7" ht="11.25" customHeight="1" x14ac:dyDescent="0.2">
      <c r="C43" s="1" t="s">
        <v>6782</v>
      </c>
      <c r="D43" s="1" t="s">
        <v>1239</v>
      </c>
      <c r="E43" s="16">
        <v>39</v>
      </c>
    </row>
    <row r="44" spans="1:7" ht="11.25" customHeight="1" x14ac:dyDescent="0.2">
      <c r="C44" s="1" t="s">
        <v>2585</v>
      </c>
      <c r="D44" s="1" t="s">
        <v>6663</v>
      </c>
      <c r="E44" s="16">
        <v>24</v>
      </c>
      <c r="G44" s="157" t="s">
        <v>6785</v>
      </c>
    </row>
    <row r="45" spans="1:7" ht="11.25" customHeight="1" x14ac:dyDescent="0.2">
      <c r="G45" s="24"/>
    </row>
    <row r="46" spans="1:7" ht="11.25" customHeight="1" x14ac:dyDescent="0.2">
      <c r="A46" s="1" t="s">
        <v>2012</v>
      </c>
      <c r="C46" s="2" t="s">
        <v>6653</v>
      </c>
      <c r="D46" s="1" t="s">
        <v>1072</v>
      </c>
      <c r="E46" s="16">
        <v>475</v>
      </c>
      <c r="G46" s="24"/>
    </row>
    <row r="47" spans="1:7" ht="11.25" customHeight="1" x14ac:dyDescent="0.2">
      <c r="C47" s="1" t="s">
        <v>6783</v>
      </c>
      <c r="D47" s="1" t="s">
        <v>1239</v>
      </c>
      <c r="E47" s="16">
        <v>380</v>
      </c>
      <c r="G47" s="162" t="s">
        <v>6784</v>
      </c>
    </row>
    <row r="48" spans="1:7" ht="11.25" customHeight="1" x14ac:dyDescent="0.2">
      <c r="G48" s="24"/>
    </row>
    <row r="49" spans="1:8" ht="11.25" customHeight="1" x14ac:dyDescent="0.2">
      <c r="A49" s="1" t="s">
        <v>2016</v>
      </c>
      <c r="C49" s="2" t="s">
        <v>6786</v>
      </c>
      <c r="D49" s="1" t="s">
        <v>1072</v>
      </c>
      <c r="E49" s="16">
        <v>739</v>
      </c>
      <c r="G49" s="24"/>
    </row>
    <row r="50" spans="1:8" ht="11.25" customHeight="1" x14ac:dyDescent="0.2">
      <c r="C50" s="1" t="s">
        <v>6655</v>
      </c>
      <c r="D50" s="1" t="s">
        <v>1239</v>
      </c>
      <c r="E50" s="16">
        <v>693</v>
      </c>
      <c r="G50" s="162">
        <v>2592</v>
      </c>
    </row>
    <row r="51" spans="1:8" ht="11.25" customHeight="1" x14ac:dyDescent="0.2"/>
    <row r="52" spans="1:8" ht="11.25" customHeight="1" x14ac:dyDescent="0.2">
      <c r="A52" s="1" t="s">
        <v>369</v>
      </c>
      <c r="C52" s="2" t="s">
        <v>6787</v>
      </c>
      <c r="D52" s="1" t="s">
        <v>1072</v>
      </c>
      <c r="E52" s="16">
        <v>948</v>
      </c>
    </row>
    <row r="53" spans="1:8" ht="11.25" customHeight="1" x14ac:dyDescent="0.2">
      <c r="C53" s="1" t="s">
        <v>6788</v>
      </c>
      <c r="D53" s="1" t="s">
        <v>1239</v>
      </c>
      <c r="E53" s="16">
        <v>650</v>
      </c>
      <c r="G53" s="157">
        <v>2222</v>
      </c>
    </row>
    <row r="54" spans="1:8" ht="11.25" customHeight="1" x14ac:dyDescent="0.2"/>
    <row r="55" spans="1:8" ht="11.25" customHeight="1" x14ac:dyDescent="0.2">
      <c r="A55" s="1" t="s">
        <v>1919</v>
      </c>
      <c r="C55" s="2" t="s">
        <v>6567</v>
      </c>
      <c r="D55" s="1" t="s">
        <v>1072</v>
      </c>
      <c r="E55" s="16">
        <v>5407</v>
      </c>
    </row>
    <row r="56" spans="1:8" ht="11.25" customHeight="1" x14ac:dyDescent="0.2">
      <c r="C56" s="2" t="s">
        <v>6549</v>
      </c>
      <c r="D56" s="1" t="s">
        <v>1072</v>
      </c>
      <c r="E56" s="16">
        <v>5107</v>
      </c>
    </row>
    <row r="57" spans="1:8" ht="11.25" customHeight="1" x14ac:dyDescent="0.2">
      <c r="C57" s="1" t="s">
        <v>6638</v>
      </c>
      <c r="D57" s="1" t="s">
        <v>1239</v>
      </c>
      <c r="E57" s="16">
        <v>4913</v>
      </c>
    </row>
    <row r="58" spans="1:8" ht="11.25" customHeight="1" x14ac:dyDescent="0.2">
      <c r="C58" s="1" t="s">
        <v>6789</v>
      </c>
      <c r="D58" s="1" t="s">
        <v>1239</v>
      </c>
      <c r="E58" s="16">
        <v>4499</v>
      </c>
    </row>
    <row r="59" spans="1:8" ht="11.25" customHeight="1" x14ac:dyDescent="0.2">
      <c r="C59" s="1" t="s">
        <v>6790</v>
      </c>
      <c r="D59" s="1" t="s">
        <v>653</v>
      </c>
      <c r="E59" s="16">
        <v>643</v>
      </c>
      <c r="G59" s="19" t="s">
        <v>6791</v>
      </c>
    </row>
    <row r="60" spans="1:8" s="21" customFormat="1" ht="11.25" customHeight="1" x14ac:dyDescent="0.2">
      <c r="A60" s="1"/>
      <c r="B60" s="1"/>
      <c r="C60" s="1"/>
      <c r="D60" s="1"/>
      <c r="E60" s="16"/>
      <c r="F60" s="34"/>
      <c r="H60" s="81"/>
    </row>
    <row r="61" spans="1:8" s="21" customFormat="1" ht="11.25" customHeight="1" x14ac:dyDescent="0.2">
      <c r="A61" s="1" t="s">
        <v>6664</v>
      </c>
      <c r="B61" s="1"/>
      <c r="C61" s="2" t="s">
        <v>6414</v>
      </c>
      <c r="D61" s="1" t="s">
        <v>1239</v>
      </c>
      <c r="E61" s="16">
        <v>1523</v>
      </c>
      <c r="F61" s="34"/>
      <c r="H61" s="81"/>
    </row>
    <row r="62" spans="1:8" s="21" customFormat="1" ht="11.25" customHeight="1" x14ac:dyDescent="0.2">
      <c r="A62" s="1"/>
      <c r="B62" s="1"/>
      <c r="C62" s="1" t="s">
        <v>6792</v>
      </c>
      <c r="D62" s="1" t="s">
        <v>1072</v>
      </c>
      <c r="E62" s="16">
        <v>1275</v>
      </c>
      <c r="F62" s="34"/>
      <c r="G62" s="21">
        <v>4415</v>
      </c>
      <c r="H62" s="81"/>
    </row>
    <row r="63" spans="1:8" s="21" customFormat="1" ht="11.25" customHeight="1" x14ac:dyDescent="0.2">
      <c r="A63" s="1"/>
      <c r="B63" s="1"/>
      <c r="C63" s="1"/>
      <c r="D63" s="1"/>
      <c r="E63" s="16"/>
      <c r="F63" s="34"/>
      <c r="H63" s="81"/>
    </row>
    <row r="64" spans="1:8" s="21" customFormat="1" ht="11.25" customHeight="1" x14ac:dyDescent="0.2">
      <c r="A64" s="1" t="s">
        <v>6666</v>
      </c>
      <c r="B64" s="1"/>
      <c r="C64" s="2" t="s">
        <v>6567</v>
      </c>
      <c r="D64" s="1" t="s">
        <v>1072</v>
      </c>
      <c r="E64" s="16">
        <v>671</v>
      </c>
      <c r="F64" s="34"/>
      <c r="H64" s="81"/>
    </row>
    <row r="65" spans="1:8" s="21" customFormat="1" ht="11.25" customHeight="1" x14ac:dyDescent="0.2">
      <c r="A65" s="1"/>
      <c r="B65" s="1"/>
      <c r="C65" s="1" t="s">
        <v>6793</v>
      </c>
      <c r="D65" s="1" t="s">
        <v>1239</v>
      </c>
      <c r="E65" s="16">
        <v>644</v>
      </c>
      <c r="F65" s="34"/>
      <c r="G65" s="157" t="s">
        <v>6785</v>
      </c>
      <c r="H65" s="81"/>
    </row>
    <row r="66" spans="1:8" s="21" customFormat="1" ht="11.25" customHeight="1" x14ac:dyDescent="0.2">
      <c r="A66" s="1"/>
      <c r="B66" s="1"/>
      <c r="C66" s="1"/>
      <c r="D66" s="1"/>
      <c r="E66" s="16"/>
      <c r="F66" s="34"/>
      <c r="H66" s="81"/>
    </row>
    <row r="67" spans="1:8" ht="11.25" customHeight="1" x14ac:dyDescent="0.2">
      <c r="A67" s="1" t="s">
        <v>3265</v>
      </c>
      <c r="C67" s="2" t="s">
        <v>6670</v>
      </c>
      <c r="D67" s="1" t="s">
        <v>1072</v>
      </c>
      <c r="E67" s="16">
        <v>641</v>
      </c>
    </row>
    <row r="68" spans="1:8" ht="11.25" customHeight="1" x14ac:dyDescent="0.2">
      <c r="C68" s="1" t="s">
        <v>6794</v>
      </c>
      <c r="D68" s="1" t="s">
        <v>1239</v>
      </c>
      <c r="E68" s="16">
        <v>576</v>
      </c>
      <c r="G68" s="162" t="s">
        <v>6795</v>
      </c>
    </row>
    <row r="69" spans="1:8" ht="11.25" customHeight="1" x14ac:dyDescent="0.2"/>
    <row r="70" spans="1:8" ht="11.25" customHeight="1" x14ac:dyDescent="0.2">
      <c r="A70" s="1" t="s">
        <v>0</v>
      </c>
      <c r="C70" s="2" t="s">
        <v>6672</v>
      </c>
      <c r="D70" s="1" t="s">
        <v>1072</v>
      </c>
      <c r="E70" s="16">
        <v>347</v>
      </c>
    </row>
    <row r="71" spans="1:8" ht="11.25" customHeight="1" x14ac:dyDescent="0.2">
      <c r="C71" s="1" t="s">
        <v>6796</v>
      </c>
      <c r="D71" s="1" t="s">
        <v>1239</v>
      </c>
      <c r="E71" s="16">
        <v>201</v>
      </c>
      <c r="G71" s="162">
        <v>777</v>
      </c>
    </row>
    <row r="72" spans="1:8" ht="11.25" customHeight="1" x14ac:dyDescent="0.2">
      <c r="C72" s="2"/>
    </row>
    <row r="73" spans="1:8" ht="11.25" customHeight="1" x14ac:dyDescent="0.2">
      <c r="A73" s="1" t="s">
        <v>370</v>
      </c>
      <c r="C73" s="2" t="s">
        <v>6572</v>
      </c>
      <c r="D73" s="1" t="s">
        <v>1072</v>
      </c>
      <c r="E73" s="263">
        <v>962</v>
      </c>
    </row>
    <row r="74" spans="1:8" ht="11.25" customHeight="1" x14ac:dyDescent="0.2">
      <c r="C74" s="1" t="s">
        <v>6797</v>
      </c>
      <c r="D74" s="1" t="s">
        <v>1239</v>
      </c>
      <c r="E74" s="263">
        <v>841</v>
      </c>
      <c r="G74" s="19" t="s">
        <v>6798</v>
      </c>
    </row>
    <row r="75" spans="1:8" ht="11.25" customHeight="1" x14ac:dyDescent="0.2">
      <c r="E75" s="27"/>
      <c r="F75" s="35"/>
      <c r="G75" s="151"/>
      <c r="H75" s="85"/>
    </row>
    <row r="76" spans="1:8" ht="11.25" customHeight="1" x14ac:dyDescent="0.2">
      <c r="A76" s="1" t="s">
        <v>6573</v>
      </c>
      <c r="C76" s="2" t="s">
        <v>6799</v>
      </c>
      <c r="D76" s="1" t="s">
        <v>1239</v>
      </c>
      <c r="E76" s="27">
        <v>616</v>
      </c>
      <c r="F76" s="35"/>
      <c r="G76" s="151"/>
      <c r="H76" s="85"/>
    </row>
    <row r="77" spans="1:8" ht="11.25" customHeight="1" x14ac:dyDescent="0.2">
      <c r="C77" s="1" t="s">
        <v>6800</v>
      </c>
      <c r="D77" s="1" t="s">
        <v>1072</v>
      </c>
      <c r="E77" s="27">
        <v>558</v>
      </c>
      <c r="F77" s="35"/>
      <c r="G77" s="151">
        <v>1475</v>
      </c>
      <c r="H77" s="85"/>
    </row>
    <row r="78" spans="1:8" ht="11.25" customHeight="1" x14ac:dyDescent="0.2">
      <c r="E78" s="27"/>
      <c r="F78" s="35"/>
      <c r="G78" s="151"/>
      <c r="H78" s="85"/>
    </row>
    <row r="79" spans="1:8" ht="11.25" customHeight="1" x14ac:dyDescent="0.2">
      <c r="A79" s="1" t="s">
        <v>1742</v>
      </c>
      <c r="C79" s="2" t="s">
        <v>6801</v>
      </c>
      <c r="D79" s="1" t="s">
        <v>1239</v>
      </c>
      <c r="E79" s="16">
        <v>905</v>
      </c>
    </row>
    <row r="80" spans="1:8" ht="11.25" customHeight="1" x14ac:dyDescent="0.2">
      <c r="C80" s="1" t="s">
        <v>6802</v>
      </c>
      <c r="D80" s="1" t="s">
        <v>1072</v>
      </c>
      <c r="E80" s="16">
        <v>766</v>
      </c>
      <c r="G80" s="19" t="s">
        <v>6809</v>
      </c>
    </row>
    <row r="81" spans="1:8" ht="11.25" customHeight="1" x14ac:dyDescent="0.2"/>
    <row r="82" spans="1:8" ht="11.25" customHeight="1" x14ac:dyDescent="0.2">
      <c r="A82" s="1" t="s">
        <v>1744</v>
      </c>
      <c r="C82" s="2" t="s">
        <v>6429</v>
      </c>
      <c r="D82" s="1" t="s">
        <v>1072</v>
      </c>
      <c r="E82" s="16">
        <v>878</v>
      </c>
    </row>
    <row r="83" spans="1:8" ht="11.25" customHeight="1" x14ac:dyDescent="0.2">
      <c r="C83" s="1" t="s">
        <v>6803</v>
      </c>
      <c r="D83" s="1" t="s">
        <v>1239</v>
      </c>
      <c r="E83" s="16">
        <v>624</v>
      </c>
      <c r="G83" s="21">
        <v>2029</v>
      </c>
    </row>
    <row r="84" spans="1:8" ht="11.25" customHeight="1" x14ac:dyDescent="0.2">
      <c r="G84" s="24"/>
    </row>
    <row r="85" spans="1:8" ht="11.25" customHeight="1" x14ac:dyDescent="0.2">
      <c r="A85" s="1" t="s">
        <v>1</v>
      </c>
      <c r="C85" s="2" t="s">
        <v>6804</v>
      </c>
      <c r="D85" s="1" t="s">
        <v>1072</v>
      </c>
      <c r="E85" s="155">
        <v>517</v>
      </c>
      <c r="F85" s="160"/>
      <c r="G85" s="159"/>
      <c r="H85" s="158"/>
    </row>
    <row r="86" spans="1:8" ht="11.25" customHeight="1" x14ac:dyDescent="0.2">
      <c r="C86" s="1" t="s">
        <v>6805</v>
      </c>
      <c r="D86" s="1" t="s">
        <v>1239</v>
      </c>
      <c r="E86" s="27">
        <v>474</v>
      </c>
      <c r="F86" s="261"/>
      <c r="G86" s="27" t="s">
        <v>6806</v>
      </c>
      <c r="H86" s="85"/>
    </row>
    <row r="87" spans="1:8" ht="11.25" customHeight="1" x14ac:dyDescent="0.2"/>
    <row r="88" spans="1:8" ht="11.25" customHeight="1" x14ac:dyDescent="0.2">
      <c r="A88" s="1" t="s">
        <v>1931</v>
      </c>
      <c r="C88" s="2" t="s">
        <v>6807</v>
      </c>
      <c r="D88" s="1" t="s">
        <v>1072</v>
      </c>
      <c r="E88" s="16">
        <v>582</v>
      </c>
    </row>
    <row r="89" spans="1:8" ht="11.25" customHeight="1" x14ac:dyDescent="0.2">
      <c r="C89" s="1" t="s">
        <v>6808</v>
      </c>
      <c r="D89" s="1" t="s">
        <v>1239</v>
      </c>
      <c r="E89" s="16">
        <v>436</v>
      </c>
      <c r="G89" s="21">
        <v>1504</v>
      </c>
    </row>
    <row r="90" spans="1:8" ht="11.25" customHeight="1" x14ac:dyDescent="0.2">
      <c r="G90" s="24"/>
    </row>
    <row r="91" spans="1:8" ht="11.25" customHeight="1" x14ac:dyDescent="0.2">
      <c r="A91" s="1" t="s">
        <v>6681</v>
      </c>
      <c r="C91" s="2" t="s">
        <v>6583</v>
      </c>
      <c r="D91" s="1" t="s">
        <v>1239</v>
      </c>
      <c r="E91" s="263">
        <v>1371</v>
      </c>
      <c r="G91" s="24"/>
    </row>
    <row r="92" spans="1:8" ht="11.25" customHeight="1" x14ac:dyDescent="0.2">
      <c r="C92" s="1" t="s">
        <v>6810</v>
      </c>
      <c r="D92" s="1" t="s">
        <v>1072</v>
      </c>
      <c r="E92" s="263">
        <v>1033</v>
      </c>
      <c r="G92" s="24"/>
    </row>
    <row r="93" spans="1:8" ht="11.25" customHeight="1" x14ac:dyDescent="0.2">
      <c r="C93" s="1" t="s">
        <v>6708</v>
      </c>
      <c r="D93" s="1" t="s">
        <v>6663</v>
      </c>
      <c r="E93" s="263">
        <v>282</v>
      </c>
      <c r="G93" s="24">
        <v>4111</v>
      </c>
    </row>
    <row r="94" spans="1:8" ht="11.25" customHeight="1" x14ac:dyDescent="0.2"/>
    <row r="95" spans="1:8" ht="11.25" customHeight="1" x14ac:dyDescent="0.2">
      <c r="A95" s="1" t="s">
        <v>3185</v>
      </c>
      <c r="C95" s="2" t="s">
        <v>6437</v>
      </c>
      <c r="D95" s="1" t="s">
        <v>1072</v>
      </c>
      <c r="E95" s="155">
        <v>721</v>
      </c>
      <c r="F95" s="160"/>
      <c r="G95" s="157"/>
      <c r="H95" s="158"/>
    </row>
    <row r="96" spans="1:8" ht="11.25" customHeight="1" x14ac:dyDescent="0.2">
      <c r="C96" s="1" t="s">
        <v>6813</v>
      </c>
      <c r="D96" s="1" t="s">
        <v>1239</v>
      </c>
      <c r="E96" s="27">
        <v>339</v>
      </c>
      <c r="F96" s="261"/>
      <c r="G96" s="151"/>
      <c r="H96" s="85"/>
    </row>
    <row r="97" spans="1:8" ht="11.25" customHeight="1" x14ac:dyDescent="0.2">
      <c r="C97" s="1" t="s">
        <v>6811</v>
      </c>
      <c r="D97" s="1" t="s">
        <v>653</v>
      </c>
      <c r="E97" s="27">
        <v>202</v>
      </c>
      <c r="F97" s="261"/>
      <c r="G97" s="151"/>
      <c r="H97" s="85"/>
    </row>
    <row r="98" spans="1:8" ht="11.25" customHeight="1" x14ac:dyDescent="0.2">
      <c r="C98" s="1" t="s">
        <v>6812</v>
      </c>
      <c r="D98" s="1" t="s">
        <v>653</v>
      </c>
      <c r="E98" s="27">
        <v>124</v>
      </c>
      <c r="F98" s="261"/>
      <c r="G98" s="151">
        <v>1772</v>
      </c>
      <c r="H98" s="85"/>
    </row>
    <row r="99" spans="1:8" ht="11.25" customHeight="1" x14ac:dyDescent="0.2"/>
    <row r="100" spans="1:8" ht="11.25" customHeight="1" x14ac:dyDescent="0.2">
      <c r="A100" s="1" t="s">
        <v>1752</v>
      </c>
      <c r="C100" s="2" t="s">
        <v>6684</v>
      </c>
      <c r="D100" s="1" t="s">
        <v>1239</v>
      </c>
      <c r="E100" s="16">
        <v>579</v>
      </c>
    </row>
    <row r="101" spans="1:8" ht="11.25" customHeight="1" x14ac:dyDescent="0.2">
      <c r="C101" s="1" t="s">
        <v>6731</v>
      </c>
      <c r="D101" s="1" t="s">
        <v>1072</v>
      </c>
      <c r="E101" s="16">
        <v>560</v>
      </c>
      <c r="G101" s="157" t="s">
        <v>6785</v>
      </c>
    </row>
    <row r="102" spans="1:8" ht="11.25" customHeight="1" x14ac:dyDescent="0.2"/>
    <row r="103" spans="1:8" ht="11.25" customHeight="1" x14ac:dyDescent="0.2">
      <c r="A103" s="1" t="s">
        <v>2300</v>
      </c>
      <c r="C103" s="2" t="s">
        <v>6685</v>
      </c>
      <c r="D103" s="1" t="s">
        <v>1239</v>
      </c>
      <c r="E103" s="263">
        <v>1843</v>
      </c>
    </row>
    <row r="104" spans="1:8" ht="11.25" customHeight="1" x14ac:dyDescent="0.2">
      <c r="C104" s="1" t="s">
        <v>6507</v>
      </c>
      <c r="D104" s="1" t="s">
        <v>1072</v>
      </c>
      <c r="E104" s="263">
        <v>1823</v>
      </c>
      <c r="G104" s="157" t="s">
        <v>6785</v>
      </c>
    </row>
    <row r="105" spans="1:8" ht="11.25" customHeight="1" x14ac:dyDescent="0.2"/>
    <row r="106" spans="1:8" ht="11.25" customHeight="1" x14ac:dyDescent="0.2">
      <c r="A106" s="1" t="s">
        <v>6443</v>
      </c>
      <c r="C106" s="2" t="s">
        <v>6814</v>
      </c>
      <c r="D106" s="1" t="s">
        <v>1072</v>
      </c>
      <c r="E106" s="16">
        <v>463</v>
      </c>
    </row>
    <row r="107" spans="1:8" ht="11.25" customHeight="1" x14ac:dyDescent="0.2">
      <c r="C107" s="1" t="s">
        <v>6687</v>
      </c>
      <c r="D107" s="1" t="s">
        <v>1239</v>
      </c>
      <c r="E107" s="16">
        <v>315</v>
      </c>
      <c r="G107" s="21">
        <v>954</v>
      </c>
    </row>
    <row r="108" spans="1:8" ht="11.25" customHeight="1" x14ac:dyDescent="0.2"/>
    <row r="109" spans="1:8" ht="11.25" customHeight="1" x14ac:dyDescent="0.2">
      <c r="A109" s="1" t="s">
        <v>6447</v>
      </c>
      <c r="C109" s="2" t="s">
        <v>6688</v>
      </c>
      <c r="D109" s="1" t="s">
        <v>1239</v>
      </c>
      <c r="E109" s="16">
        <v>594</v>
      </c>
    </row>
    <row r="110" spans="1:8" ht="11.25" customHeight="1" x14ac:dyDescent="0.2">
      <c r="C110" s="1" t="s">
        <v>6815</v>
      </c>
      <c r="D110" s="1" t="s">
        <v>1072</v>
      </c>
      <c r="E110" s="16">
        <v>380</v>
      </c>
      <c r="G110" s="265" t="s">
        <v>6816</v>
      </c>
    </row>
    <row r="111" spans="1:8" ht="11.25" customHeight="1" x14ac:dyDescent="0.2">
      <c r="G111" s="24"/>
    </row>
    <row r="112" spans="1:8" ht="11.25" customHeight="1" x14ac:dyDescent="0.2">
      <c r="A112" s="1" t="s">
        <v>1241</v>
      </c>
      <c r="C112" s="2" t="s">
        <v>6594</v>
      </c>
      <c r="D112" s="1" t="s">
        <v>1072</v>
      </c>
      <c r="E112" s="16">
        <v>1283</v>
      </c>
      <c r="G112" s="24"/>
    </row>
    <row r="113" spans="1:8" ht="11.25" customHeight="1" x14ac:dyDescent="0.2">
      <c r="C113" s="1" t="s">
        <v>6817</v>
      </c>
      <c r="D113" s="1" t="s">
        <v>1239</v>
      </c>
      <c r="E113" s="16">
        <v>994</v>
      </c>
      <c r="G113" s="24"/>
    </row>
    <row r="114" spans="1:8" ht="11.25" customHeight="1" x14ac:dyDescent="0.2">
      <c r="E114" s="155">
        <v>2277</v>
      </c>
      <c r="F114" s="156"/>
      <c r="G114" s="162" t="s">
        <v>6717</v>
      </c>
      <c r="H114" s="158"/>
    </row>
    <row r="115" spans="1:8" ht="11.25" customHeight="1" x14ac:dyDescent="0.2"/>
    <row r="116" spans="1:8" ht="11.25" customHeight="1" x14ac:dyDescent="0.2">
      <c r="A116" s="1" t="s">
        <v>415</v>
      </c>
      <c r="C116" s="2" t="s">
        <v>6818</v>
      </c>
      <c r="D116" s="1" t="s">
        <v>1239</v>
      </c>
      <c r="E116" s="16">
        <v>475</v>
      </c>
    </row>
    <row r="117" spans="1:8" ht="11.25" customHeight="1" x14ac:dyDescent="0.2">
      <c r="A117" s="264" t="s">
        <v>6822</v>
      </c>
      <c r="C117" s="1" t="s">
        <v>6819</v>
      </c>
      <c r="D117" s="1" t="s">
        <v>1072</v>
      </c>
      <c r="E117" s="16">
        <v>437</v>
      </c>
    </row>
    <row r="118" spans="1:8" ht="11.25" customHeight="1" x14ac:dyDescent="0.2">
      <c r="C118" s="1" t="s">
        <v>6820</v>
      </c>
      <c r="D118" s="1" t="s">
        <v>1548</v>
      </c>
      <c r="E118" s="16">
        <v>47</v>
      </c>
      <c r="G118" s="19" t="s">
        <v>6821</v>
      </c>
    </row>
    <row r="119" spans="1:8" ht="11.25" customHeight="1" x14ac:dyDescent="0.2">
      <c r="G119" s="24"/>
    </row>
    <row r="120" spans="1:8" ht="11.25" customHeight="1" x14ac:dyDescent="0.2">
      <c r="A120" s="1" t="s">
        <v>718</v>
      </c>
      <c r="C120" s="2" t="s">
        <v>6694</v>
      </c>
      <c r="D120" s="1" t="s">
        <v>1072</v>
      </c>
      <c r="E120" s="263">
        <v>432</v>
      </c>
      <c r="G120" s="24"/>
    </row>
    <row r="121" spans="1:8" ht="11.25" customHeight="1" x14ac:dyDescent="0.2">
      <c r="C121" s="1" t="s">
        <v>6824</v>
      </c>
      <c r="D121" s="1" t="s">
        <v>1239</v>
      </c>
      <c r="E121" s="263">
        <v>421</v>
      </c>
      <c r="G121" s="16" t="s">
        <v>6825</v>
      </c>
    </row>
    <row r="122" spans="1:8" ht="11.25" customHeight="1" x14ac:dyDescent="0.2"/>
    <row r="123" spans="1:8" ht="11.25" customHeight="1" x14ac:dyDescent="0.2">
      <c r="A123" s="1" t="s">
        <v>794</v>
      </c>
      <c r="C123" s="2" t="s">
        <v>6826</v>
      </c>
      <c r="D123" s="1" t="s">
        <v>1239</v>
      </c>
      <c r="E123" s="16">
        <v>487</v>
      </c>
    </row>
    <row r="124" spans="1:8" ht="11.25" customHeight="1" x14ac:dyDescent="0.2">
      <c r="C124" s="1" t="s">
        <v>6827</v>
      </c>
      <c r="D124" s="1" t="s">
        <v>1072</v>
      </c>
      <c r="E124" s="16">
        <v>426</v>
      </c>
      <c r="G124" s="21">
        <v>1053</v>
      </c>
    </row>
    <row r="125" spans="1:8" ht="11.25" customHeight="1" x14ac:dyDescent="0.2"/>
    <row r="126" spans="1:8" ht="11.25" customHeight="1" x14ac:dyDescent="0.2">
      <c r="A126" s="1" t="s">
        <v>2340</v>
      </c>
      <c r="C126" s="2" t="s">
        <v>6606</v>
      </c>
      <c r="D126" s="1" t="s">
        <v>1072</v>
      </c>
      <c r="E126" s="155">
        <v>485</v>
      </c>
      <c r="F126" s="160"/>
      <c r="G126" s="157"/>
      <c r="H126" s="158"/>
    </row>
    <row r="127" spans="1:8" ht="11.25" customHeight="1" x14ac:dyDescent="0.2">
      <c r="C127" s="1" t="s">
        <v>6828</v>
      </c>
      <c r="D127" s="1" t="s">
        <v>1239</v>
      </c>
      <c r="E127" s="27">
        <v>257</v>
      </c>
      <c r="F127" s="261"/>
      <c r="G127" s="151"/>
      <c r="H127" s="85"/>
    </row>
    <row r="128" spans="1:8" ht="11.25" customHeight="1" x14ac:dyDescent="0.2">
      <c r="C128" s="1" t="s">
        <v>6605</v>
      </c>
      <c r="D128" s="1" t="s">
        <v>653</v>
      </c>
      <c r="E128" s="27">
        <v>197</v>
      </c>
      <c r="F128" s="261"/>
      <c r="G128" s="13" t="s">
        <v>6925</v>
      </c>
      <c r="H128" s="85"/>
    </row>
    <row r="129" spans="1:8" ht="11.25" customHeight="1" x14ac:dyDescent="0.2">
      <c r="E129" s="27"/>
      <c r="F129" s="35"/>
      <c r="G129" s="151"/>
      <c r="H129" s="85"/>
    </row>
    <row r="130" spans="1:8" ht="11.25" customHeight="1" x14ac:dyDescent="0.2">
      <c r="A130" s="1" t="s">
        <v>6607</v>
      </c>
      <c r="C130" s="2" t="s">
        <v>6442</v>
      </c>
      <c r="D130" s="1" t="s">
        <v>1072</v>
      </c>
      <c r="E130" s="263">
        <v>645</v>
      </c>
      <c r="F130" s="35"/>
      <c r="G130" s="151"/>
      <c r="H130" s="85"/>
    </row>
    <row r="131" spans="1:8" ht="11.25" customHeight="1" x14ac:dyDescent="0.2">
      <c r="C131" s="1" t="s">
        <v>6829</v>
      </c>
      <c r="D131" s="1" t="s">
        <v>1239</v>
      </c>
      <c r="E131" s="263">
        <v>428</v>
      </c>
      <c r="F131" s="35"/>
      <c r="G131" s="13" t="s">
        <v>6830</v>
      </c>
      <c r="H131" s="85"/>
    </row>
    <row r="132" spans="1:8" ht="11.25" customHeight="1" x14ac:dyDescent="0.2"/>
    <row r="133" spans="1:8" ht="11.25" customHeight="1" x14ac:dyDescent="0.2">
      <c r="A133" s="1" t="s">
        <v>2341</v>
      </c>
      <c r="C133" s="2" t="s">
        <v>6701</v>
      </c>
      <c r="D133" s="1" t="s">
        <v>1239</v>
      </c>
      <c r="E133" s="16">
        <v>869</v>
      </c>
    </row>
    <row r="134" spans="1:8" ht="11.25" customHeight="1" x14ac:dyDescent="0.2">
      <c r="C134" s="1" t="s">
        <v>6702</v>
      </c>
      <c r="D134" s="1" t="s">
        <v>1072</v>
      </c>
      <c r="E134" s="16">
        <v>786</v>
      </c>
    </row>
    <row r="135" spans="1:8" ht="11.25" customHeight="1" x14ac:dyDescent="0.2">
      <c r="C135" s="1" t="s">
        <v>6831</v>
      </c>
      <c r="D135" s="1" t="s">
        <v>653</v>
      </c>
      <c r="E135" s="16">
        <v>197</v>
      </c>
      <c r="G135" s="21">
        <v>2497</v>
      </c>
    </row>
    <row r="136" spans="1:8" ht="11.25" customHeight="1" x14ac:dyDescent="0.2"/>
    <row r="137" spans="1:8" ht="11.25" customHeight="1" x14ac:dyDescent="0.2">
      <c r="A137" s="1" t="s">
        <v>807</v>
      </c>
      <c r="C137" s="2" t="s">
        <v>6832</v>
      </c>
      <c r="D137" s="1" t="s">
        <v>1072</v>
      </c>
      <c r="E137" s="263">
        <v>669</v>
      </c>
    </row>
    <row r="138" spans="1:8" ht="11.25" customHeight="1" x14ac:dyDescent="0.2">
      <c r="C138" s="1" t="s">
        <v>6833</v>
      </c>
      <c r="D138" s="1" t="s">
        <v>1239</v>
      </c>
      <c r="E138" s="263">
        <v>535</v>
      </c>
      <c r="G138" s="19" t="s">
        <v>6834</v>
      </c>
    </row>
    <row r="139" spans="1:8" ht="11.25" customHeight="1" x14ac:dyDescent="0.2"/>
    <row r="140" spans="1:8" ht="11.25" customHeight="1" x14ac:dyDescent="0.2">
      <c r="A140" s="1" t="s">
        <v>810</v>
      </c>
      <c r="C140" s="2" t="s">
        <v>6835</v>
      </c>
      <c r="D140" s="1" t="s">
        <v>1239</v>
      </c>
      <c r="E140" s="263">
        <v>1099</v>
      </c>
    </row>
    <row r="141" spans="1:8" ht="11.25" customHeight="1" x14ac:dyDescent="0.2">
      <c r="C141" s="1" t="s">
        <v>6836</v>
      </c>
      <c r="D141" s="1" t="s">
        <v>6663</v>
      </c>
      <c r="E141" s="263">
        <v>1018</v>
      </c>
    </row>
    <row r="142" spans="1:8" ht="11.25" customHeight="1" x14ac:dyDescent="0.2">
      <c r="C142" s="1" t="s">
        <v>6837</v>
      </c>
      <c r="D142" s="1" t="s">
        <v>1072</v>
      </c>
      <c r="E142" s="263">
        <v>516</v>
      </c>
      <c r="G142" s="19" t="s">
        <v>6838</v>
      </c>
    </row>
    <row r="143" spans="1:8" ht="11.25" customHeight="1" x14ac:dyDescent="0.2"/>
    <row r="144" spans="1:8" ht="11.25" customHeight="1" x14ac:dyDescent="0.2">
      <c r="A144" s="1" t="s">
        <v>446</v>
      </c>
      <c r="C144" s="2" t="s">
        <v>1463</v>
      </c>
      <c r="D144" s="1" t="s">
        <v>1072</v>
      </c>
      <c r="E144" s="16">
        <v>620</v>
      </c>
      <c r="G144" s="24"/>
    </row>
    <row r="145" spans="1:8" ht="11.25" customHeight="1" x14ac:dyDescent="0.2">
      <c r="C145" s="1" t="s">
        <v>6704</v>
      </c>
      <c r="D145" s="1" t="s">
        <v>1239</v>
      </c>
      <c r="E145" s="16">
        <v>404</v>
      </c>
      <c r="G145" s="16" t="s">
        <v>6839</v>
      </c>
    </row>
    <row r="146" spans="1:8" ht="11.25" customHeight="1" x14ac:dyDescent="0.2"/>
    <row r="147" spans="1:8" ht="11.25" customHeight="1" x14ac:dyDescent="0.2">
      <c r="A147" s="1" t="s">
        <v>3262</v>
      </c>
      <c r="C147" s="2" t="s">
        <v>6622</v>
      </c>
      <c r="D147" s="1" t="s">
        <v>1072</v>
      </c>
      <c r="E147" s="16">
        <v>441</v>
      </c>
    </row>
    <row r="148" spans="1:8" ht="11.25" customHeight="1" x14ac:dyDescent="0.2">
      <c r="C148" s="1" t="s">
        <v>6840</v>
      </c>
      <c r="D148" s="1" t="s">
        <v>1239</v>
      </c>
      <c r="E148" s="16">
        <v>350</v>
      </c>
      <c r="G148" s="19" t="s">
        <v>6841</v>
      </c>
    </row>
    <row r="149" spans="1:8" ht="11.25" customHeight="1" x14ac:dyDescent="0.2">
      <c r="E149" s="27"/>
      <c r="F149" s="35"/>
      <c r="G149" s="151"/>
      <c r="H149" s="85"/>
    </row>
    <row r="150" spans="1:8" ht="11.25" customHeight="1" x14ac:dyDescent="0.2">
      <c r="A150" s="1" t="s">
        <v>1385</v>
      </c>
      <c r="C150" s="2" t="s">
        <v>6614</v>
      </c>
      <c r="D150" s="1" t="s">
        <v>1072</v>
      </c>
      <c r="E150" s="263">
        <v>889</v>
      </c>
      <c r="F150" s="262"/>
    </row>
    <row r="151" spans="1:8" ht="11.25" customHeight="1" x14ac:dyDescent="0.2">
      <c r="C151" s="1" t="s">
        <v>6842</v>
      </c>
      <c r="D151" s="1" t="s">
        <v>1239</v>
      </c>
      <c r="E151" s="16">
        <v>371</v>
      </c>
      <c r="G151" s="16" t="s">
        <v>6843</v>
      </c>
    </row>
    <row r="152" spans="1:8" ht="11.25" customHeight="1" x14ac:dyDescent="0.2"/>
    <row r="153" spans="1:8" ht="11.25" customHeight="1" x14ac:dyDescent="0.2">
      <c r="A153" s="1" t="s">
        <v>1552</v>
      </c>
      <c r="C153" s="2" t="s">
        <v>6845</v>
      </c>
      <c r="D153" s="1" t="s">
        <v>1072</v>
      </c>
      <c r="E153" s="16">
        <v>928</v>
      </c>
    </row>
    <row r="154" spans="1:8" ht="11.25" customHeight="1" x14ac:dyDescent="0.2">
      <c r="C154" s="1" t="s">
        <v>6844</v>
      </c>
      <c r="D154" s="1" t="s">
        <v>1239</v>
      </c>
      <c r="E154" s="16">
        <v>907</v>
      </c>
    </row>
    <row r="155" spans="1:8" ht="11.25" customHeight="1" x14ac:dyDescent="0.2">
      <c r="C155" s="1" t="s">
        <v>6846</v>
      </c>
      <c r="D155" s="1" t="s">
        <v>653</v>
      </c>
      <c r="E155" s="16">
        <v>198</v>
      </c>
      <c r="G155" s="21" t="s">
        <v>6785</v>
      </c>
    </row>
    <row r="156" spans="1:8" ht="11.25" customHeight="1" x14ac:dyDescent="0.2"/>
    <row r="157" spans="1:8" ht="11.25" customHeight="1" x14ac:dyDescent="0.2">
      <c r="A157" s="1" t="s">
        <v>2545</v>
      </c>
      <c r="C157" s="2" t="s">
        <v>6847</v>
      </c>
      <c r="D157" s="1" t="s">
        <v>1239</v>
      </c>
      <c r="E157" s="16">
        <v>577</v>
      </c>
    </row>
    <row r="158" spans="1:8" ht="11.25" customHeight="1" x14ac:dyDescent="0.2">
      <c r="C158" s="1" t="s">
        <v>6848</v>
      </c>
      <c r="D158" s="1" t="s">
        <v>1072</v>
      </c>
      <c r="E158" s="16">
        <v>368</v>
      </c>
      <c r="G158" s="19" t="s">
        <v>6849</v>
      </c>
    </row>
    <row r="159" spans="1:8" ht="11.25" customHeight="1" x14ac:dyDescent="0.2">
      <c r="E159" s="27"/>
      <c r="F159" s="35"/>
      <c r="G159" s="13"/>
      <c r="H159" s="85"/>
    </row>
    <row r="160" spans="1:8" ht="11.25" customHeight="1" x14ac:dyDescent="0.2">
      <c r="A160" s="1" t="s">
        <v>1470</v>
      </c>
      <c r="C160" s="2" t="s">
        <v>6546</v>
      </c>
      <c r="D160" s="1" t="s">
        <v>1072</v>
      </c>
      <c r="E160" s="16">
        <v>936</v>
      </c>
    </row>
    <row r="161" spans="1:7" ht="11.25" customHeight="1" x14ac:dyDescent="0.2">
      <c r="C161" s="1" t="s">
        <v>6850</v>
      </c>
      <c r="D161" s="1" t="s">
        <v>1239</v>
      </c>
      <c r="E161" s="16">
        <v>556</v>
      </c>
      <c r="G161" s="21">
        <v>2134</v>
      </c>
    </row>
    <row r="162" spans="1:7" ht="11.25" customHeight="1" x14ac:dyDescent="0.2">
      <c r="G162" s="24"/>
    </row>
    <row r="163" spans="1:7" ht="11.25" customHeight="1" x14ac:dyDescent="0.2">
      <c r="A163" s="1" t="s">
        <v>1198</v>
      </c>
      <c r="C163" s="2" t="s">
        <v>6624</v>
      </c>
      <c r="D163" s="1" t="s">
        <v>1072</v>
      </c>
      <c r="E163" s="16">
        <v>1231</v>
      </c>
      <c r="G163" s="24"/>
    </row>
    <row r="164" spans="1:7" ht="11.25" customHeight="1" x14ac:dyDescent="0.2">
      <c r="C164" s="1" t="s">
        <v>6851</v>
      </c>
      <c r="D164" s="1" t="s">
        <v>1239</v>
      </c>
      <c r="E164" s="16">
        <v>341</v>
      </c>
      <c r="G164" s="24"/>
    </row>
    <row r="165" spans="1:7" ht="11.25" customHeight="1" x14ac:dyDescent="0.2">
      <c r="C165" s="1" t="s">
        <v>6852</v>
      </c>
      <c r="D165" s="1" t="s">
        <v>6663</v>
      </c>
      <c r="E165" s="16">
        <v>234</v>
      </c>
      <c r="G165" s="24">
        <v>3341</v>
      </c>
    </row>
    <row r="166" spans="1:7" ht="11.25" customHeight="1" x14ac:dyDescent="0.2"/>
    <row r="167" spans="1:7" ht="11.25" customHeight="1" x14ac:dyDescent="0.2">
      <c r="A167" s="1" t="s">
        <v>2283</v>
      </c>
      <c r="C167" s="2" t="s">
        <v>6625</v>
      </c>
      <c r="D167" s="1" t="s">
        <v>1072</v>
      </c>
      <c r="E167" s="16">
        <v>812</v>
      </c>
    </row>
    <row r="168" spans="1:7" ht="11.25" customHeight="1" x14ac:dyDescent="0.2">
      <c r="C168" s="1" t="s">
        <v>6853</v>
      </c>
      <c r="D168" s="1" t="s">
        <v>653</v>
      </c>
      <c r="E168" s="16">
        <v>544</v>
      </c>
    </row>
    <row r="169" spans="1:7" ht="11.25" customHeight="1" x14ac:dyDescent="0.2">
      <c r="C169" s="1" t="s">
        <v>6854</v>
      </c>
      <c r="D169" s="1" t="s">
        <v>1239</v>
      </c>
      <c r="E169" s="16">
        <v>420</v>
      </c>
      <c r="G169" s="19" t="s">
        <v>6855</v>
      </c>
    </row>
    <row r="170" spans="1:7" ht="11.25" customHeight="1" x14ac:dyDescent="0.2">
      <c r="G170" s="24"/>
    </row>
    <row r="171" spans="1:7" ht="11.25" customHeight="1" x14ac:dyDescent="0.2">
      <c r="A171" s="1" t="s">
        <v>1309</v>
      </c>
      <c r="C171" s="2" t="s">
        <v>6731</v>
      </c>
      <c r="D171" s="1" t="s">
        <v>1072</v>
      </c>
      <c r="E171" s="16">
        <v>772</v>
      </c>
      <c r="G171" s="24"/>
    </row>
    <row r="172" spans="1:7" ht="11.25" customHeight="1" x14ac:dyDescent="0.2">
      <c r="C172" s="1" t="s">
        <v>6856</v>
      </c>
      <c r="D172" s="1" t="s">
        <v>1239</v>
      </c>
      <c r="E172" s="16">
        <v>571</v>
      </c>
      <c r="G172" s="24"/>
    </row>
    <row r="173" spans="1:7" ht="11.25" customHeight="1" x14ac:dyDescent="0.2">
      <c r="C173" s="1" t="s">
        <v>6857</v>
      </c>
      <c r="D173" s="1" t="s">
        <v>653</v>
      </c>
      <c r="E173" s="16">
        <v>276</v>
      </c>
      <c r="G173" s="19" t="s">
        <v>6858</v>
      </c>
    </row>
    <row r="174" spans="1:7" ht="11.25" customHeight="1" x14ac:dyDescent="0.2"/>
    <row r="175" spans="1:7" ht="11.25" customHeight="1" x14ac:dyDescent="0.2">
      <c r="A175" s="1" t="s">
        <v>1492</v>
      </c>
      <c r="C175" s="2" t="s">
        <v>6488</v>
      </c>
      <c r="D175" s="1" t="s">
        <v>1072</v>
      </c>
      <c r="E175" s="263">
        <v>773</v>
      </c>
    </row>
    <row r="176" spans="1:7" ht="11.25" customHeight="1" x14ac:dyDescent="0.2">
      <c r="C176" s="1" t="s">
        <v>6859</v>
      </c>
      <c r="D176" s="1" t="s">
        <v>1239</v>
      </c>
      <c r="E176" s="263">
        <v>268</v>
      </c>
    </row>
    <row r="177" spans="1:7" ht="11.25" customHeight="1" x14ac:dyDescent="0.2">
      <c r="C177" s="1" t="s">
        <v>6860</v>
      </c>
      <c r="D177" s="1" t="s">
        <v>653</v>
      </c>
      <c r="E177" s="263">
        <v>196</v>
      </c>
      <c r="G177" s="19" t="s">
        <v>6861</v>
      </c>
    </row>
    <row r="178" spans="1:7" ht="11.25" customHeight="1" x14ac:dyDescent="0.2">
      <c r="G178" s="24"/>
    </row>
    <row r="179" spans="1:7" ht="11.25" customHeight="1" x14ac:dyDescent="0.2">
      <c r="A179" s="1" t="s">
        <v>2564</v>
      </c>
      <c r="C179" s="2" t="s">
        <v>6734</v>
      </c>
      <c r="D179" s="1" t="s">
        <v>1239</v>
      </c>
      <c r="E179" s="263">
        <v>711</v>
      </c>
      <c r="G179" s="24"/>
    </row>
    <row r="180" spans="1:7" ht="11.25" customHeight="1" x14ac:dyDescent="0.2">
      <c r="C180" s="1" t="s">
        <v>6862</v>
      </c>
      <c r="D180" s="1" t="s">
        <v>1072</v>
      </c>
      <c r="E180" s="263">
        <v>615</v>
      </c>
      <c r="G180" s="24">
        <v>2082</v>
      </c>
    </row>
    <row r="181" spans="1:7" ht="11.25" customHeight="1" x14ac:dyDescent="0.2"/>
    <row r="182" spans="1:7" ht="11.25" customHeight="1" x14ac:dyDescent="0.2">
      <c r="A182" s="1" t="s">
        <v>1199</v>
      </c>
      <c r="C182" s="2" t="s">
        <v>1501</v>
      </c>
      <c r="D182" s="1" t="s">
        <v>1072</v>
      </c>
      <c r="E182" s="16">
        <v>314</v>
      </c>
    </row>
    <row r="183" spans="1:7" ht="11.25" customHeight="1" x14ac:dyDescent="0.2">
      <c r="C183" s="1" t="s">
        <v>6863</v>
      </c>
      <c r="D183" s="1" t="s">
        <v>653</v>
      </c>
      <c r="E183" s="16">
        <v>268</v>
      </c>
    </row>
    <row r="184" spans="1:7" ht="11.25" customHeight="1" x14ac:dyDescent="0.2">
      <c r="C184" s="1" t="s">
        <v>6864</v>
      </c>
      <c r="D184" s="1" t="s">
        <v>1239</v>
      </c>
      <c r="E184" s="16">
        <v>137</v>
      </c>
      <c r="G184" s="21">
        <v>1055</v>
      </c>
    </row>
    <row r="185" spans="1:7" ht="11.25" customHeight="1" x14ac:dyDescent="0.2"/>
    <row r="186" spans="1:7" ht="11.25" customHeight="1" x14ac:dyDescent="0.2">
      <c r="A186" s="1" t="s">
        <v>1311</v>
      </c>
      <c r="C186" s="2" t="s">
        <v>6865</v>
      </c>
      <c r="D186" s="1" t="s">
        <v>1072</v>
      </c>
      <c r="E186" s="16">
        <v>780</v>
      </c>
    </row>
    <row r="187" spans="1:7" ht="11.25" customHeight="1" x14ac:dyDescent="0.2">
      <c r="C187" s="1" t="s">
        <v>6866</v>
      </c>
      <c r="D187" s="1" t="s">
        <v>1239</v>
      </c>
      <c r="E187" s="16">
        <v>580</v>
      </c>
      <c r="G187" s="19" t="s">
        <v>6867</v>
      </c>
    </row>
    <row r="188" spans="1:7" ht="11.25" customHeight="1" x14ac:dyDescent="0.2"/>
    <row r="189" spans="1:7" ht="11.25" customHeight="1" x14ac:dyDescent="0.2">
      <c r="A189" s="1" t="s">
        <v>2292</v>
      </c>
      <c r="C189" s="2" t="s">
        <v>1510</v>
      </c>
      <c r="D189" s="1" t="s">
        <v>1072</v>
      </c>
      <c r="E189" s="263">
        <v>499</v>
      </c>
    </row>
    <row r="190" spans="1:7" ht="11.25" customHeight="1" x14ac:dyDescent="0.2">
      <c r="C190" s="1" t="s">
        <v>6868</v>
      </c>
      <c r="D190" s="1" t="s">
        <v>653</v>
      </c>
      <c r="E190" s="263">
        <v>312</v>
      </c>
    </row>
    <row r="191" spans="1:7" ht="11.25" customHeight="1" x14ac:dyDescent="0.2">
      <c r="C191" s="1" t="s">
        <v>1494</v>
      </c>
      <c r="D191" s="1" t="s">
        <v>653</v>
      </c>
      <c r="E191" s="263">
        <v>148</v>
      </c>
    </row>
    <row r="192" spans="1:7" ht="11.25" customHeight="1" x14ac:dyDescent="0.2">
      <c r="C192" s="1" t="s">
        <v>6869</v>
      </c>
      <c r="D192" s="1" t="s">
        <v>1239</v>
      </c>
      <c r="E192" s="263">
        <v>133</v>
      </c>
      <c r="G192" s="21">
        <v>1427</v>
      </c>
    </row>
    <row r="193" spans="1:8" ht="11.25" customHeight="1" x14ac:dyDescent="0.2">
      <c r="F193" s="35"/>
      <c r="G193" s="24"/>
    </row>
    <row r="194" spans="1:8" ht="11.25" customHeight="1" x14ac:dyDescent="0.2">
      <c r="A194" s="22" t="s">
        <v>1131</v>
      </c>
      <c r="B194" s="22"/>
      <c r="C194" s="22"/>
      <c r="D194" s="22"/>
      <c r="E194" s="33" t="s">
        <v>766</v>
      </c>
      <c r="F194" s="39"/>
      <c r="G194" s="23">
        <f>SUM(G5:G189)</f>
        <v>62255</v>
      </c>
      <c r="H194" s="120">
        <f>(188219+7707)/G194*100</f>
        <v>314.71528391293873</v>
      </c>
    </row>
    <row r="195" spans="1:8" ht="11.25" customHeight="1" x14ac:dyDescent="0.2"/>
    <row r="196" spans="1:8" s="5" customFormat="1" ht="11.25" customHeight="1" x14ac:dyDescent="0.2">
      <c r="A196" s="6" t="s">
        <v>1289</v>
      </c>
      <c r="B196" s="6"/>
      <c r="C196" s="8"/>
      <c r="D196" s="8"/>
      <c r="E196" s="137"/>
      <c r="F196" s="138"/>
      <c r="G196" s="139"/>
      <c r="H196" s="82"/>
    </row>
    <row r="197" spans="1:8" s="143" customFormat="1" ht="33.75" customHeight="1" x14ac:dyDescent="0.2">
      <c r="A197" s="272" t="s">
        <v>2651</v>
      </c>
      <c r="B197" s="272"/>
      <c r="C197" s="272"/>
      <c r="D197" s="272"/>
      <c r="E197" s="272"/>
      <c r="F197" s="272"/>
      <c r="G197" s="272"/>
      <c r="H197" s="272"/>
    </row>
    <row r="198" spans="1:8" s="26" customFormat="1" ht="11.25" customHeight="1" x14ac:dyDescent="0.2">
      <c r="A198" s="273" t="s">
        <v>1288</v>
      </c>
      <c r="B198" s="273"/>
      <c r="C198" s="273"/>
      <c r="D198" s="273"/>
      <c r="E198" s="273"/>
      <c r="F198" s="273"/>
      <c r="G198" s="273"/>
      <c r="H198" s="273"/>
    </row>
    <row r="199" spans="1:8" s="26" customFormat="1" ht="11.25" customHeight="1" x14ac:dyDescent="0.2">
      <c r="A199" s="274" t="s">
        <v>2654</v>
      </c>
      <c r="B199" s="274"/>
      <c r="C199" s="274"/>
      <c r="D199" s="274"/>
      <c r="E199" s="274"/>
      <c r="F199" s="274"/>
      <c r="G199" s="274"/>
      <c r="H199" s="274"/>
    </row>
    <row r="200" spans="1:8" s="26" customFormat="1" ht="11.25" customHeight="1" x14ac:dyDescent="0.2">
      <c r="A200" s="273" t="s">
        <v>2655</v>
      </c>
      <c r="B200" s="273"/>
      <c r="C200" s="273"/>
      <c r="D200" s="273"/>
      <c r="E200" s="273"/>
      <c r="F200" s="273"/>
      <c r="G200" s="273"/>
      <c r="H200" s="273"/>
    </row>
    <row r="201" spans="1:8" ht="11.25" customHeight="1" x14ac:dyDescent="0.2"/>
  </sheetData>
  <mergeCells count="6">
    <mergeCell ref="A200:H200"/>
    <mergeCell ref="A1:H1"/>
    <mergeCell ref="F2:H2"/>
    <mergeCell ref="A197:H197"/>
    <mergeCell ref="A198:H198"/>
    <mergeCell ref="A199:H199"/>
  </mergeCells>
  <pageMargins left="0.5" right="0.16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"/>
  <sheetViews>
    <sheetView zoomScaleNormal="100" workbookViewId="0">
      <pane ySplit="3" topLeftCell="A217" activePane="bottomLeft" state="frozen"/>
      <selection activeCell="G3" sqref="G3"/>
      <selection pane="bottomLeft" activeCell="E243" sqref="E243"/>
    </sheetView>
  </sheetViews>
  <sheetFormatPr defaultRowHeight="11.25" x14ac:dyDescent="0.2"/>
  <cols>
    <col min="1" max="1" width="20.7109375" style="1" customWidth="1"/>
    <col min="2" max="2" width="2.7109375" style="1" customWidth="1"/>
    <col min="3" max="3" width="20.7109375" style="1" customWidth="1"/>
    <col min="4" max="4" width="18.7109375" style="1" customWidth="1"/>
    <col min="5" max="5" width="9.7109375" style="16" customWidth="1"/>
    <col min="6" max="6" width="9.7109375" style="34" customWidth="1"/>
    <col min="7" max="7" width="8.7109375" style="21" customWidth="1"/>
    <col min="8" max="8" width="7.7109375" style="81" customWidth="1"/>
    <col min="9" max="16384" width="9.140625" style="1"/>
  </cols>
  <sheetData>
    <row r="1" spans="1:8" s="71" customFormat="1" ht="24" customHeight="1" x14ac:dyDescent="0.2">
      <c r="A1" s="270" t="s">
        <v>2332</v>
      </c>
      <c r="B1" s="270"/>
      <c r="C1" s="270"/>
      <c r="D1" s="270"/>
      <c r="E1" s="270"/>
      <c r="F1" s="270"/>
      <c r="G1" s="270"/>
      <c r="H1" s="270"/>
    </row>
    <row r="2" spans="1:8" s="37" customFormat="1" ht="42" customHeight="1" thickBot="1" x14ac:dyDescent="0.25">
      <c r="A2" s="36" t="s">
        <v>4782</v>
      </c>
      <c r="B2" s="36" t="s">
        <v>6373</v>
      </c>
      <c r="C2" s="36" t="s">
        <v>6631</v>
      </c>
      <c r="D2" s="75" t="s">
        <v>6632</v>
      </c>
      <c r="F2" s="271" t="s">
        <v>6374</v>
      </c>
      <c r="G2" s="271"/>
      <c r="H2" s="271"/>
    </row>
    <row r="3" spans="1:8" s="57" customFormat="1" ht="52.5" customHeight="1" thickBot="1" x14ac:dyDescent="0.25">
      <c r="A3" s="58" t="s">
        <v>1284</v>
      </c>
      <c r="B3" s="59"/>
      <c r="C3" s="59" t="s">
        <v>1285</v>
      </c>
      <c r="D3" s="59" t="s">
        <v>2652</v>
      </c>
      <c r="E3" s="73" t="s">
        <v>2653</v>
      </c>
      <c r="F3" s="74" t="s">
        <v>1286</v>
      </c>
      <c r="G3" s="73" t="s">
        <v>1287</v>
      </c>
      <c r="H3" s="74" t="s">
        <v>2656</v>
      </c>
    </row>
    <row r="4" spans="1:8" s="38" customFormat="1" ht="11.25" customHeight="1" x14ac:dyDescent="0.2">
      <c r="A4" s="62"/>
      <c r="B4" s="63"/>
      <c r="C4" s="63"/>
      <c r="D4" s="63"/>
      <c r="E4" s="64"/>
      <c r="F4" s="129"/>
      <c r="G4" s="64"/>
      <c r="H4" s="130"/>
    </row>
    <row r="5" spans="1:8" ht="11.25" customHeight="1" x14ac:dyDescent="0.2">
      <c r="A5" s="1" t="s">
        <v>3172</v>
      </c>
      <c r="C5" s="2" t="s">
        <v>6633</v>
      </c>
      <c r="D5" s="1" t="s">
        <v>1072</v>
      </c>
      <c r="E5" s="16">
        <v>1842</v>
      </c>
    </row>
    <row r="6" spans="1:8" ht="11.25" customHeight="1" x14ac:dyDescent="0.2">
      <c r="C6" s="1" t="s">
        <v>6634</v>
      </c>
      <c r="D6" s="1" t="s">
        <v>1239</v>
      </c>
      <c r="E6" s="16">
        <v>1229</v>
      </c>
    </row>
    <row r="7" spans="1:8" ht="11.25" customHeight="1" x14ac:dyDescent="0.2">
      <c r="C7" s="1" t="s">
        <v>6635</v>
      </c>
      <c r="D7" s="1" t="s">
        <v>653</v>
      </c>
      <c r="E7" s="16">
        <v>749</v>
      </c>
    </row>
    <row r="8" spans="1:8" ht="11.25" customHeight="1" x14ac:dyDescent="0.2">
      <c r="E8" s="155">
        <v>3820</v>
      </c>
      <c r="F8" s="156"/>
      <c r="G8" s="162" t="s">
        <v>6727</v>
      </c>
      <c r="H8" s="158"/>
    </row>
    <row r="9" spans="1:8" ht="11.25" customHeight="1" x14ac:dyDescent="0.2"/>
    <row r="10" spans="1:8" ht="11.25" customHeight="1" x14ac:dyDescent="0.2">
      <c r="A10" s="1" t="s">
        <v>3267</v>
      </c>
      <c r="C10" s="2" t="s">
        <v>6502</v>
      </c>
      <c r="D10" s="1" t="s">
        <v>1239</v>
      </c>
      <c r="E10" s="263" t="s">
        <v>6637</v>
      </c>
    </row>
    <row r="11" spans="1:8" ht="11.25" customHeight="1" x14ac:dyDescent="0.2">
      <c r="E11" s="155"/>
      <c r="F11" s="156"/>
      <c r="G11" s="159"/>
      <c r="H11" s="158"/>
    </row>
    <row r="12" spans="1:8" ht="11.25" customHeight="1" x14ac:dyDescent="0.2">
      <c r="G12" s="24"/>
    </row>
    <row r="13" spans="1:8" ht="11.25" customHeight="1" x14ac:dyDescent="0.2">
      <c r="A13" s="1" t="s">
        <v>2266</v>
      </c>
      <c r="C13" s="2" t="s">
        <v>6638</v>
      </c>
      <c r="D13" s="1" t="s">
        <v>1072</v>
      </c>
      <c r="E13" s="16">
        <v>752</v>
      </c>
      <c r="G13" s="24"/>
    </row>
    <row r="14" spans="1:8" ht="11.25" customHeight="1" x14ac:dyDescent="0.2">
      <c r="A14" s="264" t="s">
        <v>6636</v>
      </c>
      <c r="C14" s="1" t="s">
        <v>6639</v>
      </c>
      <c r="D14" s="1" t="s">
        <v>1239</v>
      </c>
      <c r="E14" s="16">
        <v>391</v>
      </c>
      <c r="G14" s="24"/>
    </row>
    <row r="15" spans="1:8" ht="11.25" customHeight="1" x14ac:dyDescent="0.2">
      <c r="E15" s="155">
        <v>1143</v>
      </c>
      <c r="F15" s="156"/>
      <c r="G15" s="162">
        <v>1595</v>
      </c>
      <c r="H15" s="158">
        <v>71.7</v>
      </c>
    </row>
    <row r="16" spans="1:8" ht="11.25" customHeight="1" x14ac:dyDescent="0.2">
      <c r="E16" s="27"/>
      <c r="F16" s="35"/>
      <c r="G16" s="151"/>
      <c r="H16" s="85"/>
    </row>
    <row r="17" spans="1:8" ht="11.25" customHeight="1" x14ac:dyDescent="0.2">
      <c r="A17" s="1" t="s">
        <v>1923</v>
      </c>
      <c r="C17" s="2" t="s">
        <v>6640</v>
      </c>
      <c r="D17" s="1" t="s">
        <v>1072</v>
      </c>
      <c r="E17" s="16">
        <v>1134</v>
      </c>
    </row>
    <row r="18" spans="1:8" ht="11.25" customHeight="1" x14ac:dyDescent="0.2">
      <c r="C18" s="1" t="s">
        <v>6641</v>
      </c>
      <c r="D18" s="1" t="s">
        <v>1239</v>
      </c>
      <c r="E18" s="16">
        <v>636</v>
      </c>
    </row>
    <row r="19" spans="1:8" ht="11.25" customHeight="1" x14ac:dyDescent="0.2">
      <c r="E19" s="155">
        <v>1770</v>
      </c>
      <c r="F19" s="156"/>
      <c r="G19" s="157">
        <v>2689</v>
      </c>
      <c r="H19" s="158">
        <v>65.8</v>
      </c>
    </row>
    <row r="20" spans="1:8" ht="11.25" customHeight="1" x14ac:dyDescent="0.2">
      <c r="C20" s="2"/>
    </row>
    <row r="21" spans="1:8" ht="11.25" customHeight="1" x14ac:dyDescent="0.2">
      <c r="A21" s="1" t="s">
        <v>1975</v>
      </c>
      <c r="C21" s="2" t="s">
        <v>6507</v>
      </c>
      <c r="D21" s="1" t="s">
        <v>1072</v>
      </c>
      <c r="E21" s="19">
        <v>604</v>
      </c>
      <c r="F21" s="25"/>
    </row>
    <row r="22" spans="1:8" ht="11.25" customHeight="1" x14ac:dyDescent="0.2">
      <c r="C22" s="1" t="s">
        <v>6642</v>
      </c>
      <c r="D22" s="1" t="s">
        <v>1239</v>
      </c>
      <c r="E22" s="16">
        <v>435</v>
      </c>
      <c r="F22" s="25"/>
    </row>
    <row r="23" spans="1:8" ht="11.25" customHeight="1" x14ac:dyDescent="0.2">
      <c r="E23" s="155">
        <v>1039</v>
      </c>
      <c r="F23" s="156"/>
      <c r="G23" s="162">
        <v>1466</v>
      </c>
      <c r="H23" s="158">
        <v>70.900000000000006</v>
      </c>
    </row>
    <row r="24" spans="1:8" ht="11.25" customHeight="1" x14ac:dyDescent="0.2"/>
    <row r="25" spans="1:8" ht="11.25" customHeight="1" x14ac:dyDescent="0.2">
      <c r="A25" s="1" t="s">
        <v>5206</v>
      </c>
      <c r="C25" s="2" t="s">
        <v>6643</v>
      </c>
      <c r="D25" s="1" t="s">
        <v>1918</v>
      </c>
      <c r="E25" s="16">
        <v>1328</v>
      </c>
      <c r="F25" s="25"/>
    </row>
    <row r="26" spans="1:8" ht="11.25" customHeight="1" x14ac:dyDescent="0.2">
      <c r="C26" s="1" t="s">
        <v>6644</v>
      </c>
      <c r="D26" s="1" t="s">
        <v>1239</v>
      </c>
      <c r="E26" s="16">
        <v>1273</v>
      </c>
      <c r="F26" s="25"/>
    </row>
    <row r="27" spans="1:8" ht="11.25" customHeight="1" x14ac:dyDescent="0.2">
      <c r="E27" s="19">
        <v>2601</v>
      </c>
      <c r="F27" s="25"/>
      <c r="G27" s="21">
        <v>4701</v>
      </c>
      <c r="H27" s="81">
        <v>55.3</v>
      </c>
    </row>
    <row r="28" spans="1:8" ht="11.25" customHeight="1" x14ac:dyDescent="0.2">
      <c r="F28" s="25"/>
    </row>
    <row r="29" spans="1:8" ht="11.25" customHeight="1" x14ac:dyDescent="0.2">
      <c r="A29" s="1" t="s">
        <v>5216</v>
      </c>
      <c r="C29" s="2" t="s">
        <v>6645</v>
      </c>
      <c r="D29" s="1" t="s">
        <v>1072</v>
      </c>
      <c r="E29" s="16">
        <v>2701</v>
      </c>
      <c r="F29" s="25"/>
    </row>
    <row r="30" spans="1:8" ht="11.25" customHeight="1" x14ac:dyDescent="0.2">
      <c r="C30" s="1" t="s">
        <v>6523</v>
      </c>
      <c r="D30" s="1" t="s">
        <v>1239</v>
      </c>
      <c r="E30" s="16">
        <v>2235</v>
      </c>
      <c r="F30" s="25"/>
    </row>
    <row r="31" spans="1:8" ht="11.25" customHeight="1" x14ac:dyDescent="0.2">
      <c r="E31" s="16">
        <v>4936</v>
      </c>
      <c r="F31" s="25"/>
      <c r="G31" s="21">
        <v>7712</v>
      </c>
      <c r="H31" s="81">
        <v>64</v>
      </c>
    </row>
    <row r="32" spans="1:8" ht="11.25" customHeight="1" x14ac:dyDescent="0.2">
      <c r="F32" s="25"/>
    </row>
    <row r="33" spans="1:8" ht="11.25" customHeight="1" x14ac:dyDescent="0.2">
      <c r="A33" s="1" t="s">
        <v>5225</v>
      </c>
      <c r="C33" s="2" t="s">
        <v>6518</v>
      </c>
      <c r="D33" s="1" t="s">
        <v>1239</v>
      </c>
      <c r="E33" s="16">
        <v>3273</v>
      </c>
      <c r="F33" s="25"/>
    </row>
    <row r="34" spans="1:8" ht="11.25" customHeight="1" x14ac:dyDescent="0.2">
      <c r="C34" s="1" t="s">
        <v>6646</v>
      </c>
      <c r="D34" s="1" t="s">
        <v>1918</v>
      </c>
      <c r="E34" s="16">
        <v>2248</v>
      </c>
      <c r="F34" s="25"/>
    </row>
    <row r="35" spans="1:8" ht="11.25" customHeight="1" x14ac:dyDescent="0.2">
      <c r="C35" s="1" t="s">
        <v>6647</v>
      </c>
      <c r="D35" s="1" t="s">
        <v>653</v>
      </c>
      <c r="E35" s="16">
        <v>1296</v>
      </c>
      <c r="F35" s="25"/>
    </row>
    <row r="36" spans="1:8" ht="11.25" customHeight="1" x14ac:dyDescent="0.2">
      <c r="E36" s="16">
        <v>6817</v>
      </c>
      <c r="F36" s="25"/>
      <c r="G36" s="21">
        <v>14401</v>
      </c>
      <c r="H36" s="81">
        <v>47.3</v>
      </c>
    </row>
    <row r="37" spans="1:8" ht="11.25" customHeight="1" x14ac:dyDescent="0.2">
      <c r="F37" s="25"/>
    </row>
    <row r="38" spans="1:8" ht="11.25" customHeight="1" x14ac:dyDescent="0.2">
      <c r="A38" s="1" t="s">
        <v>1125</v>
      </c>
      <c r="C38" s="2" t="s">
        <v>6648</v>
      </c>
      <c r="D38" s="1" t="s">
        <v>1072</v>
      </c>
      <c r="E38" s="16">
        <v>2258</v>
      </c>
    </row>
    <row r="39" spans="1:8" ht="11.25" customHeight="1" x14ac:dyDescent="0.2">
      <c r="C39" s="1" t="s">
        <v>6649</v>
      </c>
      <c r="D39" s="1" t="s">
        <v>1239</v>
      </c>
      <c r="E39" s="16">
        <v>1204</v>
      </c>
    </row>
    <row r="40" spans="1:8" ht="11.25" customHeight="1" x14ac:dyDescent="0.2">
      <c r="E40" s="155">
        <v>3462</v>
      </c>
      <c r="F40" s="156"/>
      <c r="G40" s="162" t="s">
        <v>6726</v>
      </c>
      <c r="H40" s="158"/>
    </row>
    <row r="41" spans="1:8" ht="11.25" customHeight="1" x14ac:dyDescent="0.2"/>
    <row r="42" spans="1:8" ht="11.25" customHeight="1" x14ac:dyDescent="0.2">
      <c r="A42" s="1" t="s">
        <v>1427</v>
      </c>
      <c r="C42" s="2" t="s">
        <v>6529</v>
      </c>
      <c r="D42" s="1" t="s">
        <v>1072</v>
      </c>
      <c r="E42" s="16">
        <v>972</v>
      </c>
    </row>
    <row r="43" spans="1:8" ht="11.25" customHeight="1" x14ac:dyDescent="0.2">
      <c r="C43" s="1" t="s">
        <v>6650</v>
      </c>
      <c r="D43" s="1" t="s">
        <v>1239</v>
      </c>
      <c r="E43" s="16">
        <v>752</v>
      </c>
    </row>
    <row r="44" spans="1:8" ht="11.25" customHeight="1" x14ac:dyDescent="0.2">
      <c r="E44" s="155">
        <v>1724</v>
      </c>
      <c r="F44" s="156"/>
      <c r="G44" s="159">
        <v>2213</v>
      </c>
      <c r="H44" s="158"/>
    </row>
    <row r="45" spans="1:8" ht="11.25" customHeight="1" x14ac:dyDescent="0.2"/>
    <row r="46" spans="1:8" ht="11.25" customHeight="1" x14ac:dyDescent="0.2">
      <c r="A46" s="1" t="s">
        <v>6400</v>
      </c>
      <c r="C46" s="2" t="s">
        <v>6531</v>
      </c>
      <c r="D46" s="1" t="s">
        <v>653</v>
      </c>
      <c r="E46" s="16">
        <v>839</v>
      </c>
    </row>
    <row r="47" spans="1:8" ht="11.25" customHeight="1" x14ac:dyDescent="0.2">
      <c r="C47" s="1" t="s">
        <v>6651</v>
      </c>
      <c r="D47" s="1" t="s">
        <v>1072</v>
      </c>
      <c r="E47" s="16">
        <v>670</v>
      </c>
    </row>
    <row r="48" spans="1:8" ht="11.25" customHeight="1" x14ac:dyDescent="0.2">
      <c r="E48" s="155">
        <v>1509</v>
      </c>
      <c r="F48" s="156"/>
      <c r="G48" s="155">
        <v>1884</v>
      </c>
      <c r="H48" s="158">
        <v>80.099999999999994</v>
      </c>
    </row>
    <row r="49" spans="1:8" ht="11.25" customHeight="1" x14ac:dyDescent="0.2"/>
    <row r="50" spans="1:8" ht="11.25" customHeight="1" x14ac:dyDescent="0.2">
      <c r="A50" s="1" t="s">
        <v>6534</v>
      </c>
      <c r="C50" s="2" t="s">
        <v>6533</v>
      </c>
      <c r="D50" s="1" t="s">
        <v>1072</v>
      </c>
      <c r="E50" s="16">
        <v>188</v>
      </c>
    </row>
    <row r="51" spans="1:8" ht="11.25" customHeight="1" x14ac:dyDescent="0.2">
      <c r="C51" s="1" t="s">
        <v>6652</v>
      </c>
      <c r="D51" s="1" t="s">
        <v>1239</v>
      </c>
      <c r="E51" s="16">
        <v>104</v>
      </c>
    </row>
    <row r="52" spans="1:8" ht="11.25" customHeight="1" x14ac:dyDescent="0.2">
      <c r="E52" s="155">
        <v>292</v>
      </c>
      <c r="F52" s="156"/>
      <c r="G52" s="157">
        <v>407</v>
      </c>
      <c r="H52" s="158">
        <v>71.7</v>
      </c>
    </row>
    <row r="53" spans="1:8" ht="11.25" customHeight="1" x14ac:dyDescent="0.2">
      <c r="G53" s="24"/>
    </row>
    <row r="54" spans="1:8" ht="11.25" customHeight="1" x14ac:dyDescent="0.2">
      <c r="A54" s="1" t="s">
        <v>2012</v>
      </c>
      <c r="C54" s="2" t="s">
        <v>6653</v>
      </c>
      <c r="D54" s="1" t="s">
        <v>1072</v>
      </c>
      <c r="E54" s="16">
        <v>630</v>
      </c>
      <c r="G54" s="24"/>
    </row>
    <row r="55" spans="1:8" ht="11.25" customHeight="1" x14ac:dyDescent="0.2">
      <c r="C55" s="1" t="s">
        <v>6654</v>
      </c>
      <c r="D55" s="1" t="s">
        <v>1239</v>
      </c>
      <c r="E55" s="16">
        <v>469</v>
      </c>
    </row>
    <row r="56" spans="1:8" ht="11.25" customHeight="1" x14ac:dyDescent="0.2">
      <c r="E56" s="155">
        <v>1099</v>
      </c>
      <c r="F56" s="156"/>
      <c r="G56" s="162" t="s">
        <v>6725</v>
      </c>
      <c r="H56" s="158"/>
    </row>
    <row r="57" spans="1:8" ht="11.25" customHeight="1" x14ac:dyDescent="0.2">
      <c r="G57" s="24"/>
    </row>
    <row r="58" spans="1:8" ht="11.25" customHeight="1" x14ac:dyDescent="0.2">
      <c r="A58" s="1" t="s">
        <v>2016</v>
      </c>
      <c r="C58" s="2" t="s">
        <v>6655</v>
      </c>
      <c r="D58" s="1" t="s">
        <v>1239</v>
      </c>
      <c r="E58" s="16">
        <v>1782</v>
      </c>
      <c r="G58" s="24"/>
    </row>
    <row r="59" spans="1:8" ht="11.25" customHeight="1" x14ac:dyDescent="0.2">
      <c r="C59" s="1" t="s">
        <v>6656</v>
      </c>
      <c r="D59" s="1" t="s">
        <v>1072</v>
      </c>
      <c r="E59" s="16">
        <v>1575</v>
      </c>
      <c r="G59" s="24"/>
    </row>
    <row r="60" spans="1:8" ht="11.25" customHeight="1" x14ac:dyDescent="0.2">
      <c r="E60" s="155">
        <v>3357</v>
      </c>
      <c r="F60" s="156"/>
      <c r="G60" s="162" t="s">
        <v>6724</v>
      </c>
      <c r="H60" s="158"/>
    </row>
    <row r="61" spans="1:8" ht="11.25" customHeight="1" x14ac:dyDescent="0.2"/>
    <row r="62" spans="1:8" ht="11.25" customHeight="1" x14ac:dyDescent="0.2">
      <c r="A62" s="1" t="s">
        <v>369</v>
      </c>
      <c r="C62" s="2" t="s">
        <v>6657</v>
      </c>
      <c r="D62" s="1" t="s">
        <v>1072</v>
      </c>
      <c r="E62" s="16">
        <v>1394</v>
      </c>
    </row>
    <row r="63" spans="1:8" ht="11.25" customHeight="1" x14ac:dyDescent="0.2">
      <c r="C63" s="1" t="s">
        <v>6658</v>
      </c>
      <c r="D63" s="1" t="s">
        <v>1239</v>
      </c>
      <c r="E63" s="16">
        <v>1246</v>
      </c>
    </row>
    <row r="64" spans="1:8" ht="11.25" customHeight="1" x14ac:dyDescent="0.2">
      <c r="E64" s="155">
        <v>2640</v>
      </c>
      <c r="F64" s="156"/>
      <c r="G64" s="157">
        <v>4376</v>
      </c>
      <c r="H64" s="158">
        <v>60.3</v>
      </c>
    </row>
    <row r="65" spans="1:8" ht="11.25" customHeight="1" x14ac:dyDescent="0.2"/>
    <row r="66" spans="1:8" ht="11.25" customHeight="1" x14ac:dyDescent="0.2">
      <c r="A66" s="1" t="s">
        <v>6659</v>
      </c>
      <c r="C66" s="2" t="s">
        <v>6660</v>
      </c>
      <c r="D66" s="1" t="s">
        <v>1239</v>
      </c>
      <c r="E66" s="16">
        <v>3035</v>
      </c>
    </row>
    <row r="67" spans="1:8" ht="11.25" customHeight="1" x14ac:dyDescent="0.2">
      <c r="C67" s="1" t="s">
        <v>6661</v>
      </c>
      <c r="D67" s="1" t="s">
        <v>1072</v>
      </c>
      <c r="E67" s="16">
        <v>2553</v>
      </c>
    </row>
    <row r="68" spans="1:8" ht="11.25" customHeight="1" x14ac:dyDescent="0.2">
      <c r="C68" s="1" t="s">
        <v>2585</v>
      </c>
      <c r="D68" s="1" t="s">
        <v>653</v>
      </c>
      <c r="E68" s="16">
        <v>811</v>
      </c>
    </row>
    <row r="69" spans="1:8" ht="11.25" customHeight="1" x14ac:dyDescent="0.2">
      <c r="C69" s="1" t="s">
        <v>6662</v>
      </c>
      <c r="D69" s="1" t="s">
        <v>6663</v>
      </c>
      <c r="E69" s="16">
        <v>345</v>
      </c>
    </row>
    <row r="70" spans="1:8" s="21" customFormat="1" ht="11.25" customHeight="1" x14ac:dyDescent="0.2">
      <c r="A70" s="1"/>
      <c r="B70" s="1"/>
      <c r="C70" s="1"/>
      <c r="D70" s="1"/>
      <c r="E70" s="16">
        <v>6744</v>
      </c>
      <c r="F70" s="34"/>
      <c r="G70" s="19" t="s">
        <v>6723</v>
      </c>
      <c r="H70" s="81"/>
    </row>
    <row r="71" spans="1:8" s="21" customFormat="1" ht="11.25" customHeight="1" x14ac:dyDescent="0.2">
      <c r="A71" s="1"/>
      <c r="B71" s="1"/>
      <c r="C71" s="1"/>
      <c r="D71" s="1"/>
      <c r="E71" s="16"/>
      <c r="F71" s="34"/>
      <c r="H71" s="81"/>
    </row>
    <row r="72" spans="1:8" s="21" customFormat="1" ht="11.25" customHeight="1" x14ac:dyDescent="0.2">
      <c r="A72" s="1" t="s">
        <v>5255</v>
      </c>
      <c r="B72" s="1"/>
      <c r="C72" s="2" t="s">
        <v>6549</v>
      </c>
      <c r="D72" s="1" t="s">
        <v>1239</v>
      </c>
      <c r="E72" s="16">
        <v>3776</v>
      </c>
      <c r="F72" s="34"/>
      <c r="H72" s="81"/>
    </row>
    <row r="73" spans="1:8" s="21" customFormat="1" ht="11.25" customHeight="1" x14ac:dyDescent="0.2">
      <c r="A73" s="1"/>
      <c r="B73" s="1"/>
      <c r="C73" s="1" t="s">
        <v>6413</v>
      </c>
      <c r="D73" s="1" t="s">
        <v>1072</v>
      </c>
      <c r="E73" s="16">
        <v>2884</v>
      </c>
      <c r="F73" s="34"/>
      <c r="H73" s="81"/>
    </row>
    <row r="74" spans="1:8" s="21" customFormat="1" ht="11.25" customHeight="1" x14ac:dyDescent="0.2">
      <c r="A74" s="1"/>
      <c r="B74" s="1"/>
      <c r="C74" s="1"/>
      <c r="D74" s="1"/>
      <c r="E74" s="16">
        <v>6660</v>
      </c>
      <c r="F74" s="34"/>
      <c r="H74" s="81"/>
    </row>
    <row r="75" spans="1:8" s="21" customFormat="1" ht="11.25" customHeight="1" x14ac:dyDescent="0.2">
      <c r="A75" s="1"/>
      <c r="B75" s="1"/>
      <c r="C75" s="1"/>
      <c r="D75" s="1"/>
      <c r="E75" s="16"/>
      <c r="F75" s="34"/>
      <c r="H75" s="81"/>
    </row>
    <row r="76" spans="1:8" s="21" customFormat="1" ht="11.25" customHeight="1" x14ac:dyDescent="0.2">
      <c r="A76" s="1" t="s">
        <v>6664</v>
      </c>
      <c r="B76" s="1"/>
      <c r="C76" s="2" t="s">
        <v>6414</v>
      </c>
      <c r="D76" s="1" t="s">
        <v>1239</v>
      </c>
      <c r="E76" s="16">
        <v>2761</v>
      </c>
      <c r="F76" s="34"/>
      <c r="H76" s="81"/>
    </row>
    <row r="77" spans="1:8" s="21" customFormat="1" ht="11.25" customHeight="1" x14ac:dyDescent="0.2">
      <c r="A77" s="1"/>
      <c r="B77" s="1"/>
      <c r="C77" s="1" t="s">
        <v>6665</v>
      </c>
      <c r="D77" s="1" t="s">
        <v>1072</v>
      </c>
      <c r="E77" s="16">
        <v>2178</v>
      </c>
      <c r="F77" s="34"/>
      <c r="H77" s="81"/>
    </row>
    <row r="78" spans="1:8" s="21" customFormat="1" ht="11.25" customHeight="1" x14ac:dyDescent="0.2">
      <c r="A78" s="1"/>
      <c r="B78" s="1"/>
      <c r="C78" s="1"/>
      <c r="D78" s="1"/>
      <c r="E78" s="16">
        <v>4939</v>
      </c>
      <c r="F78" s="34"/>
      <c r="G78" s="21">
        <v>6923</v>
      </c>
      <c r="H78" s="81">
        <v>71.3</v>
      </c>
    </row>
    <row r="79" spans="1:8" s="21" customFormat="1" ht="11.25" customHeight="1" x14ac:dyDescent="0.2">
      <c r="A79" s="1"/>
      <c r="B79" s="1"/>
      <c r="C79" s="1"/>
      <c r="D79" s="1"/>
      <c r="E79" s="16"/>
      <c r="F79" s="34"/>
      <c r="H79" s="81"/>
    </row>
    <row r="80" spans="1:8" s="21" customFormat="1" ht="11.25" customHeight="1" x14ac:dyDescent="0.2">
      <c r="A80" s="1" t="s">
        <v>6666</v>
      </c>
      <c r="B80" s="1"/>
      <c r="C80" s="2" t="s">
        <v>6567</v>
      </c>
      <c r="D80" s="1" t="s">
        <v>1072</v>
      </c>
      <c r="E80" s="16">
        <v>11116</v>
      </c>
      <c r="F80" s="34"/>
      <c r="H80" s="81"/>
    </row>
    <row r="81" spans="1:8" s="21" customFormat="1" ht="11.25" customHeight="1" x14ac:dyDescent="0.2">
      <c r="A81" s="1"/>
      <c r="B81" s="1"/>
      <c r="C81" s="1" t="s">
        <v>6667</v>
      </c>
      <c r="D81" s="1" t="s">
        <v>1239</v>
      </c>
      <c r="E81" s="16">
        <v>455</v>
      </c>
      <c r="F81" s="34"/>
      <c r="H81" s="81"/>
    </row>
    <row r="82" spans="1:8" s="21" customFormat="1" ht="11.25" customHeight="1" x14ac:dyDescent="0.2">
      <c r="A82" s="1"/>
      <c r="B82" s="1"/>
      <c r="C82" s="1" t="s">
        <v>6668</v>
      </c>
      <c r="D82" s="1" t="s">
        <v>6663</v>
      </c>
      <c r="E82" s="16">
        <v>203</v>
      </c>
      <c r="F82" s="34"/>
      <c r="H82" s="81"/>
    </row>
    <row r="83" spans="1:8" s="21" customFormat="1" ht="11.25" customHeight="1" x14ac:dyDescent="0.2">
      <c r="A83" s="1"/>
      <c r="B83" s="1"/>
      <c r="C83" s="1"/>
      <c r="D83" s="1"/>
      <c r="E83" s="16">
        <v>1774</v>
      </c>
      <c r="F83" s="34"/>
      <c r="H83" s="81"/>
    </row>
    <row r="84" spans="1:8" s="21" customFormat="1" ht="11.25" customHeight="1" x14ac:dyDescent="0.2">
      <c r="A84" s="1"/>
      <c r="B84" s="1"/>
      <c r="C84" s="1"/>
      <c r="D84" s="1"/>
      <c r="E84" s="16"/>
      <c r="F84" s="34"/>
      <c r="H84" s="81"/>
    </row>
    <row r="85" spans="1:8" ht="11.25" customHeight="1" x14ac:dyDescent="0.2">
      <c r="A85" s="1" t="s">
        <v>3265</v>
      </c>
      <c r="C85" s="2" t="s">
        <v>6669</v>
      </c>
      <c r="D85" s="1" t="s">
        <v>1239</v>
      </c>
      <c r="E85" s="16">
        <v>762</v>
      </c>
    </row>
    <row r="86" spans="1:8" ht="11.25" customHeight="1" x14ac:dyDescent="0.2">
      <c r="C86" s="1" t="s">
        <v>6670</v>
      </c>
      <c r="D86" s="1" t="s">
        <v>1072</v>
      </c>
      <c r="E86" s="16">
        <v>712</v>
      </c>
    </row>
    <row r="87" spans="1:8" ht="11.25" customHeight="1" x14ac:dyDescent="0.2">
      <c r="C87" s="1" t="s">
        <v>6671</v>
      </c>
      <c r="D87" s="1" t="s">
        <v>653</v>
      </c>
      <c r="E87" s="16">
        <v>308</v>
      </c>
    </row>
    <row r="88" spans="1:8" ht="11.25" customHeight="1" x14ac:dyDescent="0.2">
      <c r="E88" s="155">
        <v>1782</v>
      </c>
      <c r="F88" s="156"/>
      <c r="G88" s="157">
        <v>2711</v>
      </c>
      <c r="H88" s="158">
        <v>65.7</v>
      </c>
    </row>
    <row r="89" spans="1:8" ht="11.25" customHeight="1" x14ac:dyDescent="0.2"/>
    <row r="90" spans="1:8" ht="11.25" customHeight="1" x14ac:dyDescent="0.2">
      <c r="A90" s="1" t="s">
        <v>0</v>
      </c>
      <c r="C90" s="2" t="s">
        <v>6672</v>
      </c>
      <c r="D90" s="1" t="s">
        <v>1072</v>
      </c>
      <c r="E90" s="16">
        <v>688</v>
      </c>
    </row>
    <row r="91" spans="1:8" ht="11.25" customHeight="1" x14ac:dyDescent="0.2">
      <c r="C91" s="1" t="s">
        <v>6673</v>
      </c>
      <c r="D91" s="1" t="s">
        <v>1239</v>
      </c>
      <c r="E91" s="16">
        <v>285</v>
      </c>
    </row>
    <row r="92" spans="1:8" ht="11.25" customHeight="1" x14ac:dyDescent="0.2">
      <c r="E92" s="155">
        <v>973</v>
      </c>
      <c r="F92" s="156"/>
      <c r="G92" s="162" t="s">
        <v>6722</v>
      </c>
      <c r="H92" s="158"/>
    </row>
    <row r="93" spans="1:8" ht="11.25" customHeight="1" x14ac:dyDescent="0.2">
      <c r="C93" s="2"/>
    </row>
    <row r="94" spans="1:8" ht="11.25" customHeight="1" x14ac:dyDescent="0.2">
      <c r="A94" s="1" t="s">
        <v>370</v>
      </c>
      <c r="C94" s="2" t="s">
        <v>6572</v>
      </c>
      <c r="D94" s="1" t="s">
        <v>1072</v>
      </c>
      <c r="E94" s="263" t="s">
        <v>6637</v>
      </c>
    </row>
    <row r="95" spans="1:8" ht="11.25" customHeight="1" x14ac:dyDescent="0.2">
      <c r="E95" s="27"/>
      <c r="F95" s="35"/>
      <c r="G95" s="151"/>
      <c r="H95" s="85"/>
    </row>
    <row r="96" spans="1:8" ht="11.25" customHeight="1" x14ac:dyDescent="0.2">
      <c r="A96" s="1" t="s">
        <v>6573</v>
      </c>
      <c r="C96" s="2" t="s">
        <v>6674</v>
      </c>
      <c r="D96" s="1" t="s">
        <v>1239</v>
      </c>
      <c r="E96" s="27">
        <v>923</v>
      </c>
      <c r="F96" s="35"/>
      <c r="G96" s="151"/>
      <c r="H96" s="85"/>
    </row>
    <row r="97" spans="1:8" ht="11.25" customHeight="1" x14ac:dyDescent="0.2">
      <c r="C97" s="1" t="s">
        <v>6675</v>
      </c>
      <c r="D97" s="1" t="s">
        <v>1072</v>
      </c>
      <c r="E97" s="27">
        <v>885</v>
      </c>
      <c r="F97" s="35"/>
      <c r="G97" s="151"/>
      <c r="H97" s="85"/>
    </row>
    <row r="98" spans="1:8" ht="11.25" customHeight="1" x14ac:dyDescent="0.2">
      <c r="E98" s="27">
        <v>1808</v>
      </c>
      <c r="F98" s="35"/>
      <c r="G98" s="151"/>
      <c r="H98" s="85"/>
    </row>
    <row r="99" spans="1:8" ht="11.25" customHeight="1" x14ac:dyDescent="0.2">
      <c r="E99" s="27"/>
      <c r="F99" s="35"/>
      <c r="G99" s="151"/>
      <c r="H99" s="85"/>
    </row>
    <row r="100" spans="1:8" ht="11.25" customHeight="1" x14ac:dyDescent="0.2">
      <c r="A100" s="1" t="s">
        <v>1742</v>
      </c>
      <c r="C100" s="2" t="s">
        <v>6676</v>
      </c>
      <c r="D100" s="1" t="s">
        <v>1072</v>
      </c>
      <c r="E100" s="16">
        <v>905</v>
      </c>
    </row>
    <row r="101" spans="1:8" ht="11.25" customHeight="1" x14ac:dyDescent="0.2">
      <c r="C101" s="1" t="s">
        <v>6677</v>
      </c>
      <c r="D101" s="1" t="s">
        <v>1239</v>
      </c>
      <c r="E101" s="16">
        <v>766</v>
      </c>
    </row>
    <row r="102" spans="1:8" ht="11.25" customHeight="1" x14ac:dyDescent="0.2">
      <c r="C102" s="1" t="s">
        <v>6678</v>
      </c>
      <c r="D102" s="1" t="s">
        <v>653</v>
      </c>
      <c r="E102" s="16">
        <v>92</v>
      </c>
    </row>
    <row r="103" spans="1:8" ht="11.25" customHeight="1" x14ac:dyDescent="0.2">
      <c r="E103" s="155">
        <v>1763</v>
      </c>
      <c r="F103" s="156"/>
      <c r="G103" s="162" t="s">
        <v>6721</v>
      </c>
      <c r="H103" s="158"/>
    </row>
    <row r="104" spans="1:8" ht="11.25" customHeight="1" x14ac:dyDescent="0.2"/>
    <row r="105" spans="1:8" ht="11.25" customHeight="1" x14ac:dyDescent="0.2">
      <c r="A105" s="1" t="s">
        <v>1744</v>
      </c>
      <c r="C105" s="2" t="s">
        <v>6575</v>
      </c>
      <c r="D105" s="1" t="s">
        <v>3173</v>
      </c>
      <c r="E105" s="16">
        <v>2113</v>
      </c>
    </row>
    <row r="106" spans="1:8" ht="11.25" customHeight="1" x14ac:dyDescent="0.2">
      <c r="C106" s="1" t="s">
        <v>6429</v>
      </c>
      <c r="D106" s="1" t="s">
        <v>1072</v>
      </c>
      <c r="E106" s="16">
        <v>1539</v>
      </c>
    </row>
    <row r="107" spans="1:8" ht="11.25" customHeight="1" x14ac:dyDescent="0.2">
      <c r="E107" s="155">
        <v>3652</v>
      </c>
      <c r="F107" s="156"/>
      <c r="G107" s="155" t="s">
        <v>6720</v>
      </c>
      <c r="H107" s="158"/>
    </row>
    <row r="108" spans="1:8" ht="11.25" customHeight="1" x14ac:dyDescent="0.2">
      <c r="G108" s="24"/>
    </row>
    <row r="109" spans="1:8" ht="11.25" customHeight="1" x14ac:dyDescent="0.2">
      <c r="A109" s="1" t="s">
        <v>1</v>
      </c>
      <c r="C109" s="2" t="s">
        <v>6430</v>
      </c>
      <c r="D109" s="1" t="s">
        <v>1239</v>
      </c>
      <c r="E109" s="155">
        <v>800</v>
      </c>
      <c r="F109" s="160"/>
      <c r="G109" s="159"/>
      <c r="H109" s="158"/>
    </row>
    <row r="110" spans="1:8" ht="11.25" customHeight="1" x14ac:dyDescent="0.2">
      <c r="C110" s="1" t="s">
        <v>6679</v>
      </c>
      <c r="D110" s="1" t="s">
        <v>1072</v>
      </c>
      <c r="E110" s="27">
        <v>766</v>
      </c>
      <c r="F110" s="261"/>
      <c r="G110" s="260"/>
      <c r="H110" s="85"/>
    </row>
    <row r="111" spans="1:8" ht="11.25" customHeight="1" x14ac:dyDescent="0.2">
      <c r="E111" s="27">
        <v>1566</v>
      </c>
      <c r="F111" s="261"/>
      <c r="G111" s="27" t="s">
        <v>6719</v>
      </c>
      <c r="H111" s="85"/>
    </row>
    <row r="112" spans="1:8" ht="11.25" customHeight="1" x14ac:dyDescent="0.2"/>
    <row r="113" spans="1:8" ht="11.25" customHeight="1" x14ac:dyDescent="0.2">
      <c r="A113" s="1" t="s">
        <v>1931</v>
      </c>
      <c r="C113" s="2" t="s">
        <v>6581</v>
      </c>
      <c r="D113" s="1" t="s">
        <v>1072</v>
      </c>
      <c r="E113" s="16">
        <v>1707</v>
      </c>
    </row>
    <row r="114" spans="1:8" ht="11.25" customHeight="1" x14ac:dyDescent="0.2">
      <c r="C114" s="1" t="s">
        <v>6680</v>
      </c>
      <c r="D114" s="1" t="s">
        <v>1239</v>
      </c>
      <c r="E114" s="16">
        <v>610</v>
      </c>
    </row>
    <row r="115" spans="1:8" ht="11.25" customHeight="1" x14ac:dyDescent="0.2">
      <c r="E115" s="155">
        <v>2317</v>
      </c>
      <c r="F115" s="156"/>
      <c r="G115" s="159">
        <v>2891</v>
      </c>
      <c r="H115" s="158">
        <v>80.099999999999994</v>
      </c>
    </row>
    <row r="116" spans="1:8" ht="11.25" customHeight="1" x14ac:dyDescent="0.2">
      <c r="G116" s="24"/>
    </row>
    <row r="117" spans="1:8" ht="11.25" customHeight="1" x14ac:dyDescent="0.2">
      <c r="A117" s="1" t="s">
        <v>6681</v>
      </c>
      <c r="C117" s="2" t="s">
        <v>6682</v>
      </c>
      <c r="D117" s="1" t="s">
        <v>1239</v>
      </c>
      <c r="E117" s="263" t="s">
        <v>6637</v>
      </c>
      <c r="G117" s="24"/>
    </row>
    <row r="118" spans="1:8" ht="11.25" customHeight="1" x14ac:dyDescent="0.2"/>
    <row r="119" spans="1:8" ht="11.25" customHeight="1" x14ac:dyDescent="0.2">
      <c r="A119" s="1" t="s">
        <v>3185</v>
      </c>
      <c r="C119" s="2" t="s">
        <v>6437</v>
      </c>
      <c r="D119" s="1" t="s">
        <v>1072</v>
      </c>
      <c r="E119" s="155">
        <v>808</v>
      </c>
      <c r="F119" s="160"/>
      <c r="G119" s="157"/>
      <c r="H119" s="158"/>
    </row>
    <row r="120" spans="1:8" ht="11.25" customHeight="1" x14ac:dyDescent="0.2">
      <c r="C120" s="1" t="s">
        <v>6683</v>
      </c>
      <c r="D120" s="1" t="s">
        <v>6663</v>
      </c>
      <c r="E120" s="27">
        <v>236</v>
      </c>
      <c r="F120" s="261"/>
      <c r="G120" s="151"/>
      <c r="H120" s="85"/>
    </row>
    <row r="121" spans="1:8" ht="11.25" customHeight="1" x14ac:dyDescent="0.2">
      <c r="C121" s="2"/>
      <c r="E121" s="27">
        <v>1044</v>
      </c>
      <c r="F121" s="261"/>
      <c r="G121" s="151">
        <v>2909</v>
      </c>
      <c r="H121" s="85">
        <v>35.9</v>
      </c>
    </row>
    <row r="122" spans="1:8" ht="11.25" customHeight="1" x14ac:dyDescent="0.2"/>
    <row r="123" spans="1:8" ht="11.25" customHeight="1" x14ac:dyDescent="0.2">
      <c r="A123" s="1" t="s">
        <v>1752</v>
      </c>
      <c r="C123" s="2" t="s">
        <v>6585</v>
      </c>
      <c r="D123" s="1" t="s">
        <v>1072</v>
      </c>
      <c r="E123" s="16">
        <v>728</v>
      </c>
    </row>
    <row r="124" spans="1:8" ht="11.25" customHeight="1" x14ac:dyDescent="0.2">
      <c r="C124" s="1" t="s">
        <v>6684</v>
      </c>
      <c r="D124" s="1" t="s">
        <v>1239</v>
      </c>
      <c r="E124" s="16">
        <v>678</v>
      </c>
    </row>
    <row r="125" spans="1:8" ht="11.25" customHeight="1" x14ac:dyDescent="0.2">
      <c r="E125" s="155">
        <v>1406</v>
      </c>
      <c r="F125" s="156"/>
      <c r="G125" s="157">
        <v>1813</v>
      </c>
      <c r="H125" s="158">
        <v>77.5</v>
      </c>
    </row>
    <row r="126" spans="1:8" ht="11.25" customHeight="1" x14ac:dyDescent="0.2"/>
    <row r="127" spans="1:8" ht="11.25" customHeight="1" x14ac:dyDescent="0.2">
      <c r="A127" s="1" t="s">
        <v>2300</v>
      </c>
      <c r="C127" s="2" t="s">
        <v>6685</v>
      </c>
      <c r="D127" s="1" t="s">
        <v>1239</v>
      </c>
      <c r="E127" s="263" t="s">
        <v>6637</v>
      </c>
    </row>
    <row r="128" spans="1:8" ht="11.25" customHeight="1" x14ac:dyDescent="0.2"/>
    <row r="129" spans="1:8" ht="11.25" customHeight="1" x14ac:dyDescent="0.2">
      <c r="A129" s="1" t="s">
        <v>6443</v>
      </c>
      <c r="C129" s="2" t="s">
        <v>6686</v>
      </c>
      <c r="D129" s="1" t="s">
        <v>653</v>
      </c>
      <c r="E129" s="16">
        <v>439</v>
      </c>
    </row>
    <row r="130" spans="1:8" ht="11.25" customHeight="1" x14ac:dyDescent="0.2">
      <c r="C130" s="1" t="s">
        <v>6590</v>
      </c>
      <c r="D130" s="1" t="s">
        <v>1072</v>
      </c>
      <c r="E130" s="16">
        <v>415</v>
      </c>
    </row>
    <row r="131" spans="1:8" ht="11.25" customHeight="1" x14ac:dyDescent="0.2">
      <c r="C131" s="1" t="s">
        <v>6687</v>
      </c>
      <c r="D131" s="1" t="s">
        <v>1239</v>
      </c>
      <c r="E131" s="16">
        <v>408</v>
      </c>
    </row>
    <row r="132" spans="1:8" ht="11.25" customHeight="1" x14ac:dyDescent="0.2">
      <c r="E132" s="155">
        <v>1262</v>
      </c>
      <c r="F132" s="156"/>
      <c r="G132" s="162" t="s">
        <v>6718</v>
      </c>
      <c r="H132" s="158"/>
    </row>
    <row r="133" spans="1:8" ht="11.25" customHeight="1" x14ac:dyDescent="0.2"/>
    <row r="134" spans="1:8" ht="11.25" customHeight="1" x14ac:dyDescent="0.2">
      <c r="A134" s="1" t="s">
        <v>6447</v>
      </c>
      <c r="C134" s="2" t="s">
        <v>6688</v>
      </c>
      <c r="D134" s="1" t="s">
        <v>1239</v>
      </c>
      <c r="E134" s="16">
        <v>786</v>
      </c>
    </row>
    <row r="135" spans="1:8" ht="11.25" customHeight="1" x14ac:dyDescent="0.2">
      <c r="C135" s="1" t="s">
        <v>6689</v>
      </c>
      <c r="D135" s="1" t="s">
        <v>1072</v>
      </c>
      <c r="E135" s="16">
        <v>535</v>
      </c>
    </row>
    <row r="136" spans="1:8" ht="11.25" customHeight="1" x14ac:dyDescent="0.2">
      <c r="E136" s="155">
        <v>1321</v>
      </c>
      <c r="F136" s="156"/>
      <c r="G136" s="155">
        <v>1770</v>
      </c>
      <c r="H136" s="158">
        <v>74.599999999999994</v>
      </c>
    </row>
    <row r="137" spans="1:8" ht="11.25" customHeight="1" x14ac:dyDescent="0.2">
      <c r="G137" s="24"/>
    </row>
    <row r="138" spans="1:8" ht="11.25" customHeight="1" x14ac:dyDescent="0.2">
      <c r="A138" s="1" t="s">
        <v>1241</v>
      </c>
      <c r="C138" s="2" t="s">
        <v>6594</v>
      </c>
      <c r="D138" s="1" t="s">
        <v>1072</v>
      </c>
      <c r="E138" s="16">
        <v>1283</v>
      </c>
      <c r="G138" s="24"/>
    </row>
    <row r="139" spans="1:8" ht="11.25" customHeight="1" x14ac:dyDescent="0.2">
      <c r="C139" s="1" t="s">
        <v>6690</v>
      </c>
      <c r="D139" s="1" t="s">
        <v>1239</v>
      </c>
      <c r="E139" s="16">
        <v>994</v>
      </c>
      <c r="G139" s="24"/>
    </row>
    <row r="140" spans="1:8" ht="11.25" customHeight="1" x14ac:dyDescent="0.2">
      <c r="E140" s="155">
        <v>2277</v>
      </c>
      <c r="F140" s="156"/>
      <c r="G140" s="162" t="s">
        <v>6717</v>
      </c>
      <c r="H140" s="158"/>
    </row>
    <row r="141" spans="1:8" ht="11.25" customHeight="1" x14ac:dyDescent="0.2"/>
    <row r="142" spans="1:8" ht="11.25" customHeight="1" x14ac:dyDescent="0.2">
      <c r="A142" s="1" t="s">
        <v>415</v>
      </c>
      <c r="C142" s="2" t="s">
        <v>6691</v>
      </c>
      <c r="D142" s="1" t="s">
        <v>1072</v>
      </c>
      <c r="E142" s="16">
        <v>1994</v>
      </c>
    </row>
    <row r="143" spans="1:8" ht="11.25" customHeight="1" x14ac:dyDescent="0.2">
      <c r="C143" s="1" t="s">
        <v>6692</v>
      </c>
      <c r="D143" s="1" t="s">
        <v>1239</v>
      </c>
      <c r="E143" s="16">
        <v>712</v>
      </c>
    </row>
    <row r="144" spans="1:8" ht="11.25" customHeight="1" x14ac:dyDescent="0.2">
      <c r="C144" s="1" t="s">
        <v>6693</v>
      </c>
      <c r="D144" s="1" t="s">
        <v>653</v>
      </c>
      <c r="E144" s="16">
        <v>463</v>
      </c>
    </row>
    <row r="145" spans="1:8" ht="11.25" customHeight="1" x14ac:dyDescent="0.2">
      <c r="E145" s="155">
        <v>3169</v>
      </c>
      <c r="F145" s="156"/>
      <c r="G145" s="159"/>
      <c r="H145" s="158"/>
    </row>
    <row r="146" spans="1:8" ht="11.25" customHeight="1" x14ac:dyDescent="0.2">
      <c r="G146" s="24"/>
    </row>
    <row r="147" spans="1:8" ht="11.25" customHeight="1" x14ac:dyDescent="0.2">
      <c r="A147" s="1" t="s">
        <v>718</v>
      </c>
      <c r="C147" s="2" t="s">
        <v>6694</v>
      </c>
      <c r="D147" s="1" t="s">
        <v>1072</v>
      </c>
      <c r="E147" s="263" t="s">
        <v>6637</v>
      </c>
      <c r="G147" s="24"/>
    </row>
    <row r="148" spans="1:8" ht="11.25" customHeight="1" x14ac:dyDescent="0.2"/>
    <row r="149" spans="1:8" ht="11.25" customHeight="1" x14ac:dyDescent="0.2">
      <c r="A149" s="1" t="s">
        <v>794</v>
      </c>
      <c r="C149" s="2" t="s">
        <v>6695</v>
      </c>
      <c r="D149" s="1" t="s">
        <v>1239</v>
      </c>
      <c r="E149" s="16">
        <v>496</v>
      </c>
    </row>
    <row r="150" spans="1:8" ht="11.25" customHeight="1" x14ac:dyDescent="0.2">
      <c r="C150" s="1" t="s">
        <v>6696</v>
      </c>
      <c r="D150" s="1" t="s">
        <v>1072</v>
      </c>
      <c r="E150" s="16">
        <v>448</v>
      </c>
    </row>
    <row r="151" spans="1:8" ht="11.25" customHeight="1" x14ac:dyDescent="0.2">
      <c r="C151" s="1" t="s">
        <v>6697</v>
      </c>
      <c r="D151" s="1" t="s">
        <v>6698</v>
      </c>
      <c r="E151" s="16">
        <v>416</v>
      </c>
    </row>
    <row r="152" spans="1:8" ht="11.25" customHeight="1" x14ac:dyDescent="0.2">
      <c r="E152" s="155">
        <v>1360</v>
      </c>
      <c r="F152" s="156"/>
      <c r="G152" s="162">
        <v>1769</v>
      </c>
      <c r="H152" s="158">
        <v>76.900000000000006</v>
      </c>
    </row>
    <row r="153" spans="1:8" ht="11.25" customHeight="1" x14ac:dyDescent="0.2"/>
    <row r="154" spans="1:8" ht="11.25" customHeight="1" x14ac:dyDescent="0.2">
      <c r="A154" s="1" t="s">
        <v>2340</v>
      </c>
      <c r="C154" s="2" t="s">
        <v>6699</v>
      </c>
      <c r="D154" s="1" t="s">
        <v>1239</v>
      </c>
      <c r="E154" s="155">
        <v>888</v>
      </c>
      <c r="F154" s="160"/>
      <c r="G154" s="157"/>
      <c r="H154" s="158"/>
    </row>
    <row r="155" spans="1:8" ht="11.25" customHeight="1" x14ac:dyDescent="0.2">
      <c r="C155" s="1" t="s">
        <v>6606</v>
      </c>
      <c r="D155" s="1" t="s">
        <v>1072</v>
      </c>
      <c r="E155" s="27">
        <v>857</v>
      </c>
      <c r="F155" s="261"/>
      <c r="G155" s="151"/>
      <c r="H155" s="85"/>
    </row>
    <row r="156" spans="1:8" ht="11.25" customHeight="1" x14ac:dyDescent="0.2">
      <c r="C156" s="2"/>
      <c r="E156" s="27">
        <v>1745</v>
      </c>
      <c r="F156" s="261"/>
      <c r="G156" s="151"/>
      <c r="H156" s="85"/>
    </row>
    <row r="157" spans="1:8" ht="11.25" customHeight="1" x14ac:dyDescent="0.2">
      <c r="E157" s="27"/>
      <c r="F157" s="35"/>
      <c r="G157" s="151"/>
      <c r="H157" s="85"/>
    </row>
    <row r="158" spans="1:8" ht="11.25" customHeight="1" x14ac:dyDescent="0.2">
      <c r="A158" s="1" t="s">
        <v>6607</v>
      </c>
      <c r="C158" s="2" t="s">
        <v>6442</v>
      </c>
      <c r="D158" s="1" t="s">
        <v>1072</v>
      </c>
      <c r="E158" s="263" t="s">
        <v>6637</v>
      </c>
      <c r="F158" s="35"/>
      <c r="G158" s="151"/>
      <c r="H158" s="85"/>
    </row>
    <row r="159" spans="1:8" ht="11.25" customHeight="1" x14ac:dyDescent="0.2"/>
    <row r="160" spans="1:8" ht="11.25" customHeight="1" x14ac:dyDescent="0.2">
      <c r="A160" s="1" t="s">
        <v>2341</v>
      </c>
      <c r="C160" s="2" t="s">
        <v>6701</v>
      </c>
      <c r="D160" s="1" t="s">
        <v>1239</v>
      </c>
      <c r="E160" s="16">
        <v>1295</v>
      </c>
    </row>
    <row r="161" spans="1:8" ht="11.25" customHeight="1" x14ac:dyDescent="0.2">
      <c r="C161" s="1" t="s">
        <v>6702</v>
      </c>
      <c r="D161" s="1" t="s">
        <v>1072</v>
      </c>
      <c r="E161" s="16">
        <v>1272</v>
      </c>
    </row>
    <row r="162" spans="1:8" ht="11.25" customHeight="1" x14ac:dyDescent="0.2">
      <c r="C162" s="1" t="s">
        <v>6703</v>
      </c>
      <c r="D162" s="1" t="s">
        <v>653</v>
      </c>
      <c r="E162" s="16">
        <v>268</v>
      </c>
    </row>
    <row r="163" spans="1:8" ht="12" customHeight="1" x14ac:dyDescent="0.2">
      <c r="E163" s="155">
        <v>2835</v>
      </c>
      <c r="F163" s="156"/>
      <c r="G163" s="162" t="s">
        <v>6716</v>
      </c>
      <c r="H163" s="158"/>
    </row>
    <row r="164" spans="1:8" ht="11.25" customHeight="1" x14ac:dyDescent="0.2"/>
    <row r="165" spans="1:8" ht="11.25" customHeight="1" x14ac:dyDescent="0.2">
      <c r="A165" s="1" t="s">
        <v>807</v>
      </c>
      <c r="C165" s="2" t="s">
        <v>6700</v>
      </c>
      <c r="D165" s="1" t="s">
        <v>1072</v>
      </c>
      <c r="E165" s="263" t="s">
        <v>6637</v>
      </c>
    </row>
    <row r="166" spans="1:8" ht="11.25" customHeight="1" x14ac:dyDescent="0.2"/>
    <row r="167" spans="1:8" ht="11.25" customHeight="1" x14ac:dyDescent="0.2">
      <c r="A167" s="1" t="s">
        <v>810</v>
      </c>
      <c r="C167" s="2" t="s">
        <v>6611</v>
      </c>
      <c r="D167" s="1" t="s">
        <v>1918</v>
      </c>
      <c r="E167" s="263" t="s">
        <v>6637</v>
      </c>
    </row>
    <row r="168" spans="1:8" ht="11.25" customHeight="1" x14ac:dyDescent="0.2"/>
    <row r="169" spans="1:8" ht="11.25" customHeight="1" x14ac:dyDescent="0.2">
      <c r="A169" s="1" t="s">
        <v>446</v>
      </c>
      <c r="C169" s="2" t="s">
        <v>1463</v>
      </c>
      <c r="D169" s="1" t="s">
        <v>1072</v>
      </c>
      <c r="E169" s="16">
        <v>1095</v>
      </c>
      <c r="G169" s="24"/>
    </row>
    <row r="170" spans="1:8" ht="11.25" customHeight="1" x14ac:dyDescent="0.2">
      <c r="C170" s="1" t="s">
        <v>6704</v>
      </c>
      <c r="D170" s="1" t="s">
        <v>1239</v>
      </c>
      <c r="E170" s="16">
        <v>742</v>
      </c>
      <c r="G170" s="24"/>
    </row>
    <row r="171" spans="1:8" ht="11.25" customHeight="1" x14ac:dyDescent="0.2">
      <c r="E171" s="155">
        <v>1837</v>
      </c>
      <c r="F171" s="156"/>
      <c r="G171" s="162" t="s">
        <v>6715</v>
      </c>
      <c r="H171" s="158"/>
    </row>
    <row r="172" spans="1:8" ht="11.25" customHeight="1" x14ac:dyDescent="0.2"/>
    <row r="173" spans="1:8" ht="11.25" customHeight="1" x14ac:dyDescent="0.2">
      <c r="A173" s="1" t="s">
        <v>3262</v>
      </c>
      <c r="C173" s="2" t="s">
        <v>6622</v>
      </c>
      <c r="D173" s="1" t="s">
        <v>1072</v>
      </c>
      <c r="E173" s="16">
        <v>1077</v>
      </c>
    </row>
    <row r="174" spans="1:8" ht="11.25" customHeight="1" x14ac:dyDescent="0.2">
      <c r="C174" s="1" t="s">
        <v>6705</v>
      </c>
      <c r="D174" s="1" t="s">
        <v>1239</v>
      </c>
      <c r="E174" s="16">
        <v>539</v>
      </c>
    </row>
    <row r="175" spans="1:8" ht="11.25" customHeight="1" x14ac:dyDescent="0.2">
      <c r="E175" s="155">
        <v>1616</v>
      </c>
      <c r="F175" s="156"/>
      <c r="G175" s="162" t="s">
        <v>6714</v>
      </c>
      <c r="H175" s="158"/>
    </row>
    <row r="176" spans="1:8" ht="11.25" customHeight="1" x14ac:dyDescent="0.2">
      <c r="E176" s="27"/>
      <c r="F176" s="35"/>
      <c r="G176" s="151"/>
      <c r="H176" s="85"/>
    </row>
    <row r="177" spans="1:8" ht="11.25" customHeight="1" x14ac:dyDescent="0.2">
      <c r="A177" s="1" t="s">
        <v>1385</v>
      </c>
      <c r="C177" s="2" t="s">
        <v>6614</v>
      </c>
      <c r="D177" s="1" t="s">
        <v>1072</v>
      </c>
      <c r="E177" s="263">
        <v>1657</v>
      </c>
      <c r="F177" s="262"/>
    </row>
    <row r="178" spans="1:8" ht="11.25" customHeight="1" x14ac:dyDescent="0.2">
      <c r="C178" s="1" t="s">
        <v>6706</v>
      </c>
      <c r="D178" s="1" t="s">
        <v>1239</v>
      </c>
      <c r="E178" s="16">
        <v>971</v>
      </c>
      <c r="G178" s="24"/>
    </row>
    <row r="179" spans="1:8" ht="11.25" customHeight="1" x14ac:dyDescent="0.2">
      <c r="E179" s="27">
        <v>2628</v>
      </c>
      <c r="F179" s="35"/>
      <c r="G179" s="151">
        <v>4442</v>
      </c>
      <c r="H179" s="85">
        <v>59.2</v>
      </c>
    </row>
    <row r="180" spans="1:8" ht="11.25" customHeight="1" x14ac:dyDescent="0.2"/>
    <row r="181" spans="1:8" ht="11.25" customHeight="1" x14ac:dyDescent="0.2">
      <c r="A181" s="1" t="s">
        <v>1552</v>
      </c>
      <c r="C181" s="2" t="s">
        <v>6616</v>
      </c>
      <c r="D181" s="1" t="s">
        <v>1072</v>
      </c>
      <c r="E181" s="16">
        <v>1408</v>
      </c>
    </row>
    <row r="182" spans="1:8" ht="11.25" customHeight="1" x14ac:dyDescent="0.2">
      <c r="C182" s="1" t="s">
        <v>6707</v>
      </c>
      <c r="D182" s="1" t="s">
        <v>1239</v>
      </c>
      <c r="E182" s="16">
        <v>1375</v>
      </c>
    </row>
    <row r="183" spans="1:8" ht="11.25" customHeight="1" x14ac:dyDescent="0.2">
      <c r="C183" s="1" t="s">
        <v>6708</v>
      </c>
      <c r="D183" s="1" t="s">
        <v>653</v>
      </c>
      <c r="E183" s="16">
        <v>786</v>
      </c>
    </row>
    <row r="184" spans="1:8" ht="11.25" customHeight="1" x14ac:dyDescent="0.2">
      <c r="E184" s="155">
        <v>3569</v>
      </c>
      <c r="F184" s="156"/>
      <c r="G184" s="162" t="s">
        <v>6713</v>
      </c>
      <c r="H184" s="158"/>
    </row>
    <row r="185" spans="1:8" ht="11.25" customHeight="1" x14ac:dyDescent="0.2"/>
    <row r="186" spans="1:8" ht="11.25" customHeight="1" x14ac:dyDescent="0.2">
      <c r="A186" s="1" t="s">
        <v>2545</v>
      </c>
      <c r="C186" s="2" t="s">
        <v>6472</v>
      </c>
      <c r="D186" s="1" t="s">
        <v>1239</v>
      </c>
      <c r="E186" s="16">
        <v>744</v>
      </c>
    </row>
    <row r="187" spans="1:8" ht="11.25" customHeight="1" x14ac:dyDescent="0.2">
      <c r="C187" s="1" t="s">
        <v>6709</v>
      </c>
      <c r="D187" s="1" t="s">
        <v>1072</v>
      </c>
      <c r="E187" s="16">
        <v>705</v>
      </c>
    </row>
    <row r="188" spans="1:8" ht="11.25" customHeight="1" x14ac:dyDescent="0.2">
      <c r="E188" s="155">
        <v>1449</v>
      </c>
      <c r="F188" s="156"/>
      <c r="G188" s="162"/>
      <c r="H188" s="158"/>
    </row>
    <row r="189" spans="1:8" ht="11.25" customHeight="1" x14ac:dyDescent="0.2">
      <c r="E189" s="27"/>
      <c r="F189" s="35"/>
      <c r="G189" s="13"/>
      <c r="H189" s="85"/>
    </row>
    <row r="190" spans="1:8" ht="11.25" customHeight="1" x14ac:dyDescent="0.2">
      <c r="A190" s="1" t="s">
        <v>1470</v>
      </c>
      <c r="C190" s="2" t="s">
        <v>6546</v>
      </c>
      <c r="D190" s="1" t="s">
        <v>1072</v>
      </c>
      <c r="E190" s="16">
        <v>1546</v>
      </c>
    </row>
    <row r="191" spans="1:8" ht="11.25" customHeight="1" x14ac:dyDescent="0.2">
      <c r="C191" s="1" t="s">
        <v>6710</v>
      </c>
      <c r="D191" s="1" t="s">
        <v>1239</v>
      </c>
      <c r="E191" s="16">
        <v>1212</v>
      </c>
    </row>
    <row r="192" spans="1:8" ht="11.25" customHeight="1" x14ac:dyDescent="0.2">
      <c r="C192" s="1" t="s">
        <v>6711</v>
      </c>
      <c r="D192" s="1" t="s">
        <v>653</v>
      </c>
      <c r="E192" s="16">
        <v>518</v>
      </c>
    </row>
    <row r="193" spans="1:8" ht="11.25" customHeight="1" x14ac:dyDescent="0.2">
      <c r="E193" s="155">
        <v>3276</v>
      </c>
      <c r="F193" s="156"/>
      <c r="G193" s="155" t="s">
        <v>6712</v>
      </c>
      <c r="H193" s="158"/>
    </row>
    <row r="194" spans="1:8" ht="11.25" customHeight="1" x14ac:dyDescent="0.2">
      <c r="G194" s="24"/>
    </row>
    <row r="195" spans="1:8" ht="11.25" customHeight="1" x14ac:dyDescent="0.2">
      <c r="A195" s="1" t="s">
        <v>1198</v>
      </c>
      <c r="C195" s="2" t="s">
        <v>6624</v>
      </c>
      <c r="D195" s="1" t="s">
        <v>1072</v>
      </c>
      <c r="E195" s="16">
        <v>1804</v>
      </c>
      <c r="G195" s="24"/>
    </row>
    <row r="196" spans="1:8" ht="11.25" customHeight="1" x14ac:dyDescent="0.2">
      <c r="C196" s="1" t="s">
        <v>6728</v>
      </c>
      <c r="D196" s="1" t="s">
        <v>1239</v>
      </c>
      <c r="E196" s="16">
        <v>1026</v>
      </c>
      <c r="G196" s="24"/>
    </row>
    <row r="197" spans="1:8" ht="11.25" customHeight="1" x14ac:dyDescent="0.2">
      <c r="E197" s="155">
        <v>2830</v>
      </c>
      <c r="F197" s="156"/>
      <c r="G197" s="157">
        <v>4965</v>
      </c>
      <c r="H197" s="158">
        <v>57</v>
      </c>
    </row>
    <row r="198" spans="1:8" ht="11.25" customHeight="1" x14ac:dyDescent="0.2"/>
    <row r="199" spans="1:8" ht="11.25" customHeight="1" x14ac:dyDescent="0.2">
      <c r="A199" s="1" t="s">
        <v>2283</v>
      </c>
      <c r="C199" s="2" t="s">
        <v>6625</v>
      </c>
      <c r="D199" s="1" t="s">
        <v>1072</v>
      </c>
      <c r="E199" s="16">
        <v>1864</v>
      </c>
    </row>
    <row r="200" spans="1:8" ht="11.25" customHeight="1" x14ac:dyDescent="0.2">
      <c r="C200" s="1" t="s">
        <v>6729</v>
      </c>
      <c r="D200" s="1" t="s">
        <v>1239</v>
      </c>
      <c r="E200" s="16">
        <v>1289</v>
      </c>
    </row>
    <row r="201" spans="1:8" ht="11.25" customHeight="1" x14ac:dyDescent="0.2">
      <c r="E201" s="155">
        <v>3153</v>
      </c>
      <c r="F201" s="156"/>
      <c r="G201" s="155" t="s">
        <v>6730</v>
      </c>
      <c r="H201" s="158"/>
    </row>
    <row r="202" spans="1:8" ht="11.25" customHeight="1" x14ac:dyDescent="0.2">
      <c r="G202" s="24"/>
    </row>
    <row r="203" spans="1:8" ht="11.25" customHeight="1" x14ac:dyDescent="0.2">
      <c r="A203" s="1" t="s">
        <v>1309</v>
      </c>
      <c r="C203" s="2" t="s">
        <v>6731</v>
      </c>
      <c r="D203" s="1" t="s">
        <v>1072</v>
      </c>
      <c r="E203" s="16">
        <v>2063</v>
      </c>
      <c r="G203" s="24"/>
    </row>
    <row r="204" spans="1:8" ht="11.25" customHeight="1" x14ac:dyDescent="0.2">
      <c r="C204" s="1" t="s">
        <v>6732</v>
      </c>
      <c r="D204" s="1" t="s">
        <v>1239</v>
      </c>
      <c r="E204" s="16">
        <v>1210</v>
      </c>
    </row>
    <row r="205" spans="1:8" ht="11.25" customHeight="1" x14ac:dyDescent="0.2">
      <c r="E205" s="155">
        <v>3273</v>
      </c>
      <c r="F205" s="156"/>
      <c r="G205" s="162" t="s">
        <v>6733</v>
      </c>
      <c r="H205" s="158"/>
    </row>
    <row r="206" spans="1:8" ht="11.25" customHeight="1" x14ac:dyDescent="0.2"/>
    <row r="207" spans="1:8" ht="11.25" customHeight="1" x14ac:dyDescent="0.2">
      <c r="A207" s="1" t="s">
        <v>1492</v>
      </c>
      <c r="C207" s="2" t="s">
        <v>6488</v>
      </c>
      <c r="D207" s="1" t="s">
        <v>1072</v>
      </c>
      <c r="E207" s="263" t="s">
        <v>6637</v>
      </c>
    </row>
    <row r="208" spans="1:8" ht="11.25" customHeight="1" x14ac:dyDescent="0.2">
      <c r="G208" s="24"/>
    </row>
    <row r="209" spans="1:8" ht="11.25" customHeight="1" x14ac:dyDescent="0.2">
      <c r="A209" s="1" t="s">
        <v>2564</v>
      </c>
      <c r="C209" s="2" t="s">
        <v>6734</v>
      </c>
      <c r="D209" s="1" t="s">
        <v>1239</v>
      </c>
      <c r="E209" s="263" t="s">
        <v>6637</v>
      </c>
      <c r="G209" s="24"/>
    </row>
    <row r="210" spans="1:8" ht="11.25" customHeight="1" x14ac:dyDescent="0.2"/>
    <row r="211" spans="1:8" ht="11.25" customHeight="1" x14ac:dyDescent="0.2">
      <c r="A211" s="1" t="s">
        <v>1199</v>
      </c>
      <c r="C211" s="2" t="s">
        <v>6735</v>
      </c>
      <c r="D211" s="1" t="s">
        <v>1072</v>
      </c>
      <c r="E211" s="16">
        <v>706</v>
      </c>
    </row>
    <row r="212" spans="1:8" ht="11.25" customHeight="1" x14ac:dyDescent="0.2">
      <c r="C212" s="1" t="s">
        <v>6736</v>
      </c>
      <c r="D212" s="1" t="s">
        <v>1239</v>
      </c>
      <c r="E212" s="16">
        <v>382</v>
      </c>
    </row>
    <row r="213" spans="1:8" ht="11.25" customHeight="1" x14ac:dyDescent="0.2">
      <c r="E213" s="155">
        <v>1088</v>
      </c>
      <c r="F213" s="156"/>
      <c r="G213" s="157">
        <v>1820</v>
      </c>
      <c r="H213" s="158"/>
    </row>
    <row r="214" spans="1:8" ht="11.25" customHeight="1" x14ac:dyDescent="0.2"/>
    <row r="215" spans="1:8" ht="11.25" customHeight="1" x14ac:dyDescent="0.2">
      <c r="A215" s="1" t="s">
        <v>1311</v>
      </c>
      <c r="C215" s="2" t="s">
        <v>1026</v>
      </c>
      <c r="D215" s="1" t="s">
        <v>1072</v>
      </c>
      <c r="E215" s="16">
        <v>1500</v>
      </c>
    </row>
    <row r="216" spans="1:8" ht="11.25" customHeight="1" x14ac:dyDescent="0.2">
      <c r="C216" s="1" t="s">
        <v>6737</v>
      </c>
      <c r="D216" s="1" t="s">
        <v>1239</v>
      </c>
      <c r="E216" s="16">
        <v>683</v>
      </c>
    </row>
    <row r="217" spans="1:8" ht="11.25" customHeight="1" x14ac:dyDescent="0.2">
      <c r="E217" s="155">
        <v>2183</v>
      </c>
      <c r="F217" s="156"/>
      <c r="G217" s="162" t="s">
        <v>6738</v>
      </c>
      <c r="H217" s="158"/>
    </row>
    <row r="218" spans="1:8" ht="11.25" customHeight="1" x14ac:dyDescent="0.2"/>
    <row r="219" spans="1:8" ht="11.25" customHeight="1" x14ac:dyDescent="0.2">
      <c r="A219" s="1" t="s">
        <v>2292</v>
      </c>
      <c r="C219" s="2" t="s">
        <v>1510</v>
      </c>
      <c r="D219" s="1" t="s">
        <v>1072</v>
      </c>
      <c r="E219" s="263" t="s">
        <v>6637</v>
      </c>
    </row>
    <row r="220" spans="1:8" ht="11.25" customHeight="1" x14ac:dyDescent="0.2">
      <c r="C220" s="2"/>
      <c r="E220" s="263"/>
    </row>
    <row r="221" spans="1:8" ht="11.25" customHeight="1" x14ac:dyDescent="0.2">
      <c r="A221" s="1" t="s">
        <v>6739</v>
      </c>
      <c r="C221" s="2" t="s">
        <v>6740</v>
      </c>
      <c r="D221" s="1" t="s">
        <v>6761</v>
      </c>
      <c r="E221" s="263">
        <v>4286</v>
      </c>
    </row>
    <row r="222" spans="1:8" ht="11.25" customHeight="1" x14ac:dyDescent="0.2">
      <c r="C222" s="2" t="s">
        <v>6741</v>
      </c>
      <c r="D222" s="1" t="s">
        <v>6761</v>
      </c>
      <c r="E222" s="263">
        <v>4023</v>
      </c>
    </row>
    <row r="223" spans="1:8" ht="11.25" customHeight="1" x14ac:dyDescent="0.2">
      <c r="C223" s="1" t="s">
        <v>6742</v>
      </c>
      <c r="D223" s="1" t="s">
        <v>6761</v>
      </c>
      <c r="E223" s="263">
        <v>3328</v>
      </c>
    </row>
    <row r="224" spans="1:8" ht="11.25" customHeight="1" x14ac:dyDescent="0.2">
      <c r="C224" s="1" t="s">
        <v>6743</v>
      </c>
      <c r="D224" s="1" t="s">
        <v>6761</v>
      </c>
      <c r="E224" s="263">
        <v>2331</v>
      </c>
    </row>
    <row r="225" spans="3:5" ht="11.25" customHeight="1" x14ac:dyDescent="0.2">
      <c r="C225" s="1" t="s">
        <v>6744</v>
      </c>
      <c r="D225" s="1" t="s">
        <v>6761</v>
      </c>
      <c r="E225" s="263">
        <v>1782</v>
      </c>
    </row>
    <row r="226" spans="3:5" ht="11.25" customHeight="1" x14ac:dyDescent="0.2">
      <c r="C226" s="1" t="s">
        <v>6745</v>
      </c>
      <c r="D226" s="1" t="s">
        <v>6761</v>
      </c>
      <c r="E226" s="263">
        <v>1744</v>
      </c>
    </row>
    <row r="227" spans="3:5" ht="11.25" customHeight="1" x14ac:dyDescent="0.2">
      <c r="C227" s="1" t="s">
        <v>6746</v>
      </c>
      <c r="D227" s="1" t="s">
        <v>6761</v>
      </c>
      <c r="E227" s="263">
        <v>1145</v>
      </c>
    </row>
    <row r="228" spans="3:5" ht="11.25" customHeight="1" x14ac:dyDescent="0.2">
      <c r="C228" s="1" t="s">
        <v>6747</v>
      </c>
      <c r="D228" s="1" t="s">
        <v>6761</v>
      </c>
      <c r="E228" s="263">
        <v>1109</v>
      </c>
    </row>
    <row r="229" spans="3:5" ht="11.25" customHeight="1" x14ac:dyDescent="0.2">
      <c r="C229" s="1" t="s">
        <v>6748</v>
      </c>
      <c r="D229" s="1" t="s">
        <v>6761</v>
      </c>
      <c r="E229" s="263">
        <v>918</v>
      </c>
    </row>
    <row r="230" spans="3:5" ht="11.25" customHeight="1" x14ac:dyDescent="0.2">
      <c r="C230" s="1" t="s">
        <v>6749</v>
      </c>
      <c r="D230" s="1" t="s">
        <v>6761</v>
      </c>
      <c r="E230" s="263">
        <v>882</v>
      </c>
    </row>
    <row r="231" spans="3:5" ht="11.25" customHeight="1" x14ac:dyDescent="0.2">
      <c r="C231" s="1" t="s">
        <v>6750</v>
      </c>
      <c r="D231" s="1" t="s">
        <v>6761</v>
      </c>
      <c r="E231" s="263">
        <v>716</v>
      </c>
    </row>
    <row r="232" spans="3:5" ht="11.25" customHeight="1" x14ac:dyDescent="0.2">
      <c r="C232" s="1" t="s">
        <v>6751</v>
      </c>
      <c r="D232" s="1" t="s">
        <v>6761</v>
      </c>
      <c r="E232" s="263">
        <v>519</v>
      </c>
    </row>
    <row r="233" spans="3:5" ht="11.25" customHeight="1" x14ac:dyDescent="0.2">
      <c r="C233" s="1" t="s">
        <v>6752</v>
      </c>
      <c r="D233" s="1" t="s">
        <v>6761</v>
      </c>
      <c r="E233" s="263">
        <v>474</v>
      </c>
    </row>
    <row r="234" spans="3:5" ht="11.25" customHeight="1" x14ac:dyDescent="0.2">
      <c r="C234" s="1" t="s">
        <v>6753</v>
      </c>
      <c r="D234" s="1" t="s">
        <v>6761</v>
      </c>
      <c r="E234" s="263">
        <v>438</v>
      </c>
    </row>
    <row r="235" spans="3:5" ht="11.25" customHeight="1" x14ac:dyDescent="0.2">
      <c r="C235" s="1" t="s">
        <v>6754</v>
      </c>
      <c r="D235" s="1" t="s">
        <v>6761</v>
      </c>
      <c r="E235" s="263">
        <v>425</v>
      </c>
    </row>
    <row r="236" spans="3:5" ht="11.25" customHeight="1" x14ac:dyDescent="0.2">
      <c r="C236" s="1" t="s">
        <v>6755</v>
      </c>
      <c r="D236" s="1" t="s">
        <v>6761</v>
      </c>
      <c r="E236" s="263">
        <v>423</v>
      </c>
    </row>
    <row r="237" spans="3:5" ht="11.25" customHeight="1" x14ac:dyDescent="0.2">
      <c r="C237" s="1" t="s">
        <v>6756</v>
      </c>
      <c r="D237" s="1" t="s">
        <v>6761</v>
      </c>
      <c r="E237" s="263">
        <v>374</v>
      </c>
    </row>
    <row r="238" spans="3:5" ht="11.25" customHeight="1" x14ac:dyDescent="0.2">
      <c r="C238" s="1" t="s">
        <v>6757</v>
      </c>
      <c r="D238" s="1" t="s">
        <v>6761</v>
      </c>
      <c r="E238" s="263">
        <v>221</v>
      </c>
    </row>
    <row r="239" spans="3:5" ht="11.25" customHeight="1" x14ac:dyDescent="0.2">
      <c r="C239" s="1" t="s">
        <v>6758</v>
      </c>
      <c r="D239" s="1" t="s">
        <v>6761</v>
      </c>
      <c r="E239" s="263">
        <v>186</v>
      </c>
    </row>
    <row r="240" spans="3:5" ht="11.25" customHeight="1" x14ac:dyDescent="0.2">
      <c r="C240" s="1" t="s">
        <v>6759</v>
      </c>
      <c r="D240" s="1" t="s">
        <v>6761</v>
      </c>
      <c r="E240" s="263">
        <v>180</v>
      </c>
    </row>
    <row r="241" spans="1:8" ht="11.25" customHeight="1" x14ac:dyDescent="0.2">
      <c r="C241" s="1" t="s">
        <v>6760</v>
      </c>
      <c r="D241" s="1" t="s">
        <v>6761</v>
      </c>
      <c r="E241" s="263">
        <v>97</v>
      </c>
    </row>
    <row r="242" spans="1:8" ht="11.25" customHeight="1" x14ac:dyDescent="0.2">
      <c r="E242" s="263"/>
    </row>
    <row r="243" spans="1:8" ht="11.25" customHeight="1" x14ac:dyDescent="0.2">
      <c r="A243" s="1" t="s">
        <v>6762</v>
      </c>
      <c r="E243" s="263"/>
      <c r="G243" s="21">
        <v>13286</v>
      </c>
    </row>
    <row r="244" spans="1:8" ht="11.25" customHeight="1" x14ac:dyDescent="0.2">
      <c r="F244" s="35"/>
      <c r="G244" s="24"/>
    </row>
    <row r="245" spans="1:8" ht="11.25" customHeight="1" x14ac:dyDescent="0.2">
      <c r="A245" s="22" t="s">
        <v>1131</v>
      </c>
      <c r="B245" s="22"/>
      <c r="C245" s="22"/>
      <c r="D245" s="22"/>
      <c r="E245" s="33" t="s">
        <v>766</v>
      </c>
      <c r="F245" s="39"/>
      <c r="G245" s="23">
        <f>SUM(G5:G219)</f>
        <v>73457</v>
      </c>
      <c r="H245" s="120">
        <f>(188219+7707)/G245*100</f>
        <v>266.72202785302966</v>
      </c>
    </row>
    <row r="246" spans="1:8" ht="11.25" customHeight="1" x14ac:dyDescent="0.2"/>
    <row r="247" spans="1:8" s="5" customFormat="1" ht="11.25" customHeight="1" x14ac:dyDescent="0.2">
      <c r="A247" s="6" t="s">
        <v>1289</v>
      </c>
      <c r="B247" s="6"/>
      <c r="C247" s="8"/>
      <c r="D247" s="8"/>
      <c r="E247" s="137"/>
      <c r="F247" s="138"/>
      <c r="G247" s="139"/>
      <c r="H247" s="82"/>
    </row>
    <row r="248" spans="1:8" s="143" customFormat="1" ht="33.75" customHeight="1" x14ac:dyDescent="0.2">
      <c r="A248" s="272" t="s">
        <v>2651</v>
      </c>
      <c r="B248" s="272"/>
      <c r="C248" s="272"/>
      <c r="D248" s="272"/>
      <c r="E248" s="272"/>
      <c r="F248" s="272"/>
      <c r="G248" s="272"/>
      <c r="H248" s="272"/>
    </row>
    <row r="249" spans="1:8" s="26" customFormat="1" ht="11.25" customHeight="1" x14ac:dyDescent="0.2">
      <c r="A249" s="273" t="s">
        <v>1288</v>
      </c>
      <c r="B249" s="273"/>
      <c r="C249" s="273"/>
      <c r="D249" s="273"/>
      <c r="E249" s="273"/>
      <c r="F249" s="273"/>
      <c r="G249" s="273"/>
      <c r="H249" s="273"/>
    </row>
    <row r="250" spans="1:8" s="26" customFormat="1" ht="11.25" customHeight="1" x14ac:dyDescent="0.2">
      <c r="A250" s="274" t="s">
        <v>2654</v>
      </c>
      <c r="B250" s="274"/>
      <c r="C250" s="274"/>
      <c r="D250" s="274"/>
      <c r="E250" s="274"/>
      <c r="F250" s="274"/>
      <c r="G250" s="274"/>
      <c r="H250" s="274"/>
    </row>
    <row r="251" spans="1:8" s="26" customFormat="1" ht="11.25" customHeight="1" x14ac:dyDescent="0.2">
      <c r="A251" s="273" t="s">
        <v>2655</v>
      </c>
      <c r="B251" s="273"/>
      <c r="C251" s="273"/>
      <c r="D251" s="273"/>
      <c r="E251" s="273"/>
      <c r="F251" s="273"/>
      <c r="G251" s="273"/>
      <c r="H251" s="273"/>
    </row>
    <row r="252" spans="1:8" ht="11.25" customHeight="1" x14ac:dyDescent="0.2"/>
  </sheetData>
  <mergeCells count="6">
    <mergeCell ref="A251:H251"/>
    <mergeCell ref="A1:H1"/>
    <mergeCell ref="F2:H2"/>
    <mergeCell ref="A248:H248"/>
    <mergeCell ref="A249:H249"/>
    <mergeCell ref="A250:H250"/>
  </mergeCells>
  <pageMargins left="0.5" right="0.16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3"/>
  <sheetViews>
    <sheetView workbookViewId="0">
      <pane ySplit="3" topLeftCell="A250" activePane="bottomLeft" state="frozen"/>
      <selection activeCell="G3" sqref="G3"/>
      <selection pane="bottomLeft" activeCell="G266" sqref="G266"/>
    </sheetView>
  </sheetViews>
  <sheetFormatPr defaultRowHeight="11.25" x14ac:dyDescent="0.2"/>
  <cols>
    <col min="1" max="1" width="20.7109375" style="1" customWidth="1"/>
    <col min="2" max="2" width="2.7109375" style="1" customWidth="1"/>
    <col min="3" max="3" width="20.7109375" style="1" customWidth="1"/>
    <col min="4" max="4" width="18.7109375" style="1" customWidth="1"/>
    <col min="5" max="5" width="9.7109375" style="16" customWidth="1"/>
    <col min="6" max="6" width="9.7109375" style="34" customWidth="1"/>
    <col min="7" max="7" width="8.7109375" style="21" customWidth="1"/>
    <col min="8" max="8" width="7.7109375" style="81" customWidth="1"/>
    <col min="9" max="16384" width="9.140625" style="1"/>
  </cols>
  <sheetData>
    <row r="1" spans="1:8" s="71" customFormat="1" ht="24" customHeight="1" x14ac:dyDescent="0.2">
      <c r="A1" s="270" t="s">
        <v>2332</v>
      </c>
      <c r="B1" s="270"/>
      <c r="C1" s="270"/>
      <c r="D1" s="270"/>
      <c r="E1" s="270"/>
      <c r="F1" s="270"/>
      <c r="G1" s="270"/>
      <c r="H1" s="270"/>
    </row>
    <row r="2" spans="1:8" s="37" customFormat="1" ht="42" customHeight="1" thickBot="1" x14ac:dyDescent="0.25">
      <c r="A2" s="36" t="s">
        <v>4782</v>
      </c>
      <c r="B2" s="36" t="s">
        <v>6373</v>
      </c>
      <c r="C2" s="36" t="s">
        <v>6500</v>
      </c>
      <c r="D2" s="75" t="s">
        <v>5892</v>
      </c>
      <c r="F2" s="271" t="s">
        <v>6374</v>
      </c>
      <c r="G2" s="271"/>
      <c r="H2" s="271"/>
    </row>
    <row r="3" spans="1:8" s="57" customFormat="1" ht="52.5" customHeight="1" thickBot="1" x14ac:dyDescent="0.25">
      <c r="A3" s="58" t="s">
        <v>1284</v>
      </c>
      <c r="B3" s="59"/>
      <c r="C3" s="59" t="s">
        <v>1285</v>
      </c>
      <c r="D3" s="59" t="s">
        <v>2652</v>
      </c>
      <c r="E3" s="73" t="s">
        <v>2653</v>
      </c>
      <c r="F3" s="74" t="s">
        <v>1286</v>
      </c>
      <c r="G3" s="73" t="s">
        <v>1287</v>
      </c>
      <c r="H3" s="74" t="s">
        <v>2656</v>
      </c>
    </row>
    <row r="4" spans="1:8" s="38" customFormat="1" ht="11.25" customHeight="1" x14ac:dyDescent="0.2">
      <c r="A4" s="62"/>
      <c r="B4" s="63"/>
      <c r="C4" s="63"/>
      <c r="D4" s="63"/>
      <c r="E4" s="64"/>
      <c r="F4" s="129"/>
      <c r="G4" s="64"/>
      <c r="H4" s="130"/>
    </row>
    <row r="5" spans="1:8" ht="11.25" customHeight="1" x14ac:dyDescent="0.2">
      <c r="A5" s="1" t="s">
        <v>3172</v>
      </c>
      <c r="C5" s="2" t="s">
        <v>1771</v>
      </c>
      <c r="D5" s="1" t="s">
        <v>3173</v>
      </c>
      <c r="E5" s="16">
        <v>3106</v>
      </c>
      <c r="F5" s="34">
        <v>71.872863978127143</v>
      </c>
    </row>
    <row r="6" spans="1:8" ht="11.25" customHeight="1" x14ac:dyDescent="0.2">
      <c r="C6" s="1" t="s">
        <v>6501</v>
      </c>
      <c r="D6" s="1" t="s">
        <v>1072</v>
      </c>
      <c r="E6" s="16">
        <v>906</v>
      </c>
      <c r="F6" s="34">
        <v>28.127136021872865</v>
      </c>
    </row>
    <row r="7" spans="1:8" ht="11.25" customHeight="1" x14ac:dyDescent="0.2">
      <c r="E7" s="155">
        <v>4012</v>
      </c>
      <c r="F7" s="156">
        <v>100</v>
      </c>
      <c r="G7" s="157">
        <v>5800</v>
      </c>
      <c r="H7" s="158">
        <v>69.2</v>
      </c>
    </row>
    <row r="8" spans="1:8" ht="11.25" customHeight="1" x14ac:dyDescent="0.2"/>
    <row r="9" spans="1:8" ht="11.25" customHeight="1" x14ac:dyDescent="0.2">
      <c r="A9" s="1" t="s">
        <v>3267</v>
      </c>
      <c r="C9" s="2" t="s">
        <v>6502</v>
      </c>
      <c r="D9" s="1" t="s">
        <v>3173</v>
      </c>
      <c r="E9" s="16">
        <v>2195</v>
      </c>
      <c r="F9" s="34">
        <v>27.337826453243469</v>
      </c>
    </row>
    <row r="10" spans="1:8" ht="11.25" customHeight="1" x14ac:dyDescent="0.2">
      <c r="C10" s="1" t="s">
        <v>6503</v>
      </c>
      <c r="D10" s="1" t="s">
        <v>1072</v>
      </c>
      <c r="E10" s="16">
        <v>282</v>
      </c>
    </row>
    <row r="11" spans="1:8" ht="11.25" customHeight="1" x14ac:dyDescent="0.2">
      <c r="E11" s="155">
        <v>2477</v>
      </c>
      <c r="F11" s="156">
        <v>100</v>
      </c>
      <c r="G11" s="159">
        <v>3381</v>
      </c>
      <c r="H11" s="158">
        <v>73.3</v>
      </c>
    </row>
    <row r="12" spans="1:8" ht="11.25" customHeight="1" x14ac:dyDescent="0.2">
      <c r="G12" s="24"/>
    </row>
    <row r="13" spans="1:8" ht="11.25" customHeight="1" x14ac:dyDescent="0.2">
      <c r="A13" s="1" t="s">
        <v>2266</v>
      </c>
      <c r="C13" s="2" t="s">
        <v>6381</v>
      </c>
      <c r="D13" s="1" t="s">
        <v>1072</v>
      </c>
      <c r="E13" s="16">
        <v>1043</v>
      </c>
      <c r="F13" s="34">
        <v>55.10948905109489</v>
      </c>
      <c r="G13" s="24"/>
    </row>
    <row r="14" spans="1:8" ht="11.25" customHeight="1" x14ac:dyDescent="0.2">
      <c r="C14" s="1" t="s">
        <v>6504</v>
      </c>
      <c r="D14" s="1" t="s">
        <v>1239</v>
      </c>
      <c r="E14" s="16">
        <v>438</v>
      </c>
      <c r="G14" s="24"/>
    </row>
    <row r="15" spans="1:8" ht="11.25" customHeight="1" x14ac:dyDescent="0.2">
      <c r="E15" s="155">
        <v>1481</v>
      </c>
      <c r="F15" s="156">
        <v>100</v>
      </c>
      <c r="G15" s="162" t="s">
        <v>6505</v>
      </c>
      <c r="H15" s="158"/>
    </row>
    <row r="16" spans="1:8" ht="11.25" customHeight="1" x14ac:dyDescent="0.2">
      <c r="E16" s="27"/>
      <c r="F16" s="35"/>
      <c r="G16" s="151"/>
      <c r="H16" s="85"/>
    </row>
    <row r="17" spans="1:8" ht="11.25" customHeight="1" x14ac:dyDescent="0.2">
      <c r="A17" s="1" t="s">
        <v>1923</v>
      </c>
      <c r="C17" s="2" t="s">
        <v>6382</v>
      </c>
      <c r="D17" s="1" t="s">
        <v>1072</v>
      </c>
      <c r="E17" s="16">
        <v>1560</v>
      </c>
      <c r="F17" s="34">
        <v>47.799625468164791</v>
      </c>
    </row>
    <row r="18" spans="1:8" ht="11.25" customHeight="1" x14ac:dyDescent="0.2">
      <c r="C18" s="1" t="s">
        <v>6506</v>
      </c>
      <c r="D18" s="1" t="s">
        <v>3173</v>
      </c>
      <c r="E18" s="16">
        <v>943</v>
      </c>
      <c r="F18" s="34">
        <v>48.127340823970037</v>
      </c>
    </row>
    <row r="19" spans="1:8" ht="11.25" customHeight="1" x14ac:dyDescent="0.2">
      <c r="E19" s="155">
        <v>2503</v>
      </c>
      <c r="F19" s="156">
        <v>100</v>
      </c>
      <c r="G19" s="157">
        <v>3510</v>
      </c>
      <c r="H19" s="158">
        <v>74.3</v>
      </c>
    </row>
    <row r="20" spans="1:8" ht="11.25" customHeight="1" x14ac:dyDescent="0.2">
      <c r="C20" s="2"/>
    </row>
    <row r="21" spans="1:8" ht="11.25" customHeight="1" x14ac:dyDescent="0.2">
      <c r="A21" s="1" t="s">
        <v>1975</v>
      </c>
      <c r="C21" s="2" t="s">
        <v>6507</v>
      </c>
      <c r="D21" s="1" t="s">
        <v>1072</v>
      </c>
      <c r="E21" s="19">
        <v>1694</v>
      </c>
      <c r="F21" s="25">
        <v>56.645569620253163</v>
      </c>
    </row>
    <row r="22" spans="1:8" ht="11.25" customHeight="1" x14ac:dyDescent="0.2">
      <c r="C22" s="1" t="s">
        <v>6508</v>
      </c>
      <c r="D22" s="1" t="s">
        <v>3173</v>
      </c>
      <c r="E22" s="16">
        <v>649</v>
      </c>
      <c r="F22" s="25">
        <v>43.354430379746837</v>
      </c>
    </row>
    <row r="23" spans="1:8" ht="11.25" customHeight="1" x14ac:dyDescent="0.2">
      <c r="E23" s="155">
        <v>2343</v>
      </c>
      <c r="F23" s="156">
        <v>100</v>
      </c>
      <c r="G23" s="162" t="s">
        <v>6509</v>
      </c>
      <c r="H23" s="158"/>
    </row>
    <row r="24" spans="1:8" ht="11.25" customHeight="1" x14ac:dyDescent="0.2"/>
    <row r="25" spans="1:8" ht="11.25" customHeight="1" x14ac:dyDescent="0.2">
      <c r="A25" s="1" t="s">
        <v>1086</v>
      </c>
      <c r="C25" s="2" t="s">
        <v>6510</v>
      </c>
      <c r="D25" s="1" t="s">
        <v>1918</v>
      </c>
      <c r="E25" s="16">
        <v>7294</v>
      </c>
      <c r="F25" s="25"/>
    </row>
    <row r="26" spans="1:8" ht="11.25" customHeight="1" x14ac:dyDescent="0.2">
      <c r="C26" s="2" t="s">
        <v>6511</v>
      </c>
      <c r="D26" s="1" t="s">
        <v>653</v>
      </c>
      <c r="E26" s="16">
        <v>6400</v>
      </c>
      <c r="F26" s="25"/>
    </row>
    <row r="27" spans="1:8" ht="11.25" customHeight="1" x14ac:dyDescent="0.2">
      <c r="C27" s="2" t="s">
        <v>6512</v>
      </c>
      <c r="D27" s="1" t="s">
        <v>1918</v>
      </c>
      <c r="E27" s="19">
        <v>6190</v>
      </c>
      <c r="F27" s="25"/>
    </row>
    <row r="28" spans="1:8" ht="11.25" customHeight="1" x14ac:dyDescent="0.2">
      <c r="C28" s="2" t="s">
        <v>6390</v>
      </c>
      <c r="D28" s="1" t="s">
        <v>1072</v>
      </c>
      <c r="E28" s="16">
        <v>5426</v>
      </c>
      <c r="F28" s="25"/>
    </row>
    <row r="29" spans="1:8" ht="11.25" customHeight="1" x14ac:dyDescent="0.2">
      <c r="C29" s="2" t="s">
        <v>6513</v>
      </c>
      <c r="D29" s="1" t="s">
        <v>653</v>
      </c>
      <c r="E29" s="16">
        <v>5141</v>
      </c>
      <c r="F29" s="25"/>
    </row>
    <row r="30" spans="1:8" ht="11.25" customHeight="1" x14ac:dyDescent="0.2">
      <c r="C30" s="1" t="s">
        <v>6514</v>
      </c>
      <c r="D30" s="1" t="s">
        <v>1072</v>
      </c>
      <c r="E30" s="16">
        <v>4391</v>
      </c>
      <c r="F30" s="25"/>
    </row>
    <row r="31" spans="1:8" ht="11.25" customHeight="1" x14ac:dyDescent="0.2">
      <c r="C31" s="1" t="s">
        <v>6515</v>
      </c>
      <c r="D31" s="1" t="s">
        <v>1072</v>
      </c>
      <c r="E31" s="16">
        <v>4230</v>
      </c>
      <c r="F31" s="25"/>
    </row>
    <row r="32" spans="1:8" ht="11.25" customHeight="1" x14ac:dyDescent="0.2">
      <c r="C32" s="1" t="s">
        <v>2002</v>
      </c>
      <c r="D32" s="1" t="s">
        <v>1918</v>
      </c>
      <c r="E32" s="16">
        <v>4082</v>
      </c>
      <c r="F32" s="25"/>
    </row>
    <row r="33" spans="1:8" ht="11.25" customHeight="1" x14ac:dyDescent="0.2">
      <c r="C33" s="1" t="s">
        <v>6389</v>
      </c>
      <c r="D33" s="1" t="s">
        <v>1239</v>
      </c>
      <c r="E33" s="16">
        <v>3808</v>
      </c>
      <c r="F33" s="25"/>
    </row>
    <row r="34" spans="1:8" ht="11.25" customHeight="1" x14ac:dyDescent="0.2">
      <c r="C34" s="1" t="s">
        <v>6516</v>
      </c>
      <c r="D34" s="1" t="s">
        <v>1239</v>
      </c>
      <c r="E34" s="16">
        <v>3332</v>
      </c>
      <c r="F34" s="25"/>
    </row>
    <row r="35" spans="1:8" ht="11.25" customHeight="1" x14ac:dyDescent="0.2">
      <c r="C35" s="1" t="s">
        <v>6517</v>
      </c>
      <c r="D35" s="1" t="s">
        <v>1072</v>
      </c>
      <c r="E35" s="16">
        <v>3282</v>
      </c>
      <c r="F35" s="25"/>
    </row>
    <row r="36" spans="1:8" ht="11.25" customHeight="1" x14ac:dyDescent="0.2">
      <c r="C36" s="1" t="s">
        <v>6518</v>
      </c>
      <c r="D36" s="1" t="s">
        <v>1239</v>
      </c>
      <c r="E36" s="16">
        <v>3090</v>
      </c>
      <c r="F36" s="25"/>
    </row>
    <row r="37" spans="1:8" ht="11.25" customHeight="1" x14ac:dyDescent="0.2">
      <c r="C37" s="1" t="s">
        <v>6519</v>
      </c>
      <c r="D37" s="1" t="s">
        <v>1072</v>
      </c>
      <c r="E37" s="16">
        <v>2969</v>
      </c>
      <c r="F37" s="25"/>
    </row>
    <row r="38" spans="1:8" ht="11.25" customHeight="1" x14ac:dyDescent="0.2">
      <c r="C38" s="1" t="s">
        <v>6520</v>
      </c>
      <c r="D38" s="1" t="s">
        <v>1918</v>
      </c>
      <c r="E38" s="16">
        <v>2878</v>
      </c>
      <c r="F38" s="25"/>
    </row>
    <row r="39" spans="1:8" ht="11.25" customHeight="1" x14ac:dyDescent="0.2">
      <c r="C39" s="1" t="s">
        <v>6392</v>
      </c>
      <c r="D39" s="1" t="s">
        <v>757</v>
      </c>
      <c r="E39" s="16">
        <v>2864</v>
      </c>
      <c r="F39" s="25"/>
    </row>
    <row r="40" spans="1:8" ht="11.25" customHeight="1" x14ac:dyDescent="0.2">
      <c r="C40" s="1" t="s">
        <v>6521</v>
      </c>
      <c r="D40" s="1" t="s">
        <v>1239</v>
      </c>
      <c r="E40" s="16">
        <v>2663</v>
      </c>
      <c r="F40" s="25"/>
    </row>
    <row r="41" spans="1:8" ht="11.25" customHeight="1" x14ac:dyDescent="0.2">
      <c r="C41" s="1" t="s">
        <v>6522</v>
      </c>
      <c r="D41" s="1" t="s">
        <v>757</v>
      </c>
      <c r="E41" s="16">
        <v>2386</v>
      </c>
      <c r="F41" s="25"/>
    </row>
    <row r="42" spans="1:8" ht="11.25" customHeight="1" x14ac:dyDescent="0.2">
      <c r="C42" s="1" t="s">
        <v>6523</v>
      </c>
      <c r="D42" s="1" t="s">
        <v>1239</v>
      </c>
      <c r="E42" s="16">
        <v>2282</v>
      </c>
      <c r="F42" s="25"/>
    </row>
    <row r="43" spans="1:8" ht="11.25" customHeight="1" x14ac:dyDescent="0.2">
      <c r="C43" s="1" t="s">
        <v>6524</v>
      </c>
      <c r="D43" s="1" t="s">
        <v>6526</v>
      </c>
      <c r="E43" s="16">
        <v>1745</v>
      </c>
      <c r="F43" s="25"/>
    </row>
    <row r="44" spans="1:8" ht="11.25" customHeight="1" x14ac:dyDescent="0.2">
      <c r="C44" s="1" t="s">
        <v>6525</v>
      </c>
      <c r="D44" s="1" t="s">
        <v>653</v>
      </c>
      <c r="E44" s="16">
        <v>1423</v>
      </c>
      <c r="F44" s="25"/>
    </row>
    <row r="45" spans="1:8" ht="11.25" customHeight="1" x14ac:dyDescent="0.2">
      <c r="E45" s="155">
        <v>17187</v>
      </c>
      <c r="F45" s="156">
        <v>100</v>
      </c>
      <c r="G45" s="157">
        <v>32103</v>
      </c>
      <c r="H45" s="158">
        <v>53.5</v>
      </c>
    </row>
    <row r="46" spans="1:8" ht="11.25" customHeight="1" x14ac:dyDescent="0.2">
      <c r="C46" s="2"/>
    </row>
    <row r="47" spans="1:8" ht="11.25" customHeight="1" x14ac:dyDescent="0.2">
      <c r="A47" s="1" t="s">
        <v>1125</v>
      </c>
      <c r="C47" s="2" t="s">
        <v>1791</v>
      </c>
      <c r="D47" s="1" t="s">
        <v>3173</v>
      </c>
      <c r="E47" s="16">
        <v>3040</v>
      </c>
      <c r="F47" s="34">
        <v>60.061267470802221</v>
      </c>
    </row>
    <row r="48" spans="1:8" ht="11.25" customHeight="1" x14ac:dyDescent="0.2">
      <c r="C48" s="1" t="s">
        <v>6527</v>
      </c>
      <c r="D48" s="1" t="s">
        <v>1072</v>
      </c>
      <c r="E48" s="16">
        <v>2391</v>
      </c>
    </row>
    <row r="49" spans="1:8" ht="11.25" customHeight="1" x14ac:dyDescent="0.2">
      <c r="E49" s="155">
        <v>5431</v>
      </c>
      <c r="F49" s="156">
        <v>100</v>
      </c>
      <c r="G49" s="162" t="s">
        <v>6528</v>
      </c>
      <c r="H49" s="158"/>
    </row>
    <row r="50" spans="1:8" ht="11.25" customHeight="1" x14ac:dyDescent="0.2"/>
    <row r="51" spans="1:8" ht="11.25" customHeight="1" x14ac:dyDescent="0.2">
      <c r="A51" s="1" t="s">
        <v>1427</v>
      </c>
      <c r="C51" s="2" t="s">
        <v>2312</v>
      </c>
      <c r="D51" s="1" t="s">
        <v>3173</v>
      </c>
      <c r="E51" s="16">
        <v>1340</v>
      </c>
      <c r="F51" s="34">
        <v>37.688442211055275</v>
      </c>
    </row>
    <row r="52" spans="1:8" ht="11.25" customHeight="1" x14ac:dyDescent="0.2">
      <c r="C52" s="1" t="s">
        <v>6529</v>
      </c>
      <c r="D52" s="1" t="s">
        <v>1072</v>
      </c>
      <c r="E52" s="16">
        <v>615</v>
      </c>
    </row>
    <row r="53" spans="1:8" ht="11.25" customHeight="1" x14ac:dyDescent="0.2">
      <c r="E53" s="155">
        <v>1955</v>
      </c>
      <c r="F53" s="156">
        <v>100</v>
      </c>
      <c r="G53" s="159">
        <v>2465</v>
      </c>
      <c r="H53" s="158">
        <v>79.3</v>
      </c>
    </row>
    <row r="54" spans="1:8" ht="11.25" customHeight="1" x14ac:dyDescent="0.2"/>
    <row r="55" spans="1:8" ht="11.25" customHeight="1" x14ac:dyDescent="0.2">
      <c r="A55" s="1" t="s">
        <v>6400</v>
      </c>
      <c r="C55" s="2" t="s">
        <v>6530</v>
      </c>
      <c r="D55" s="1" t="s">
        <v>653</v>
      </c>
      <c r="E55" s="16">
        <v>809</v>
      </c>
      <c r="F55" s="34">
        <v>49.743150684931507</v>
      </c>
    </row>
    <row r="56" spans="1:8" ht="11.25" customHeight="1" x14ac:dyDescent="0.2">
      <c r="C56" s="1" t="s">
        <v>6531</v>
      </c>
      <c r="D56" s="1" t="s">
        <v>3173</v>
      </c>
      <c r="E56" s="16">
        <v>763</v>
      </c>
      <c r="F56" s="34">
        <v>50.256849315068493</v>
      </c>
    </row>
    <row r="57" spans="1:8" ht="11.25" customHeight="1" x14ac:dyDescent="0.2">
      <c r="E57" s="155">
        <v>1572</v>
      </c>
      <c r="F57" s="156">
        <v>100</v>
      </c>
      <c r="G57" s="155" t="s">
        <v>6532</v>
      </c>
      <c r="H57" s="158"/>
    </row>
    <row r="58" spans="1:8" ht="11.25" customHeight="1" x14ac:dyDescent="0.2"/>
    <row r="59" spans="1:8" ht="11.25" customHeight="1" x14ac:dyDescent="0.2">
      <c r="A59" s="1" t="s">
        <v>6534</v>
      </c>
      <c r="C59" s="2" t="s">
        <v>6533</v>
      </c>
      <c r="D59" s="1" t="s">
        <v>1072</v>
      </c>
      <c r="E59" s="16">
        <v>234</v>
      </c>
      <c r="F59" s="34">
        <v>55.368421052631582</v>
      </c>
    </row>
    <row r="60" spans="1:8" ht="11.25" customHeight="1" x14ac:dyDescent="0.2">
      <c r="C60" s="1" t="s">
        <v>6535</v>
      </c>
      <c r="D60" s="1" t="s">
        <v>1072</v>
      </c>
      <c r="E60" s="16">
        <v>147</v>
      </c>
    </row>
    <row r="61" spans="1:8" ht="11.25" customHeight="1" x14ac:dyDescent="0.2">
      <c r="C61" s="1" t="s">
        <v>6536</v>
      </c>
      <c r="D61" s="1" t="s">
        <v>653</v>
      </c>
      <c r="E61" s="16">
        <v>117</v>
      </c>
    </row>
    <row r="62" spans="1:8" ht="11.25" customHeight="1" x14ac:dyDescent="0.2">
      <c r="C62" s="1" t="s">
        <v>6537</v>
      </c>
      <c r="D62" s="1" t="s">
        <v>653</v>
      </c>
      <c r="E62" s="16">
        <v>60</v>
      </c>
      <c r="F62" s="34">
        <v>44.631578947368418</v>
      </c>
    </row>
    <row r="63" spans="1:8" ht="11.25" customHeight="1" x14ac:dyDescent="0.2">
      <c r="E63" s="155">
        <v>558</v>
      </c>
      <c r="F63" s="156">
        <v>100</v>
      </c>
      <c r="G63" s="157">
        <v>709</v>
      </c>
      <c r="H63" s="158">
        <v>78.7</v>
      </c>
    </row>
    <row r="64" spans="1:8" ht="11.25" customHeight="1" x14ac:dyDescent="0.2">
      <c r="G64" s="24"/>
    </row>
    <row r="65" spans="1:8" ht="11.25" customHeight="1" x14ac:dyDescent="0.2">
      <c r="A65" s="1" t="s">
        <v>2012</v>
      </c>
      <c r="C65" s="2" t="s">
        <v>6538</v>
      </c>
      <c r="D65" s="1" t="s">
        <v>3173</v>
      </c>
      <c r="E65" s="16">
        <v>961</v>
      </c>
      <c r="F65" s="34">
        <v>23.895027624309392</v>
      </c>
      <c r="G65" s="24"/>
    </row>
    <row r="66" spans="1:8" ht="11.25" customHeight="1" x14ac:dyDescent="0.2">
      <c r="C66" s="1" t="s">
        <v>6539</v>
      </c>
      <c r="D66" s="1" t="s">
        <v>1072</v>
      </c>
      <c r="E66" s="16">
        <v>541</v>
      </c>
      <c r="F66" s="34">
        <v>29.903314917127073</v>
      </c>
    </row>
    <row r="67" spans="1:8" ht="11.25" customHeight="1" x14ac:dyDescent="0.2">
      <c r="E67" s="155">
        <v>1502</v>
      </c>
      <c r="F67" s="156">
        <v>100</v>
      </c>
      <c r="G67" s="162" t="s">
        <v>6540</v>
      </c>
      <c r="H67" s="158">
        <v>75.599999999999994</v>
      </c>
    </row>
    <row r="68" spans="1:8" ht="11.25" customHeight="1" x14ac:dyDescent="0.2">
      <c r="G68" s="24"/>
    </row>
    <row r="69" spans="1:8" ht="11.25" customHeight="1" x14ac:dyDescent="0.2">
      <c r="A69" s="1" t="s">
        <v>2016</v>
      </c>
      <c r="C69" s="2" t="s">
        <v>6404</v>
      </c>
      <c r="D69" s="1" t="s">
        <v>3173</v>
      </c>
      <c r="E69" s="16">
        <v>2387</v>
      </c>
      <c r="F69" s="34">
        <v>48.75829850012294</v>
      </c>
      <c r="G69" s="24"/>
    </row>
    <row r="70" spans="1:8" ht="11.25" customHeight="1" x14ac:dyDescent="0.2">
      <c r="C70" s="1" t="s">
        <v>6541</v>
      </c>
      <c r="D70" s="1" t="s">
        <v>1072</v>
      </c>
      <c r="E70" s="16">
        <v>945</v>
      </c>
      <c r="G70" s="24"/>
    </row>
    <row r="71" spans="1:8" ht="11.25" customHeight="1" x14ac:dyDescent="0.2">
      <c r="E71" s="155">
        <v>4696</v>
      </c>
      <c r="F71" s="156">
        <v>100</v>
      </c>
      <c r="G71" s="157">
        <v>6256</v>
      </c>
      <c r="H71" s="158">
        <v>75.099999999999994</v>
      </c>
    </row>
    <row r="72" spans="1:8" ht="11.25" customHeight="1" x14ac:dyDescent="0.2"/>
    <row r="73" spans="1:8" ht="11.25" customHeight="1" x14ac:dyDescent="0.2">
      <c r="A73" s="1" t="s">
        <v>369</v>
      </c>
      <c r="C73" s="2" t="s">
        <v>2024</v>
      </c>
      <c r="D73" s="1" t="s">
        <v>3173</v>
      </c>
      <c r="E73" s="16">
        <v>2528</v>
      </c>
      <c r="F73" s="34">
        <v>45.567265964042157</v>
      </c>
    </row>
    <row r="74" spans="1:8" ht="11.25" customHeight="1" x14ac:dyDescent="0.2">
      <c r="C74" s="1" t="s">
        <v>6542</v>
      </c>
      <c r="D74" s="1" t="s">
        <v>1072</v>
      </c>
      <c r="E74" s="16">
        <v>1734</v>
      </c>
      <c r="F74" s="34">
        <v>54.432734035957843</v>
      </c>
    </row>
    <row r="75" spans="1:8" ht="11.25" customHeight="1" x14ac:dyDescent="0.2">
      <c r="E75" s="155">
        <v>4262</v>
      </c>
      <c r="F75" s="156">
        <v>100</v>
      </c>
      <c r="G75" s="157">
        <v>6621</v>
      </c>
      <c r="H75" s="158">
        <v>64.400000000000006</v>
      </c>
    </row>
    <row r="76" spans="1:8" ht="11.25" customHeight="1" x14ac:dyDescent="0.2"/>
    <row r="77" spans="1:8" ht="11.25" customHeight="1" x14ac:dyDescent="0.2">
      <c r="A77" s="1" t="s">
        <v>1919</v>
      </c>
      <c r="C77" s="2" t="s">
        <v>6543</v>
      </c>
      <c r="D77" s="1" t="s">
        <v>1072</v>
      </c>
      <c r="E77" s="16">
        <v>6498</v>
      </c>
      <c r="F77" s="34">
        <v>8.4289017886639286</v>
      </c>
    </row>
    <row r="78" spans="1:8" ht="11.25" customHeight="1" x14ac:dyDescent="0.2">
      <c r="C78" s="2" t="s">
        <v>6544</v>
      </c>
      <c r="D78" s="1" t="s">
        <v>1072</v>
      </c>
      <c r="E78" s="16">
        <v>5803</v>
      </c>
      <c r="F78" s="34">
        <v>3.8604936523667939</v>
      </c>
    </row>
    <row r="79" spans="1:8" ht="11.25" customHeight="1" x14ac:dyDescent="0.2">
      <c r="C79" s="2" t="s">
        <v>6545</v>
      </c>
      <c r="D79" s="1" t="s">
        <v>1072</v>
      </c>
      <c r="E79" s="16">
        <v>5388</v>
      </c>
      <c r="F79" s="34">
        <v>2.0010382745764312</v>
      </c>
    </row>
    <row r="80" spans="1:8" ht="11.25" customHeight="1" x14ac:dyDescent="0.2">
      <c r="C80" s="2" t="s">
        <v>6546</v>
      </c>
      <c r="D80" s="1" t="s">
        <v>1072</v>
      </c>
      <c r="E80" s="16">
        <v>5361</v>
      </c>
      <c r="F80" s="34">
        <v>1.765066779932984</v>
      </c>
    </row>
    <row r="81" spans="3:6" ht="11.25" customHeight="1" x14ac:dyDescent="0.2">
      <c r="C81" s="2" t="s">
        <v>6547</v>
      </c>
      <c r="D81" s="1" t="s">
        <v>1072</v>
      </c>
      <c r="E81" s="16">
        <v>5289</v>
      </c>
      <c r="F81" s="34">
        <v>4.9082070885836995</v>
      </c>
    </row>
    <row r="82" spans="3:6" ht="11.25" customHeight="1" x14ac:dyDescent="0.2">
      <c r="C82" s="1" t="s">
        <v>6548</v>
      </c>
      <c r="D82" s="1" t="s">
        <v>3173</v>
      </c>
      <c r="E82" s="16">
        <v>4978</v>
      </c>
      <c r="F82" s="34">
        <v>12.57728066449573</v>
      </c>
    </row>
    <row r="83" spans="3:6" ht="11.25" customHeight="1" x14ac:dyDescent="0.2">
      <c r="C83" s="1" t="s">
        <v>6549</v>
      </c>
      <c r="D83" s="1" t="s">
        <v>1239</v>
      </c>
      <c r="E83" s="16">
        <v>4777</v>
      </c>
      <c r="F83" s="34">
        <v>3.9265656708669594</v>
      </c>
    </row>
    <row r="84" spans="3:6" ht="11.25" customHeight="1" x14ac:dyDescent="0.2">
      <c r="C84" s="1" t="s">
        <v>6550</v>
      </c>
      <c r="D84" s="1" t="s">
        <v>1918</v>
      </c>
      <c r="E84" s="16">
        <v>3736</v>
      </c>
      <c r="F84" s="34">
        <v>10.675350417669545</v>
      </c>
    </row>
    <row r="85" spans="3:6" ht="11.25" customHeight="1" x14ac:dyDescent="0.2">
      <c r="C85" s="1" t="s">
        <v>6414</v>
      </c>
      <c r="D85" s="1" t="s">
        <v>1239</v>
      </c>
      <c r="E85" s="16">
        <v>3553</v>
      </c>
      <c r="F85" s="34">
        <v>8.6601538534145082</v>
      </c>
    </row>
    <row r="86" spans="3:6" ht="11.25" customHeight="1" x14ac:dyDescent="0.2">
      <c r="C86" s="1" t="s">
        <v>6551</v>
      </c>
      <c r="D86" s="1" t="s">
        <v>1239</v>
      </c>
      <c r="E86" s="16">
        <v>3188</v>
      </c>
      <c r="F86" s="34">
        <v>3.5159752701873614</v>
      </c>
    </row>
    <row r="87" spans="3:6" ht="11.25" customHeight="1" x14ac:dyDescent="0.2">
      <c r="C87" s="1" t="s">
        <v>6552</v>
      </c>
      <c r="D87" s="1" t="s">
        <v>1918</v>
      </c>
      <c r="E87" s="16">
        <v>2931</v>
      </c>
      <c r="F87" s="34">
        <v>3.549011279437444</v>
      </c>
    </row>
    <row r="88" spans="3:6" ht="11.25" customHeight="1" x14ac:dyDescent="0.2">
      <c r="C88" s="1" t="s">
        <v>6553</v>
      </c>
      <c r="D88" s="1" t="s">
        <v>653</v>
      </c>
      <c r="E88" s="16">
        <v>2571</v>
      </c>
      <c r="F88" s="34">
        <v>15.24375855396668</v>
      </c>
    </row>
    <row r="89" spans="3:6" ht="11.25" customHeight="1" x14ac:dyDescent="0.2">
      <c r="C89" s="1" t="s">
        <v>6304</v>
      </c>
      <c r="D89" s="1" t="s">
        <v>1918</v>
      </c>
      <c r="E89" s="16">
        <v>2515</v>
      </c>
      <c r="F89" s="34">
        <v>2.0859880126480723</v>
      </c>
    </row>
    <row r="90" spans="3:6" ht="11.25" customHeight="1" x14ac:dyDescent="0.2">
      <c r="C90" s="1" t="s">
        <v>6554</v>
      </c>
      <c r="D90" s="1" t="s">
        <v>1239</v>
      </c>
      <c r="E90" s="16">
        <v>2509</v>
      </c>
      <c r="F90" s="34">
        <v>6.2815611874085606</v>
      </c>
    </row>
    <row r="91" spans="3:6" ht="11.25" customHeight="1" x14ac:dyDescent="0.2">
      <c r="C91" s="1" t="s">
        <v>6555</v>
      </c>
      <c r="D91" s="1" t="s">
        <v>1239</v>
      </c>
      <c r="E91" s="16">
        <v>2329</v>
      </c>
      <c r="F91" s="34">
        <v>0.89197224975222988</v>
      </c>
    </row>
    <row r="92" spans="3:6" ht="11.25" customHeight="1" x14ac:dyDescent="0.2">
      <c r="C92" s="1" t="s">
        <v>6556</v>
      </c>
      <c r="D92" s="1" t="s">
        <v>653</v>
      </c>
      <c r="E92" s="16">
        <v>2082</v>
      </c>
    </row>
    <row r="93" spans="3:6" ht="11.25" customHeight="1" x14ac:dyDescent="0.2">
      <c r="C93" s="1" t="s">
        <v>6557</v>
      </c>
      <c r="D93" s="1" t="s">
        <v>653</v>
      </c>
      <c r="E93" s="16">
        <v>1744</v>
      </c>
    </row>
    <row r="94" spans="3:6" ht="11.25" customHeight="1" x14ac:dyDescent="0.2">
      <c r="C94" s="1" t="s">
        <v>6558</v>
      </c>
      <c r="D94" s="1" t="s">
        <v>1548</v>
      </c>
      <c r="E94" s="16">
        <v>1467</v>
      </c>
    </row>
    <row r="95" spans="3:6" ht="11.25" customHeight="1" x14ac:dyDescent="0.2">
      <c r="C95" s="1" t="s">
        <v>6559</v>
      </c>
      <c r="D95" s="1" t="s">
        <v>653</v>
      </c>
      <c r="E95" s="16">
        <v>1447</v>
      </c>
    </row>
    <row r="96" spans="3:6" ht="11.25" customHeight="1" x14ac:dyDescent="0.2">
      <c r="C96" s="1" t="s">
        <v>6560</v>
      </c>
      <c r="D96" s="1" t="s">
        <v>757</v>
      </c>
      <c r="E96" s="16">
        <v>1409</v>
      </c>
    </row>
    <row r="97" spans="1:8" ht="11.25" customHeight="1" x14ac:dyDescent="0.2">
      <c r="C97" s="1" t="s">
        <v>6561</v>
      </c>
      <c r="D97" s="1" t="s">
        <v>653</v>
      </c>
      <c r="E97" s="16">
        <v>1226</v>
      </c>
    </row>
    <row r="98" spans="1:8" ht="11.25" customHeight="1" x14ac:dyDescent="0.2">
      <c r="C98" s="1" t="s">
        <v>6562</v>
      </c>
      <c r="D98" s="1" t="s">
        <v>757</v>
      </c>
      <c r="E98" s="16">
        <v>1133</v>
      </c>
    </row>
    <row r="99" spans="1:8" ht="11.25" customHeight="1" x14ac:dyDescent="0.2">
      <c r="C99" s="1" t="s">
        <v>6563</v>
      </c>
      <c r="D99" s="1" t="s">
        <v>757</v>
      </c>
      <c r="E99" s="16">
        <v>1073</v>
      </c>
    </row>
    <row r="100" spans="1:8" ht="11.25" customHeight="1" x14ac:dyDescent="0.2">
      <c r="C100" s="1" t="s">
        <v>6564</v>
      </c>
      <c r="D100" s="1" t="s">
        <v>757</v>
      </c>
      <c r="E100" s="16">
        <v>941</v>
      </c>
      <c r="F100" s="34">
        <v>9.5002123743451783</v>
      </c>
    </row>
    <row r="101" spans="1:8" ht="11.25" customHeight="1" x14ac:dyDescent="0.2">
      <c r="C101" s="1" t="s">
        <v>6565</v>
      </c>
      <c r="D101" s="1" t="s">
        <v>757</v>
      </c>
      <c r="E101" s="16">
        <v>927</v>
      </c>
      <c r="F101" s="34">
        <v>2.1284628816838924</v>
      </c>
    </row>
    <row r="102" spans="1:8" ht="11.25" customHeight="1" x14ac:dyDescent="0.2">
      <c r="C102" s="1" t="s">
        <v>6566</v>
      </c>
      <c r="D102" s="1" t="s">
        <v>6526</v>
      </c>
      <c r="E102" s="16">
        <v>883</v>
      </c>
    </row>
    <row r="103" spans="1:8" ht="11.25" customHeight="1" x14ac:dyDescent="0.2">
      <c r="E103" s="155">
        <v>17951</v>
      </c>
      <c r="F103" s="156">
        <v>100</v>
      </c>
      <c r="G103" s="157"/>
      <c r="H103" s="158"/>
    </row>
    <row r="104" spans="1:8" ht="11.25" customHeight="1" x14ac:dyDescent="0.2">
      <c r="C104" s="2"/>
    </row>
    <row r="105" spans="1:8" ht="11.25" customHeight="1" x14ac:dyDescent="0.2">
      <c r="A105" s="1" t="s">
        <v>2269</v>
      </c>
      <c r="C105" s="2" t="s">
        <v>6567</v>
      </c>
      <c r="D105" s="1" t="s">
        <v>1072</v>
      </c>
      <c r="E105" s="16">
        <v>1321</v>
      </c>
      <c r="F105" s="34">
        <v>75.801930862659603</v>
      </c>
    </row>
    <row r="106" spans="1:8" ht="11.25" customHeight="1" x14ac:dyDescent="0.2">
      <c r="C106" s="1" t="s">
        <v>6568</v>
      </c>
      <c r="D106" s="1" t="s">
        <v>1918</v>
      </c>
      <c r="E106" s="16">
        <v>959</v>
      </c>
      <c r="F106" s="34">
        <v>24.198069137340394</v>
      </c>
    </row>
    <row r="107" spans="1:8" ht="11.25" customHeight="1" x14ac:dyDescent="0.2">
      <c r="E107" s="155">
        <v>2280</v>
      </c>
      <c r="F107" s="156">
        <v>100</v>
      </c>
      <c r="G107" s="157"/>
      <c r="H107" s="158"/>
    </row>
    <row r="108" spans="1:8" ht="11.25" customHeight="1" x14ac:dyDescent="0.2"/>
    <row r="109" spans="1:8" ht="11.25" customHeight="1" x14ac:dyDescent="0.2">
      <c r="A109" s="1" t="s">
        <v>3265</v>
      </c>
      <c r="C109" s="2" t="s">
        <v>6569</v>
      </c>
      <c r="D109" s="1" t="s">
        <v>3173</v>
      </c>
      <c r="E109" s="16">
        <v>1565</v>
      </c>
      <c r="F109" s="34">
        <v>59.430740037950663</v>
      </c>
    </row>
    <row r="110" spans="1:8" ht="11.25" customHeight="1" x14ac:dyDescent="0.2">
      <c r="C110" s="1" t="s">
        <v>6570</v>
      </c>
      <c r="D110" s="1" t="s">
        <v>1072</v>
      </c>
      <c r="E110" s="16">
        <v>1065</v>
      </c>
      <c r="F110" s="34">
        <v>40.569259962049337</v>
      </c>
    </row>
    <row r="111" spans="1:8" ht="11.25" customHeight="1" x14ac:dyDescent="0.2">
      <c r="E111" s="155">
        <v>2630</v>
      </c>
      <c r="F111" s="156">
        <v>100</v>
      </c>
      <c r="G111" s="157">
        <v>3708</v>
      </c>
      <c r="H111" s="158">
        <v>70.900000000000006</v>
      </c>
    </row>
    <row r="112" spans="1:8" ht="11.25" customHeight="1" x14ac:dyDescent="0.2"/>
    <row r="113" spans="1:8" ht="11.25" customHeight="1" x14ac:dyDescent="0.2">
      <c r="A113" s="1" t="s">
        <v>0</v>
      </c>
      <c r="C113" s="2" t="s">
        <v>6571</v>
      </c>
      <c r="D113" s="1" t="s">
        <v>1072</v>
      </c>
      <c r="E113" s="16">
        <v>963</v>
      </c>
      <c r="F113" s="34">
        <v>37.348512669849434</v>
      </c>
    </row>
    <row r="114" spans="1:8" ht="11.25" customHeight="1" x14ac:dyDescent="0.2">
      <c r="C114" s="1" t="s">
        <v>6424</v>
      </c>
      <c r="D114" s="1" t="s">
        <v>3173</v>
      </c>
      <c r="E114" s="16">
        <v>702</v>
      </c>
      <c r="F114" s="34">
        <v>62.651487330150566</v>
      </c>
    </row>
    <row r="115" spans="1:8" ht="11.25" customHeight="1" x14ac:dyDescent="0.2">
      <c r="E115" s="155">
        <v>1665</v>
      </c>
      <c r="F115" s="156">
        <v>100</v>
      </c>
      <c r="G115" s="157">
        <v>2362</v>
      </c>
      <c r="H115" s="158">
        <v>70.5</v>
      </c>
    </row>
    <row r="116" spans="1:8" ht="11.25" customHeight="1" x14ac:dyDescent="0.2">
      <c r="C116" s="2"/>
    </row>
    <row r="117" spans="1:8" ht="11.25" customHeight="1" x14ac:dyDescent="0.2">
      <c r="A117" s="1" t="s">
        <v>370</v>
      </c>
      <c r="C117" s="2" t="s">
        <v>1938</v>
      </c>
      <c r="D117" s="1" t="s">
        <v>3173</v>
      </c>
      <c r="E117" s="16">
        <v>4252</v>
      </c>
      <c r="F117" s="34">
        <v>64.084842707340329</v>
      </c>
    </row>
    <row r="118" spans="1:8" ht="11.25" customHeight="1" x14ac:dyDescent="0.2">
      <c r="C118" s="1" t="s">
        <v>6572</v>
      </c>
      <c r="D118" s="1" t="s">
        <v>1072</v>
      </c>
      <c r="E118" s="16">
        <v>1583</v>
      </c>
      <c r="F118" s="34">
        <v>35.915157292659678</v>
      </c>
    </row>
    <row r="119" spans="1:8" ht="11.25" customHeight="1" x14ac:dyDescent="0.2">
      <c r="E119" s="155">
        <v>5835</v>
      </c>
      <c r="F119" s="156">
        <v>100</v>
      </c>
      <c r="G119" s="157">
        <v>8291</v>
      </c>
      <c r="H119" s="158">
        <v>70.400000000000006</v>
      </c>
    </row>
    <row r="120" spans="1:8" ht="11.25" customHeight="1" x14ac:dyDescent="0.2">
      <c r="E120" s="27"/>
      <c r="F120" s="35"/>
      <c r="G120" s="151"/>
      <c r="H120" s="85"/>
    </row>
    <row r="121" spans="1:8" ht="11.25" customHeight="1" x14ac:dyDescent="0.2">
      <c r="A121" s="1" t="s">
        <v>6573</v>
      </c>
      <c r="C121" s="2" t="s">
        <v>5507</v>
      </c>
      <c r="D121" s="1" t="s">
        <v>3173</v>
      </c>
      <c r="E121" s="27">
        <v>1014</v>
      </c>
      <c r="F121" s="35"/>
      <c r="G121" s="151"/>
      <c r="H121" s="85"/>
    </row>
    <row r="122" spans="1:8" ht="11.25" customHeight="1" x14ac:dyDescent="0.2">
      <c r="C122" s="1" t="s">
        <v>6574</v>
      </c>
      <c r="D122" s="1" t="s">
        <v>1072</v>
      </c>
      <c r="E122" s="27">
        <v>867</v>
      </c>
      <c r="F122" s="35"/>
      <c r="G122" s="151"/>
      <c r="H122" s="85"/>
    </row>
    <row r="123" spans="1:8" ht="11.25" customHeight="1" x14ac:dyDescent="0.2">
      <c r="E123" s="27">
        <v>1881</v>
      </c>
      <c r="F123" s="35"/>
      <c r="G123" s="151">
        <v>2488</v>
      </c>
      <c r="H123" s="85">
        <v>75.599999999999994</v>
      </c>
    </row>
    <row r="124" spans="1:8" ht="11.25" customHeight="1" x14ac:dyDescent="0.2">
      <c r="E124" s="27"/>
      <c r="F124" s="35"/>
      <c r="G124" s="151"/>
      <c r="H124" s="85"/>
    </row>
    <row r="125" spans="1:8" ht="11.25" customHeight="1" x14ac:dyDescent="0.2"/>
    <row r="126" spans="1:8" ht="11.25" customHeight="1" x14ac:dyDescent="0.2">
      <c r="A126" s="1" t="s">
        <v>1742</v>
      </c>
      <c r="C126" s="2" t="s">
        <v>2299</v>
      </c>
      <c r="D126" s="1" t="s">
        <v>3173</v>
      </c>
      <c r="E126" s="16">
        <v>1661</v>
      </c>
      <c r="F126" s="34">
        <v>45.61467889908257</v>
      </c>
    </row>
    <row r="127" spans="1:8" ht="11.25" customHeight="1" x14ac:dyDescent="0.2">
      <c r="C127" s="1" t="s">
        <v>1940</v>
      </c>
      <c r="D127" s="1" t="s">
        <v>1072</v>
      </c>
      <c r="E127" s="16">
        <v>741</v>
      </c>
      <c r="F127" s="34">
        <v>32.220183486238533</v>
      </c>
    </row>
    <row r="128" spans="1:8" ht="11.25" customHeight="1" x14ac:dyDescent="0.2">
      <c r="E128" s="155">
        <v>2402</v>
      </c>
      <c r="F128" s="156">
        <v>100</v>
      </c>
      <c r="G128" s="157">
        <v>3283</v>
      </c>
      <c r="H128" s="158">
        <v>73.2</v>
      </c>
    </row>
    <row r="129" spans="1:8" ht="11.25" customHeight="1" x14ac:dyDescent="0.2"/>
    <row r="130" spans="1:8" ht="11.25" customHeight="1" x14ac:dyDescent="0.2">
      <c r="A130" s="1" t="s">
        <v>1744</v>
      </c>
      <c r="C130" s="2" t="s">
        <v>6575</v>
      </c>
      <c r="D130" s="1" t="s">
        <v>3173</v>
      </c>
      <c r="E130" s="16">
        <v>2113</v>
      </c>
      <c r="F130" s="34">
        <v>48.644338118022326</v>
      </c>
    </row>
    <row r="131" spans="1:8" ht="11.25" customHeight="1" x14ac:dyDescent="0.2">
      <c r="C131" s="1" t="s">
        <v>6429</v>
      </c>
      <c r="D131" s="1" t="s">
        <v>1072</v>
      </c>
      <c r="E131" s="16">
        <v>1539</v>
      </c>
    </row>
    <row r="132" spans="1:8" ht="11.25" customHeight="1" x14ac:dyDescent="0.2">
      <c r="E132" s="155">
        <v>3652</v>
      </c>
      <c r="F132" s="156">
        <v>100</v>
      </c>
      <c r="G132" s="155" t="s">
        <v>6576</v>
      </c>
      <c r="H132" s="158"/>
    </row>
    <row r="133" spans="1:8" ht="11.25" customHeight="1" x14ac:dyDescent="0.2">
      <c r="G133" s="24"/>
    </row>
    <row r="134" spans="1:8" ht="11.25" customHeight="1" x14ac:dyDescent="0.2">
      <c r="A134" s="1" t="s">
        <v>1</v>
      </c>
      <c r="C134" s="2" t="s">
        <v>6577</v>
      </c>
      <c r="D134" s="1" t="s">
        <v>3173</v>
      </c>
      <c r="E134" s="155">
        <v>1574</v>
      </c>
      <c r="F134" s="160"/>
      <c r="G134" s="159"/>
      <c r="H134" s="158"/>
    </row>
    <row r="135" spans="1:8" ht="11.25" customHeight="1" x14ac:dyDescent="0.2">
      <c r="C135" s="1" t="s">
        <v>6578</v>
      </c>
      <c r="D135" s="1" t="s">
        <v>1072</v>
      </c>
      <c r="E135" s="27">
        <v>837</v>
      </c>
      <c r="F135" s="261"/>
      <c r="G135" s="260"/>
      <c r="H135" s="85"/>
    </row>
    <row r="136" spans="1:8" ht="11.25" customHeight="1" x14ac:dyDescent="0.2">
      <c r="C136" s="1" t="s">
        <v>6579</v>
      </c>
      <c r="D136" s="1" t="s">
        <v>653</v>
      </c>
      <c r="E136" s="27">
        <v>127</v>
      </c>
      <c r="F136" s="261"/>
      <c r="G136" s="260"/>
      <c r="H136" s="85"/>
    </row>
    <row r="137" spans="1:8" ht="11.25" customHeight="1" x14ac:dyDescent="0.2">
      <c r="E137" s="27">
        <v>2538</v>
      </c>
      <c r="F137" s="261"/>
      <c r="G137" s="27" t="s">
        <v>6580</v>
      </c>
      <c r="H137" s="85"/>
    </row>
    <row r="138" spans="1:8" ht="11.25" customHeight="1" x14ac:dyDescent="0.2"/>
    <row r="139" spans="1:8" ht="11.25" customHeight="1" x14ac:dyDescent="0.2">
      <c r="A139" s="1" t="s">
        <v>1931</v>
      </c>
      <c r="C139" s="2" t="s">
        <v>6581</v>
      </c>
      <c r="D139" s="1" t="s">
        <v>1072</v>
      </c>
      <c r="E139" s="16">
        <v>1351</v>
      </c>
      <c r="F139" s="34">
        <v>48.956884561891513</v>
      </c>
    </row>
    <row r="140" spans="1:8" ht="11.25" customHeight="1" x14ac:dyDescent="0.2">
      <c r="C140" s="1" t="s">
        <v>6582</v>
      </c>
      <c r="D140" s="1" t="s">
        <v>3173</v>
      </c>
      <c r="E140" s="16">
        <v>1341</v>
      </c>
    </row>
    <row r="141" spans="1:8" ht="11.25" customHeight="1" x14ac:dyDescent="0.2">
      <c r="E141" s="155">
        <v>2692</v>
      </c>
      <c r="F141" s="156">
        <v>100</v>
      </c>
      <c r="G141" s="159"/>
      <c r="H141" s="158"/>
    </row>
    <row r="142" spans="1:8" ht="11.25" customHeight="1" x14ac:dyDescent="0.2">
      <c r="G142" s="24"/>
    </row>
    <row r="143" spans="1:8" ht="11.25" customHeight="1" x14ac:dyDescent="0.2">
      <c r="A143" s="1" t="s">
        <v>3</v>
      </c>
      <c r="C143" s="2" t="s">
        <v>6583</v>
      </c>
      <c r="D143" s="1" t="s">
        <v>653</v>
      </c>
      <c r="E143" s="16">
        <v>2252</v>
      </c>
      <c r="F143" s="34">
        <v>21.664151756844149</v>
      </c>
      <c r="G143" s="24"/>
    </row>
    <row r="144" spans="1:8" ht="11.25" customHeight="1" x14ac:dyDescent="0.2">
      <c r="C144" s="1" t="s">
        <v>6584</v>
      </c>
      <c r="D144" s="1" t="s">
        <v>1918</v>
      </c>
      <c r="E144" s="16">
        <v>1374</v>
      </c>
      <c r="F144" s="34">
        <v>34.447079111877557</v>
      </c>
    </row>
    <row r="145" spans="1:8" ht="11.25" customHeight="1" x14ac:dyDescent="0.2">
      <c r="E145" s="155">
        <v>3626</v>
      </c>
      <c r="F145" s="156">
        <v>100</v>
      </c>
      <c r="G145" s="157">
        <v>5549</v>
      </c>
      <c r="H145" s="158">
        <v>65.3</v>
      </c>
    </row>
    <row r="146" spans="1:8" ht="11.25" customHeight="1" x14ac:dyDescent="0.2"/>
    <row r="147" spans="1:8" ht="11.25" customHeight="1" x14ac:dyDescent="0.2">
      <c r="A147" s="1" t="s">
        <v>3185</v>
      </c>
      <c r="C147" s="2" t="s">
        <v>2246</v>
      </c>
      <c r="D147" s="1" t="s">
        <v>3173</v>
      </c>
      <c r="E147" s="155">
        <v>1554</v>
      </c>
      <c r="F147" s="160"/>
      <c r="G147" s="157"/>
      <c r="H147" s="158"/>
    </row>
    <row r="148" spans="1:8" ht="11.25" customHeight="1" x14ac:dyDescent="0.2">
      <c r="C148" s="1" t="s">
        <v>6437</v>
      </c>
      <c r="D148" s="1" t="s">
        <v>1072</v>
      </c>
      <c r="E148" s="27">
        <v>856</v>
      </c>
      <c r="F148" s="261"/>
      <c r="G148" s="151"/>
      <c r="H148" s="85"/>
    </row>
    <row r="149" spans="1:8" ht="11.25" customHeight="1" x14ac:dyDescent="0.2">
      <c r="C149" s="2"/>
      <c r="E149" s="27">
        <v>2410</v>
      </c>
      <c r="F149" s="261"/>
      <c r="G149" s="151">
        <v>3258</v>
      </c>
      <c r="H149" s="85">
        <v>74</v>
      </c>
    </row>
    <row r="150" spans="1:8" ht="11.25" customHeight="1" x14ac:dyDescent="0.2"/>
    <row r="151" spans="1:8" ht="11.25" customHeight="1" x14ac:dyDescent="0.2">
      <c r="A151" s="1" t="s">
        <v>1752</v>
      </c>
      <c r="C151" s="2" t="s">
        <v>1896</v>
      </c>
      <c r="D151" s="1" t="s">
        <v>3173</v>
      </c>
      <c r="E151" s="16">
        <v>727</v>
      </c>
      <c r="F151" s="34">
        <v>34.202650705429669</v>
      </c>
    </row>
    <row r="152" spans="1:8" ht="11.25" customHeight="1" x14ac:dyDescent="0.2">
      <c r="C152" s="1" t="s">
        <v>6585</v>
      </c>
      <c r="D152" s="1" t="s">
        <v>1072</v>
      </c>
      <c r="E152" s="16">
        <v>620</v>
      </c>
    </row>
    <row r="153" spans="1:8" ht="11.25" customHeight="1" x14ac:dyDescent="0.2">
      <c r="E153" s="155">
        <v>1347</v>
      </c>
      <c r="F153" s="156">
        <v>100</v>
      </c>
      <c r="G153" s="157">
        <v>1785</v>
      </c>
      <c r="H153" s="158">
        <v>75.5</v>
      </c>
    </row>
    <row r="154" spans="1:8" ht="11.25" customHeight="1" x14ac:dyDescent="0.2"/>
    <row r="155" spans="1:8" ht="11.25" customHeight="1" x14ac:dyDescent="0.2">
      <c r="A155" s="1" t="s">
        <v>2300</v>
      </c>
      <c r="C155" s="2" t="s">
        <v>6586</v>
      </c>
      <c r="D155" s="1" t="s">
        <v>3173</v>
      </c>
      <c r="E155" s="16">
        <v>4165</v>
      </c>
      <c r="F155" s="34">
        <v>29.80046644208344</v>
      </c>
    </row>
    <row r="156" spans="1:8" ht="11.25" customHeight="1" x14ac:dyDescent="0.2">
      <c r="C156" s="2" t="s">
        <v>6587</v>
      </c>
      <c r="D156" s="1" t="s">
        <v>1918</v>
      </c>
      <c r="E156" s="16">
        <v>3602</v>
      </c>
      <c r="F156" s="34">
        <v>24.229074889867842</v>
      </c>
    </row>
    <row r="157" spans="1:8" ht="11.25" customHeight="1" x14ac:dyDescent="0.2">
      <c r="C157" s="1" t="s">
        <v>6588</v>
      </c>
      <c r="D157" s="1" t="s">
        <v>1072</v>
      </c>
      <c r="E157" s="16">
        <v>2278</v>
      </c>
    </row>
    <row r="158" spans="1:8" ht="11.25" customHeight="1" x14ac:dyDescent="0.2">
      <c r="C158" s="1" t="s">
        <v>6406</v>
      </c>
      <c r="D158" s="1" t="s">
        <v>1072</v>
      </c>
      <c r="E158" s="16">
        <v>2013</v>
      </c>
      <c r="F158" s="34">
        <v>45.970458668048714</v>
      </c>
    </row>
    <row r="159" spans="1:8" ht="11.25" customHeight="1" x14ac:dyDescent="0.2">
      <c r="E159" s="155">
        <v>6357</v>
      </c>
      <c r="F159" s="156">
        <v>100</v>
      </c>
      <c r="G159" s="162" t="s">
        <v>6589</v>
      </c>
      <c r="H159" s="158"/>
    </row>
    <row r="160" spans="1:8" ht="11.25" customHeight="1" x14ac:dyDescent="0.2"/>
    <row r="161" spans="1:8" ht="11.25" customHeight="1" x14ac:dyDescent="0.2">
      <c r="A161" s="1" t="s">
        <v>6443</v>
      </c>
      <c r="C161" s="2" t="s">
        <v>6444</v>
      </c>
      <c r="D161" s="1" t="s">
        <v>3173</v>
      </c>
      <c r="E161" s="16">
        <v>727</v>
      </c>
      <c r="F161" s="34">
        <v>34.124767225325883</v>
      </c>
    </row>
    <row r="162" spans="1:8" ht="11.25" customHeight="1" x14ac:dyDescent="0.2">
      <c r="C162" s="1" t="s">
        <v>6590</v>
      </c>
      <c r="D162" s="1" t="s">
        <v>1072</v>
      </c>
      <c r="E162" s="16">
        <v>458</v>
      </c>
    </row>
    <row r="163" spans="1:8" ht="11.25" customHeight="1" x14ac:dyDescent="0.2">
      <c r="E163" s="155">
        <v>1185</v>
      </c>
      <c r="F163" s="156">
        <v>100</v>
      </c>
      <c r="G163" s="162" t="s">
        <v>6591</v>
      </c>
      <c r="H163" s="158"/>
    </row>
    <row r="164" spans="1:8" ht="11.25" customHeight="1" x14ac:dyDescent="0.2"/>
    <row r="165" spans="1:8" ht="11.25" customHeight="1" x14ac:dyDescent="0.2">
      <c r="A165" s="1" t="s">
        <v>6447</v>
      </c>
      <c r="C165" s="2" t="s">
        <v>1769</v>
      </c>
      <c r="D165" s="1" t="s">
        <v>3173</v>
      </c>
      <c r="E165" s="16">
        <v>1129</v>
      </c>
      <c r="F165" s="34">
        <v>62.9498000888494</v>
      </c>
    </row>
    <row r="166" spans="1:8" ht="11.25" customHeight="1" x14ac:dyDescent="0.2">
      <c r="C166" s="1" t="s">
        <v>6592</v>
      </c>
      <c r="D166" s="1" t="s">
        <v>1072</v>
      </c>
      <c r="E166" s="16">
        <v>390</v>
      </c>
      <c r="F166" s="34">
        <v>37.0501999111506</v>
      </c>
    </row>
    <row r="167" spans="1:8" ht="11.25" customHeight="1" x14ac:dyDescent="0.2">
      <c r="E167" s="155">
        <v>1519</v>
      </c>
      <c r="F167" s="156">
        <v>100</v>
      </c>
      <c r="G167" s="155" t="s">
        <v>6593</v>
      </c>
      <c r="H167" s="158"/>
    </row>
    <row r="168" spans="1:8" ht="11.25" customHeight="1" x14ac:dyDescent="0.2">
      <c r="G168" s="24"/>
    </row>
    <row r="169" spans="1:8" ht="11.25" customHeight="1" x14ac:dyDescent="0.2">
      <c r="A169" s="1" t="s">
        <v>1241</v>
      </c>
      <c r="C169" s="2" t="s">
        <v>6449</v>
      </c>
      <c r="D169" s="1" t="s">
        <v>3173</v>
      </c>
      <c r="E169" s="16">
        <v>1896</v>
      </c>
      <c r="F169" s="34">
        <v>46.836946836946836</v>
      </c>
      <c r="G169" s="24"/>
    </row>
    <row r="170" spans="1:8" ht="11.25" customHeight="1" x14ac:dyDescent="0.2">
      <c r="C170" s="1" t="s">
        <v>6594</v>
      </c>
      <c r="D170" s="1" t="s">
        <v>1072</v>
      </c>
      <c r="E170" s="16">
        <v>1238</v>
      </c>
      <c r="G170" s="24"/>
    </row>
    <row r="171" spans="1:8" ht="11.25" customHeight="1" x14ac:dyDescent="0.2">
      <c r="E171" s="155">
        <v>3134</v>
      </c>
      <c r="F171" s="156">
        <v>100</v>
      </c>
      <c r="G171" s="162" t="s">
        <v>6595</v>
      </c>
      <c r="H171" s="158"/>
    </row>
    <row r="172" spans="1:8" ht="11.25" customHeight="1" x14ac:dyDescent="0.2"/>
    <row r="173" spans="1:8" ht="11.25" customHeight="1" x14ac:dyDescent="0.2">
      <c r="A173" s="1" t="s">
        <v>415</v>
      </c>
      <c r="C173" s="2" t="s">
        <v>6596</v>
      </c>
      <c r="D173" s="1" t="s">
        <v>3173</v>
      </c>
      <c r="E173" s="16">
        <v>3291</v>
      </c>
      <c r="F173" s="34">
        <v>62.605832549388523</v>
      </c>
    </row>
    <row r="174" spans="1:8" ht="11.25" customHeight="1" x14ac:dyDescent="0.2">
      <c r="C174" s="1" t="s">
        <v>6597</v>
      </c>
      <c r="D174" s="1" t="s">
        <v>1072</v>
      </c>
      <c r="E174" s="16">
        <v>1336</v>
      </c>
    </row>
    <row r="175" spans="1:8" ht="11.25" customHeight="1" x14ac:dyDescent="0.2">
      <c r="C175" s="1" t="s">
        <v>6598</v>
      </c>
      <c r="D175" s="1" t="s">
        <v>1072</v>
      </c>
      <c r="E175" s="16">
        <v>623</v>
      </c>
      <c r="F175" s="34">
        <v>37.394167450611477</v>
      </c>
    </row>
    <row r="176" spans="1:8" ht="11.25" customHeight="1" x14ac:dyDescent="0.2">
      <c r="E176" s="155">
        <v>5250</v>
      </c>
      <c r="F176" s="156">
        <v>100</v>
      </c>
      <c r="G176" s="159">
        <v>7468</v>
      </c>
      <c r="H176" s="158">
        <v>70.3</v>
      </c>
    </row>
    <row r="177" spans="1:8" ht="11.25" customHeight="1" x14ac:dyDescent="0.2">
      <c r="G177" s="24"/>
    </row>
    <row r="178" spans="1:8" ht="11.25" customHeight="1" x14ac:dyDescent="0.2">
      <c r="A178" s="1" t="s">
        <v>718</v>
      </c>
      <c r="C178" s="2" t="s">
        <v>1327</v>
      </c>
      <c r="D178" s="1" t="s">
        <v>3173</v>
      </c>
      <c r="E178" s="16">
        <v>1838</v>
      </c>
      <c r="F178" s="34">
        <v>35.648432698217576</v>
      </c>
      <c r="G178" s="24"/>
    </row>
    <row r="179" spans="1:8" ht="11.25" customHeight="1" x14ac:dyDescent="0.2">
      <c r="C179" s="1" t="s">
        <v>6599</v>
      </c>
      <c r="D179" s="1" t="s">
        <v>1072</v>
      </c>
      <c r="E179" s="16">
        <v>540</v>
      </c>
      <c r="G179" s="24"/>
    </row>
    <row r="180" spans="1:8" ht="11.25" customHeight="1" x14ac:dyDescent="0.2">
      <c r="C180" s="1" t="s">
        <v>6600</v>
      </c>
      <c r="D180" s="1" t="s">
        <v>653</v>
      </c>
      <c r="E180" s="16">
        <v>145</v>
      </c>
      <c r="F180" s="34">
        <v>64.351567301782424</v>
      </c>
    </row>
    <row r="181" spans="1:8" ht="11.25" customHeight="1" x14ac:dyDescent="0.2">
      <c r="E181" s="155">
        <v>2523</v>
      </c>
      <c r="F181" s="156">
        <v>100</v>
      </c>
      <c r="G181" s="162" t="s">
        <v>6601</v>
      </c>
      <c r="H181" s="158"/>
    </row>
    <row r="182" spans="1:8" ht="11.25" customHeight="1" x14ac:dyDescent="0.2"/>
    <row r="183" spans="1:8" ht="11.25" customHeight="1" x14ac:dyDescent="0.2">
      <c r="A183" s="1" t="s">
        <v>794</v>
      </c>
      <c r="C183" s="2" t="s">
        <v>798</v>
      </c>
      <c r="D183" s="1" t="s">
        <v>3173</v>
      </c>
      <c r="E183" s="16">
        <v>572</v>
      </c>
      <c r="F183" s="34">
        <v>51.037786056412983</v>
      </c>
    </row>
    <row r="184" spans="1:8" ht="11.25" customHeight="1" x14ac:dyDescent="0.2">
      <c r="C184" s="1" t="s">
        <v>796</v>
      </c>
      <c r="D184" s="1" t="s">
        <v>1072</v>
      </c>
      <c r="E184" s="16">
        <v>471</v>
      </c>
    </row>
    <row r="185" spans="1:8" ht="11.25" customHeight="1" x14ac:dyDescent="0.2">
      <c r="C185" s="1" t="s">
        <v>6602</v>
      </c>
      <c r="D185" s="1" t="s">
        <v>653</v>
      </c>
      <c r="E185" s="16">
        <v>192</v>
      </c>
      <c r="F185" s="34">
        <v>48.962213943587017</v>
      </c>
    </row>
    <row r="186" spans="1:8" ht="11.25" customHeight="1" x14ac:dyDescent="0.2">
      <c r="C186" s="1" t="s">
        <v>6603</v>
      </c>
      <c r="D186" s="1" t="s">
        <v>653</v>
      </c>
      <c r="E186" s="16">
        <v>133</v>
      </c>
    </row>
    <row r="187" spans="1:8" ht="11.25" customHeight="1" x14ac:dyDescent="0.2">
      <c r="E187" s="155">
        <v>1368</v>
      </c>
      <c r="F187" s="156">
        <v>100</v>
      </c>
      <c r="G187" s="162" t="s">
        <v>6604</v>
      </c>
      <c r="H187" s="158"/>
    </row>
    <row r="188" spans="1:8" ht="11.25" customHeight="1" x14ac:dyDescent="0.2"/>
    <row r="189" spans="1:8" ht="11.25" customHeight="1" x14ac:dyDescent="0.2">
      <c r="A189" s="1" t="s">
        <v>2340</v>
      </c>
      <c r="C189" s="2" t="s">
        <v>6605</v>
      </c>
      <c r="D189" s="1" t="s">
        <v>3173</v>
      </c>
      <c r="E189" s="155">
        <v>1391</v>
      </c>
      <c r="F189" s="160"/>
      <c r="G189" s="157"/>
      <c r="H189" s="158"/>
    </row>
    <row r="190" spans="1:8" ht="11.25" customHeight="1" x14ac:dyDescent="0.2">
      <c r="C190" s="1" t="s">
        <v>6606</v>
      </c>
      <c r="D190" s="1" t="s">
        <v>1072</v>
      </c>
      <c r="E190" s="27">
        <v>815</v>
      </c>
      <c r="F190" s="261"/>
      <c r="G190" s="151"/>
      <c r="H190" s="85"/>
    </row>
    <row r="191" spans="1:8" ht="11.25" customHeight="1" x14ac:dyDescent="0.2">
      <c r="C191" s="2"/>
      <c r="E191" s="27">
        <v>2206</v>
      </c>
      <c r="F191" s="261"/>
      <c r="G191" s="151"/>
      <c r="H191" s="85"/>
    </row>
    <row r="192" spans="1:8" ht="11.25" customHeight="1" x14ac:dyDescent="0.2">
      <c r="E192" s="27"/>
      <c r="F192" s="35"/>
      <c r="G192" s="151"/>
      <c r="H192" s="85"/>
    </row>
    <row r="193" spans="1:8" ht="11.25" customHeight="1" x14ac:dyDescent="0.2">
      <c r="A193" s="1" t="s">
        <v>6607</v>
      </c>
      <c r="C193" s="2" t="s">
        <v>1713</v>
      </c>
      <c r="D193" s="1" t="s">
        <v>3173</v>
      </c>
      <c r="E193" s="27">
        <v>1950</v>
      </c>
      <c r="F193" s="35"/>
      <c r="G193" s="151"/>
      <c r="H193" s="85"/>
    </row>
    <row r="194" spans="1:8" ht="11.25" customHeight="1" x14ac:dyDescent="0.2">
      <c r="C194" s="1" t="s">
        <v>6459</v>
      </c>
      <c r="D194" s="1" t="s">
        <v>1072</v>
      </c>
      <c r="E194" s="27">
        <v>1387</v>
      </c>
      <c r="F194" s="35"/>
      <c r="G194" s="151"/>
      <c r="H194" s="85"/>
    </row>
    <row r="195" spans="1:8" ht="11.25" customHeight="1" x14ac:dyDescent="0.2">
      <c r="E195" s="27">
        <v>3337</v>
      </c>
      <c r="F195" s="35"/>
      <c r="G195" s="151">
        <v>4385</v>
      </c>
      <c r="H195" s="85">
        <v>76.099999999999994</v>
      </c>
    </row>
    <row r="196" spans="1:8" ht="11.25" customHeight="1" x14ac:dyDescent="0.2"/>
    <row r="197" spans="1:8" ht="11.25" customHeight="1" x14ac:dyDescent="0.2">
      <c r="A197" s="1" t="s">
        <v>2341</v>
      </c>
      <c r="C197" s="2" t="s">
        <v>1905</v>
      </c>
      <c r="D197" s="1" t="s">
        <v>3173</v>
      </c>
      <c r="E197" s="16">
        <v>2192</v>
      </c>
      <c r="F197" s="34">
        <v>48.952380952380949</v>
      </c>
    </row>
    <row r="198" spans="1:8" ht="11.25" customHeight="1" x14ac:dyDescent="0.2">
      <c r="C198" s="1" t="s">
        <v>6459</v>
      </c>
      <c r="D198" s="1" t="s">
        <v>1072</v>
      </c>
      <c r="E198" s="16">
        <v>909</v>
      </c>
    </row>
    <row r="199" spans="1:8" ht="12" customHeight="1" x14ac:dyDescent="0.2">
      <c r="E199" s="155">
        <v>3010</v>
      </c>
      <c r="F199" s="156">
        <v>100</v>
      </c>
      <c r="G199" s="157">
        <v>4793</v>
      </c>
      <c r="H199" s="158">
        <v>69</v>
      </c>
    </row>
    <row r="200" spans="1:8" ht="11.25" customHeight="1" x14ac:dyDescent="0.2"/>
    <row r="201" spans="1:8" ht="11.25" customHeight="1" x14ac:dyDescent="0.2">
      <c r="A201" s="1" t="s">
        <v>807</v>
      </c>
      <c r="C201" s="2" t="s">
        <v>6608</v>
      </c>
      <c r="D201" s="1" t="s">
        <v>3173</v>
      </c>
      <c r="E201" s="16">
        <v>2192</v>
      </c>
      <c r="F201" s="34">
        <v>60.143884892086334</v>
      </c>
    </row>
    <row r="202" spans="1:8" ht="11.25" customHeight="1" x14ac:dyDescent="0.2">
      <c r="C202" s="1" t="s">
        <v>6609</v>
      </c>
      <c r="D202" s="1" t="s">
        <v>1072</v>
      </c>
      <c r="E202" s="16">
        <v>909</v>
      </c>
      <c r="F202" s="34">
        <v>9.7482014388489215</v>
      </c>
    </row>
    <row r="203" spans="1:8" ht="11.25" customHeight="1" x14ac:dyDescent="0.2">
      <c r="E203" s="155">
        <v>3101</v>
      </c>
      <c r="F203" s="156">
        <v>100</v>
      </c>
      <c r="G203" s="162" t="s">
        <v>6610</v>
      </c>
      <c r="H203" s="158"/>
    </row>
    <row r="204" spans="1:8" ht="11.25" customHeight="1" x14ac:dyDescent="0.2"/>
    <row r="205" spans="1:8" ht="11.25" customHeight="1" x14ac:dyDescent="0.2">
      <c r="A205" s="1" t="s">
        <v>810</v>
      </c>
      <c r="C205" s="2" t="s">
        <v>6611</v>
      </c>
      <c r="D205" s="1" t="s">
        <v>1918</v>
      </c>
      <c r="E205" s="16">
        <v>1304</v>
      </c>
      <c r="F205" s="34">
        <v>50.015590894917366</v>
      </c>
    </row>
    <row r="206" spans="1:8" ht="11.25" customHeight="1" x14ac:dyDescent="0.2">
      <c r="C206" s="1" t="s">
        <v>6612</v>
      </c>
      <c r="D206" s="1" t="s">
        <v>1072</v>
      </c>
      <c r="E206" s="16">
        <v>1143</v>
      </c>
      <c r="F206" s="34">
        <v>25.569067664483942</v>
      </c>
    </row>
    <row r="207" spans="1:8" ht="11.25" customHeight="1" x14ac:dyDescent="0.2">
      <c r="C207" s="1" t="s">
        <v>6613</v>
      </c>
      <c r="D207" s="1" t="s">
        <v>3173</v>
      </c>
      <c r="E207" s="16">
        <v>811</v>
      </c>
      <c r="F207" s="34">
        <v>24.415341440598691</v>
      </c>
    </row>
    <row r="208" spans="1:8" ht="11.25" customHeight="1" x14ac:dyDescent="0.2">
      <c r="E208" s="155">
        <v>3258</v>
      </c>
      <c r="F208" s="156">
        <v>100</v>
      </c>
      <c r="G208" s="159"/>
      <c r="H208" s="158"/>
    </row>
    <row r="209" spans="1:8" ht="11.25" customHeight="1" x14ac:dyDescent="0.2"/>
    <row r="210" spans="1:8" ht="11.25" customHeight="1" x14ac:dyDescent="0.2">
      <c r="A210" s="1" t="s">
        <v>1385</v>
      </c>
      <c r="C210" s="2" t="s">
        <v>6614</v>
      </c>
      <c r="D210" s="1" t="s">
        <v>1072</v>
      </c>
      <c r="E210" s="263" t="s">
        <v>1200</v>
      </c>
      <c r="F210" s="262"/>
    </row>
    <row r="211" spans="1:8" ht="11.25" customHeight="1" x14ac:dyDescent="0.2">
      <c r="G211" s="24"/>
    </row>
    <row r="212" spans="1:8" ht="11.25" customHeight="1" x14ac:dyDescent="0.2">
      <c r="A212" s="1" t="s">
        <v>446</v>
      </c>
      <c r="C212" s="2" t="s">
        <v>6615</v>
      </c>
      <c r="D212" s="1" t="s">
        <v>3173</v>
      </c>
      <c r="E212" s="16">
        <v>1234</v>
      </c>
      <c r="F212" s="34">
        <v>44.860896445131374</v>
      </c>
      <c r="G212" s="24"/>
    </row>
    <row r="213" spans="1:8" ht="11.25" customHeight="1" x14ac:dyDescent="0.2">
      <c r="C213" s="1" t="s">
        <v>1463</v>
      </c>
      <c r="D213" s="1" t="s">
        <v>1072</v>
      </c>
      <c r="E213" s="16">
        <v>1000</v>
      </c>
      <c r="G213" s="24"/>
    </row>
    <row r="214" spans="1:8" ht="11.25" customHeight="1" x14ac:dyDescent="0.2">
      <c r="E214" s="155">
        <v>2234</v>
      </c>
      <c r="F214" s="156">
        <v>100</v>
      </c>
      <c r="G214" s="157">
        <v>2909</v>
      </c>
      <c r="H214" s="158">
        <v>76.8</v>
      </c>
    </row>
    <row r="215" spans="1:8" ht="11.25" customHeight="1" x14ac:dyDescent="0.2"/>
    <row r="216" spans="1:8" ht="11.25" customHeight="1" x14ac:dyDescent="0.2">
      <c r="A216" s="1" t="s">
        <v>1552</v>
      </c>
      <c r="C216" s="2" t="s">
        <v>1468</v>
      </c>
      <c r="D216" s="1" t="s">
        <v>3173</v>
      </c>
      <c r="E216" s="16">
        <v>3106</v>
      </c>
      <c r="F216" s="34">
        <v>29.854242581988547</v>
      </c>
    </row>
    <row r="217" spans="1:8" ht="11.25" customHeight="1" x14ac:dyDescent="0.2">
      <c r="C217" s="1" t="s">
        <v>6616</v>
      </c>
      <c r="D217" s="1" t="s">
        <v>1072</v>
      </c>
      <c r="E217" s="16">
        <v>1608</v>
      </c>
      <c r="F217" s="34">
        <v>19.807391983342008</v>
      </c>
    </row>
    <row r="218" spans="1:8" ht="11.25" customHeight="1" x14ac:dyDescent="0.2">
      <c r="E218" s="155">
        <v>4714</v>
      </c>
      <c r="F218" s="156">
        <v>100</v>
      </c>
      <c r="G218" s="157"/>
      <c r="H218" s="158"/>
    </row>
    <row r="219" spans="1:8" ht="11.25" customHeight="1" x14ac:dyDescent="0.2"/>
    <row r="220" spans="1:8" ht="11.25" customHeight="1" x14ac:dyDescent="0.2">
      <c r="A220" s="1" t="s">
        <v>2545</v>
      </c>
      <c r="C220" s="2" t="s">
        <v>6471</v>
      </c>
      <c r="D220" s="1" t="s">
        <v>3173</v>
      </c>
      <c r="E220" s="16">
        <v>1001</v>
      </c>
      <c r="F220" s="34">
        <v>47.003392385978138</v>
      </c>
    </row>
    <row r="221" spans="1:8" ht="11.25" customHeight="1" x14ac:dyDescent="0.2">
      <c r="C221" s="1" t="s">
        <v>6617</v>
      </c>
      <c r="D221" s="1" t="s">
        <v>1072</v>
      </c>
      <c r="E221" s="16">
        <v>647</v>
      </c>
    </row>
    <row r="222" spans="1:8" ht="11.25" customHeight="1" x14ac:dyDescent="0.2">
      <c r="C222" s="1" t="s">
        <v>6618</v>
      </c>
      <c r="D222" s="1" t="s">
        <v>1239</v>
      </c>
      <c r="E222" s="16">
        <v>306</v>
      </c>
    </row>
    <row r="223" spans="1:8" ht="11.25" customHeight="1" x14ac:dyDescent="0.2">
      <c r="C223" s="1" t="s">
        <v>6619</v>
      </c>
      <c r="D223" s="1" t="s">
        <v>653</v>
      </c>
      <c r="E223" s="16">
        <v>47</v>
      </c>
      <c r="F223" s="34">
        <v>52.996607614021862</v>
      </c>
    </row>
    <row r="224" spans="1:8" ht="11.25" customHeight="1" x14ac:dyDescent="0.2">
      <c r="E224" s="155">
        <v>2001</v>
      </c>
      <c r="F224" s="156">
        <v>100</v>
      </c>
      <c r="G224" s="162" t="s">
        <v>6620</v>
      </c>
      <c r="H224" s="158">
        <v>69</v>
      </c>
    </row>
    <row r="225" spans="1:8" ht="11.25" customHeight="1" x14ac:dyDescent="0.2"/>
    <row r="226" spans="1:8" ht="11.25" customHeight="1" x14ac:dyDescent="0.2">
      <c r="A226" s="1" t="s">
        <v>3262</v>
      </c>
      <c r="C226" s="2" t="s">
        <v>6621</v>
      </c>
      <c r="D226" s="1" t="s">
        <v>3173</v>
      </c>
      <c r="E226" s="16">
        <v>1378</v>
      </c>
      <c r="F226" s="34">
        <v>50.273722627737229</v>
      </c>
    </row>
    <row r="227" spans="1:8" ht="11.25" customHeight="1" x14ac:dyDescent="0.2">
      <c r="C227" s="1" t="s">
        <v>6622</v>
      </c>
      <c r="D227" s="1" t="s">
        <v>1072</v>
      </c>
      <c r="E227" s="16">
        <v>984</v>
      </c>
    </row>
    <row r="228" spans="1:8" ht="11.25" customHeight="1" x14ac:dyDescent="0.2">
      <c r="E228" s="155">
        <v>2362</v>
      </c>
      <c r="F228" s="156">
        <v>100</v>
      </c>
      <c r="G228" s="157"/>
      <c r="H228" s="158"/>
    </row>
    <row r="229" spans="1:8" ht="11.25" customHeight="1" x14ac:dyDescent="0.2">
      <c r="E229" s="27"/>
      <c r="F229" s="35"/>
      <c r="G229" s="151"/>
      <c r="H229" s="85"/>
    </row>
    <row r="230" spans="1:8" ht="11.25" customHeight="1" x14ac:dyDescent="0.2">
      <c r="A230" s="1" t="s">
        <v>1470</v>
      </c>
      <c r="C230" s="2" t="s">
        <v>2279</v>
      </c>
      <c r="D230" s="1" t="s">
        <v>3173</v>
      </c>
      <c r="E230" s="16">
        <v>2815</v>
      </c>
      <c r="F230" s="34">
        <v>69.362279511533245</v>
      </c>
    </row>
    <row r="231" spans="1:8" ht="11.25" customHeight="1" x14ac:dyDescent="0.2">
      <c r="C231" s="1" t="s">
        <v>6546</v>
      </c>
      <c r="D231" s="1" t="s">
        <v>1072</v>
      </c>
      <c r="E231" s="16">
        <v>1949</v>
      </c>
    </row>
    <row r="232" spans="1:8" ht="11.25" customHeight="1" x14ac:dyDescent="0.2">
      <c r="E232" s="155">
        <v>4764</v>
      </c>
      <c r="F232" s="156">
        <v>100</v>
      </c>
      <c r="G232" s="155" t="s">
        <v>6623</v>
      </c>
      <c r="H232" s="158"/>
    </row>
    <row r="233" spans="1:8" ht="11.25" customHeight="1" x14ac:dyDescent="0.2">
      <c r="G233" s="24"/>
    </row>
    <row r="234" spans="1:8" ht="11.25" customHeight="1" x14ac:dyDescent="0.2">
      <c r="A234" s="1" t="s">
        <v>1198</v>
      </c>
      <c r="C234" s="2" t="s">
        <v>6480</v>
      </c>
      <c r="D234" s="1" t="s">
        <v>3173</v>
      </c>
      <c r="E234" s="16">
        <v>2309</v>
      </c>
      <c r="F234" s="34">
        <v>45.065398335315102</v>
      </c>
      <c r="G234" s="24"/>
    </row>
    <row r="235" spans="1:8" ht="11.25" customHeight="1" x14ac:dyDescent="0.2">
      <c r="C235" s="1" t="s">
        <v>6624</v>
      </c>
      <c r="D235" s="1" t="s">
        <v>1072</v>
      </c>
      <c r="E235" s="16">
        <v>1991</v>
      </c>
      <c r="G235" s="24"/>
    </row>
    <row r="236" spans="1:8" ht="11.25" customHeight="1" x14ac:dyDescent="0.2">
      <c r="E236" s="155">
        <v>4300</v>
      </c>
      <c r="F236" s="156">
        <v>100</v>
      </c>
      <c r="G236" s="157">
        <v>5638</v>
      </c>
      <c r="H236" s="158">
        <v>76.3</v>
      </c>
    </row>
    <row r="237" spans="1:8" ht="11.25" customHeight="1" x14ac:dyDescent="0.2"/>
    <row r="238" spans="1:8" ht="11.25" customHeight="1" x14ac:dyDescent="0.2">
      <c r="A238" s="1" t="s">
        <v>2283</v>
      </c>
      <c r="C238" s="2" t="s">
        <v>1323</v>
      </c>
      <c r="D238" s="1" t="s">
        <v>3173</v>
      </c>
      <c r="E238" s="16">
        <v>3047</v>
      </c>
      <c r="F238" s="34">
        <v>57.364717301625817</v>
      </c>
    </row>
    <row r="239" spans="1:8" ht="11.25" customHeight="1" x14ac:dyDescent="0.2">
      <c r="C239" s="1" t="s">
        <v>6625</v>
      </c>
      <c r="D239" s="1" t="s">
        <v>1072</v>
      </c>
      <c r="E239" s="16">
        <v>1325</v>
      </c>
    </row>
    <row r="240" spans="1:8" ht="11.25" customHeight="1" x14ac:dyDescent="0.2">
      <c r="E240" s="155">
        <v>4372</v>
      </c>
      <c r="F240" s="156">
        <v>100</v>
      </c>
      <c r="G240" s="155" t="s">
        <v>6626</v>
      </c>
      <c r="H240" s="158"/>
    </row>
    <row r="241" spans="1:8" ht="11.25" customHeight="1" x14ac:dyDescent="0.2">
      <c r="G241" s="24"/>
    </row>
    <row r="242" spans="1:8" ht="11.25" customHeight="1" x14ac:dyDescent="0.2">
      <c r="A242" s="1" t="s">
        <v>1309</v>
      </c>
      <c r="C242" s="2" t="s">
        <v>1489</v>
      </c>
      <c r="D242" s="1" t="s">
        <v>3173</v>
      </c>
      <c r="E242" s="16">
        <v>2955</v>
      </c>
      <c r="F242" s="34">
        <v>24.212715389185977</v>
      </c>
      <c r="G242" s="24"/>
    </row>
    <row r="243" spans="1:8" ht="11.25" customHeight="1" x14ac:dyDescent="0.2">
      <c r="C243" s="1" t="s">
        <v>6487</v>
      </c>
      <c r="D243" s="1" t="s">
        <v>1072</v>
      </c>
      <c r="E243" s="16">
        <v>939</v>
      </c>
      <c r="F243" s="34">
        <v>75.787284610814027</v>
      </c>
    </row>
    <row r="244" spans="1:8" ht="11.25" customHeight="1" x14ac:dyDescent="0.2">
      <c r="E244" s="155">
        <v>3894</v>
      </c>
      <c r="F244" s="156">
        <v>100</v>
      </c>
      <c r="G244" s="162" t="s">
        <v>6627</v>
      </c>
      <c r="H244" s="158"/>
    </row>
    <row r="245" spans="1:8" ht="11.25" customHeight="1" x14ac:dyDescent="0.2"/>
    <row r="246" spans="1:8" ht="11.25" customHeight="1" x14ac:dyDescent="0.2">
      <c r="A246" s="1" t="s">
        <v>1492</v>
      </c>
      <c r="C246" s="2" t="s">
        <v>6628</v>
      </c>
      <c r="D246" s="1" t="s">
        <v>3173</v>
      </c>
      <c r="E246" s="16">
        <v>1401</v>
      </c>
      <c r="F246" s="34">
        <v>48.210326259106743</v>
      </c>
    </row>
    <row r="247" spans="1:8" ht="11.25" customHeight="1" x14ac:dyDescent="0.2">
      <c r="C247" s="1" t="s">
        <v>6488</v>
      </c>
      <c r="D247" s="1" t="s">
        <v>1072</v>
      </c>
      <c r="E247" s="16">
        <v>1288</v>
      </c>
      <c r="F247" s="34">
        <v>50.300918593601523</v>
      </c>
    </row>
    <row r="248" spans="1:8" ht="11.25" customHeight="1" x14ac:dyDescent="0.2">
      <c r="E248" s="155">
        <v>2689</v>
      </c>
      <c r="F248" s="156">
        <v>100</v>
      </c>
      <c r="G248" s="159">
        <v>2983</v>
      </c>
      <c r="H248" s="158">
        <v>90.1</v>
      </c>
    </row>
    <row r="249" spans="1:8" ht="11.25" customHeight="1" x14ac:dyDescent="0.2">
      <c r="G249" s="24"/>
    </row>
    <row r="250" spans="1:8" ht="11.25" customHeight="1" x14ac:dyDescent="0.2">
      <c r="A250" s="1" t="s">
        <v>2564</v>
      </c>
      <c r="C250" s="2" t="s">
        <v>6629</v>
      </c>
      <c r="D250" s="1" t="s">
        <v>3173</v>
      </c>
      <c r="E250" s="16">
        <v>1877</v>
      </c>
      <c r="F250" s="34">
        <v>20.960980328926151</v>
      </c>
      <c r="G250" s="24"/>
    </row>
    <row r="251" spans="1:8" ht="11.25" customHeight="1" x14ac:dyDescent="0.2">
      <c r="C251" s="1" t="s">
        <v>6630</v>
      </c>
      <c r="D251" s="1" t="s">
        <v>1072</v>
      </c>
      <c r="E251" s="16">
        <v>913</v>
      </c>
      <c r="G251" s="24"/>
    </row>
    <row r="252" spans="1:8" ht="11.25" customHeight="1" x14ac:dyDescent="0.2">
      <c r="C252" s="1" t="s">
        <v>6492</v>
      </c>
      <c r="D252" s="1" t="s">
        <v>1239</v>
      </c>
      <c r="E252" s="16">
        <v>459</v>
      </c>
      <c r="F252" s="34">
        <v>46.630119316349564</v>
      </c>
    </row>
    <row r="253" spans="1:8" ht="11.25" customHeight="1" x14ac:dyDescent="0.2">
      <c r="E253" s="155">
        <v>3249</v>
      </c>
      <c r="F253" s="156">
        <v>100</v>
      </c>
      <c r="G253" s="157">
        <v>3273</v>
      </c>
      <c r="H253" s="158">
        <v>99.3</v>
      </c>
    </row>
    <row r="254" spans="1:8" ht="11.25" customHeight="1" x14ac:dyDescent="0.2"/>
    <row r="255" spans="1:8" ht="11.25" customHeight="1" x14ac:dyDescent="0.2">
      <c r="A255" s="1" t="s">
        <v>1199</v>
      </c>
      <c r="C255" s="2" t="s">
        <v>2308</v>
      </c>
      <c r="D255" s="1" t="s">
        <v>3173</v>
      </c>
      <c r="E255" s="16">
        <v>755</v>
      </c>
      <c r="F255" s="34">
        <v>65.43149683081424</v>
      </c>
    </row>
    <row r="256" spans="1:8" ht="11.25" customHeight="1" x14ac:dyDescent="0.2">
      <c r="C256" s="1" t="s">
        <v>6493</v>
      </c>
      <c r="D256" s="1" t="s">
        <v>1072</v>
      </c>
      <c r="E256" s="16">
        <v>490</v>
      </c>
      <c r="F256" s="34">
        <v>34.56850316918576</v>
      </c>
    </row>
    <row r="257" spans="1:8" ht="11.25" customHeight="1" x14ac:dyDescent="0.2">
      <c r="E257" s="155">
        <v>1245</v>
      </c>
      <c r="F257" s="156">
        <v>100</v>
      </c>
      <c r="G257" s="157">
        <v>1665</v>
      </c>
      <c r="H257" s="158">
        <v>74.8</v>
      </c>
    </row>
    <row r="258" spans="1:8" ht="11.25" customHeight="1" x14ac:dyDescent="0.2"/>
    <row r="259" spans="1:8" ht="11.25" customHeight="1" x14ac:dyDescent="0.2">
      <c r="A259" s="1" t="s">
        <v>1311</v>
      </c>
      <c r="C259" s="2" t="s">
        <v>2311</v>
      </c>
      <c r="D259" s="1" t="s">
        <v>3173</v>
      </c>
      <c r="E259" s="16">
        <v>1508</v>
      </c>
      <c r="F259" s="34">
        <v>54.728434504792332</v>
      </c>
    </row>
    <row r="260" spans="1:8" ht="11.25" customHeight="1" x14ac:dyDescent="0.2">
      <c r="C260" s="1" t="s">
        <v>1026</v>
      </c>
      <c r="D260" s="1" t="s">
        <v>1072</v>
      </c>
      <c r="E260" s="16">
        <v>1216</v>
      </c>
      <c r="F260" s="34">
        <v>45.271565495207668</v>
      </c>
    </row>
    <row r="261" spans="1:8" ht="11.25" customHeight="1" x14ac:dyDescent="0.2">
      <c r="E261" s="155">
        <v>2724</v>
      </c>
      <c r="F261" s="156">
        <v>100</v>
      </c>
      <c r="G261" s="157">
        <v>3345</v>
      </c>
      <c r="H261" s="158">
        <v>81.400000000000006</v>
      </c>
    </row>
    <row r="262" spans="1:8" ht="11.25" customHeight="1" x14ac:dyDescent="0.2"/>
    <row r="263" spans="1:8" ht="11.25" customHeight="1" x14ac:dyDescent="0.2">
      <c r="A263" s="1" t="s">
        <v>2292</v>
      </c>
      <c r="C263" s="2" t="s">
        <v>1510</v>
      </c>
      <c r="D263" s="1" t="s">
        <v>1072</v>
      </c>
      <c r="E263" s="263" t="s">
        <v>1200</v>
      </c>
    </row>
    <row r="264" spans="1:8" ht="11.25" customHeight="1" x14ac:dyDescent="0.2">
      <c r="G264" s="24"/>
    </row>
    <row r="265" spans="1:8" ht="11.25" customHeight="1" x14ac:dyDescent="0.2">
      <c r="F265" s="35"/>
      <c r="G265" s="24"/>
    </row>
    <row r="266" spans="1:8" ht="11.25" customHeight="1" x14ac:dyDescent="0.2">
      <c r="A266" s="22" t="s">
        <v>1131</v>
      </c>
      <c r="B266" s="22"/>
      <c r="C266" s="22"/>
      <c r="D266" s="22"/>
      <c r="E266" s="33" t="s">
        <v>766</v>
      </c>
      <c r="F266" s="39"/>
      <c r="G266" s="23">
        <v>187574</v>
      </c>
      <c r="H266" s="120"/>
    </row>
    <row r="267" spans="1:8" ht="11.25" customHeight="1" x14ac:dyDescent="0.2"/>
    <row r="268" spans="1:8" s="5" customFormat="1" ht="11.25" customHeight="1" x14ac:dyDescent="0.2">
      <c r="A268" s="6" t="s">
        <v>1289</v>
      </c>
      <c r="B268" s="6"/>
      <c r="C268" s="8"/>
      <c r="D268" s="8"/>
      <c r="E268" s="137"/>
      <c r="F268" s="138"/>
      <c r="G268" s="139"/>
      <c r="H268" s="82"/>
    </row>
    <row r="269" spans="1:8" s="143" customFormat="1" ht="33.75" customHeight="1" x14ac:dyDescent="0.2">
      <c r="A269" s="272" t="s">
        <v>2651</v>
      </c>
      <c r="B269" s="272"/>
      <c r="C269" s="272"/>
      <c r="D269" s="272"/>
      <c r="E269" s="272"/>
      <c r="F269" s="272"/>
      <c r="G269" s="272"/>
      <c r="H269" s="272"/>
    </row>
    <row r="270" spans="1:8" s="26" customFormat="1" ht="11.25" customHeight="1" x14ac:dyDescent="0.2">
      <c r="A270" s="273" t="s">
        <v>1288</v>
      </c>
      <c r="B270" s="273"/>
      <c r="C270" s="273"/>
      <c r="D270" s="273"/>
      <c r="E270" s="273"/>
      <c r="F270" s="273"/>
      <c r="G270" s="273"/>
      <c r="H270" s="273"/>
    </row>
    <row r="271" spans="1:8" s="26" customFormat="1" ht="11.25" customHeight="1" x14ac:dyDescent="0.2">
      <c r="A271" s="274" t="s">
        <v>2654</v>
      </c>
      <c r="B271" s="274"/>
      <c r="C271" s="274"/>
      <c r="D271" s="274"/>
      <c r="E271" s="274"/>
      <c r="F271" s="274"/>
      <c r="G271" s="274"/>
      <c r="H271" s="274"/>
    </row>
    <row r="272" spans="1:8" s="26" customFormat="1" ht="11.25" customHeight="1" x14ac:dyDescent="0.2">
      <c r="A272" s="273" t="s">
        <v>2655</v>
      </c>
      <c r="B272" s="273"/>
      <c r="C272" s="273"/>
      <c r="D272" s="273"/>
      <c r="E272" s="273"/>
      <c r="F272" s="273"/>
      <c r="G272" s="273"/>
      <c r="H272" s="273"/>
    </row>
    <row r="273" ht="11.25" customHeight="1" x14ac:dyDescent="0.2"/>
  </sheetData>
  <mergeCells count="6">
    <mergeCell ref="A272:H272"/>
    <mergeCell ref="A1:H1"/>
    <mergeCell ref="F2:H2"/>
    <mergeCell ref="A269:H269"/>
    <mergeCell ref="A270:H270"/>
    <mergeCell ref="A271:H271"/>
  </mergeCells>
  <pageMargins left="0.5" right="0.16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2"/>
  <sheetViews>
    <sheetView workbookViewId="0">
      <pane ySplit="3" topLeftCell="A311" activePane="bottomLeft" state="frozen"/>
      <selection activeCell="G3" sqref="G3"/>
      <selection pane="bottomLeft" activeCell="I348" sqref="I348"/>
    </sheetView>
  </sheetViews>
  <sheetFormatPr defaultRowHeight="11.25" x14ac:dyDescent="0.2"/>
  <cols>
    <col min="1" max="1" width="20.7109375" style="1" customWidth="1"/>
    <col min="2" max="2" width="2.7109375" style="1" customWidth="1"/>
    <col min="3" max="3" width="20.7109375" style="1" customWidth="1"/>
    <col min="4" max="4" width="18.7109375" style="1" customWidth="1"/>
    <col min="5" max="5" width="9.7109375" style="16" customWidth="1"/>
    <col min="6" max="6" width="9.7109375" style="34" customWidth="1"/>
    <col min="7" max="7" width="8.7109375" style="21" customWidth="1"/>
    <col min="8" max="8" width="7.7109375" style="81" customWidth="1"/>
    <col min="9" max="16384" width="9.140625" style="1"/>
  </cols>
  <sheetData>
    <row r="1" spans="1:8" s="71" customFormat="1" ht="24" customHeight="1" x14ac:dyDescent="0.2">
      <c r="A1" s="270" t="s">
        <v>2332</v>
      </c>
      <c r="B1" s="270"/>
      <c r="C1" s="270"/>
      <c r="D1" s="270"/>
      <c r="E1" s="270"/>
      <c r="F1" s="270"/>
      <c r="G1" s="270"/>
      <c r="H1" s="270"/>
    </row>
    <row r="2" spans="1:8" s="37" customFormat="1" ht="42" customHeight="1" thickBot="1" x14ac:dyDescent="0.25">
      <c r="A2" s="36" t="s">
        <v>4782</v>
      </c>
      <c r="B2" s="36" t="s">
        <v>6373</v>
      </c>
      <c r="C2" s="36" t="s">
        <v>6372</v>
      </c>
      <c r="D2" s="75" t="s">
        <v>5892</v>
      </c>
      <c r="F2" s="271" t="s">
        <v>6374</v>
      </c>
      <c r="G2" s="271"/>
      <c r="H2" s="271"/>
    </row>
    <row r="3" spans="1:8" s="57" customFormat="1" ht="52.5" customHeight="1" thickBot="1" x14ac:dyDescent="0.25">
      <c r="A3" s="58" t="s">
        <v>1284</v>
      </c>
      <c r="B3" s="59"/>
      <c r="C3" s="59" t="s">
        <v>1285</v>
      </c>
      <c r="D3" s="59" t="s">
        <v>2652</v>
      </c>
      <c r="E3" s="73" t="s">
        <v>2653</v>
      </c>
      <c r="F3" s="74" t="s">
        <v>1286</v>
      </c>
      <c r="G3" s="73" t="s">
        <v>1287</v>
      </c>
      <c r="H3" s="74" t="s">
        <v>2656</v>
      </c>
    </row>
    <row r="4" spans="1:8" s="38" customFormat="1" ht="11.25" customHeight="1" x14ac:dyDescent="0.2">
      <c r="A4" s="62"/>
      <c r="B4" s="63"/>
      <c r="C4" s="63"/>
      <c r="D4" s="63"/>
      <c r="E4" s="64"/>
      <c r="F4" s="129"/>
      <c r="G4" s="64"/>
      <c r="H4" s="130"/>
    </row>
    <row r="5" spans="1:8" ht="11.25" customHeight="1" x14ac:dyDescent="0.2">
      <c r="A5" s="1" t="s">
        <v>3172</v>
      </c>
      <c r="C5" s="2" t="s">
        <v>1771</v>
      </c>
      <c r="D5" s="1" t="s">
        <v>3173</v>
      </c>
      <c r="E5" s="16">
        <v>2056</v>
      </c>
      <c r="F5" s="34">
        <v>71.872863978127143</v>
      </c>
    </row>
    <row r="6" spans="1:8" ht="11.25" customHeight="1" x14ac:dyDescent="0.2">
      <c r="C6" s="1" t="s">
        <v>6375</v>
      </c>
      <c r="D6" s="1" t="s">
        <v>1239</v>
      </c>
      <c r="E6" s="16">
        <v>627</v>
      </c>
      <c r="F6" s="34">
        <v>28.127136021872865</v>
      </c>
    </row>
    <row r="7" spans="1:8" ht="11.25" customHeight="1" x14ac:dyDescent="0.2">
      <c r="C7" s="1" t="s">
        <v>6376</v>
      </c>
      <c r="D7" s="1" t="s">
        <v>1072</v>
      </c>
      <c r="E7" s="16">
        <v>402</v>
      </c>
    </row>
    <row r="8" spans="1:8" ht="11.25" customHeight="1" x14ac:dyDescent="0.2">
      <c r="E8" s="155">
        <v>3252</v>
      </c>
      <c r="F8" s="156">
        <v>100</v>
      </c>
      <c r="G8" s="157">
        <v>4253</v>
      </c>
      <c r="H8" s="158">
        <v>76.5</v>
      </c>
    </row>
    <row r="9" spans="1:8" ht="11.25" customHeight="1" x14ac:dyDescent="0.2"/>
    <row r="10" spans="1:8" ht="11.25" customHeight="1" x14ac:dyDescent="0.2">
      <c r="A10" s="1" t="s">
        <v>3267</v>
      </c>
      <c r="C10" s="2" t="s">
        <v>3175</v>
      </c>
      <c r="D10" s="1" t="s">
        <v>3173</v>
      </c>
      <c r="E10" s="16">
        <v>1653</v>
      </c>
      <c r="F10" s="34">
        <v>27.337826453243469</v>
      </c>
    </row>
    <row r="11" spans="1:8" ht="11.25" customHeight="1" x14ac:dyDescent="0.2">
      <c r="C11" s="1" t="s">
        <v>6377</v>
      </c>
      <c r="D11" s="1" t="s">
        <v>1239</v>
      </c>
      <c r="E11" s="16">
        <v>421</v>
      </c>
    </row>
    <row r="12" spans="1:8" ht="11.25" customHeight="1" x14ac:dyDescent="0.2">
      <c r="C12" s="1" t="s">
        <v>6378</v>
      </c>
      <c r="D12" s="1" t="s">
        <v>1072</v>
      </c>
      <c r="E12" s="16">
        <v>253</v>
      </c>
      <c r="F12" s="34">
        <v>72.662173546756534</v>
      </c>
    </row>
    <row r="13" spans="1:8" ht="11.25" customHeight="1" x14ac:dyDescent="0.2">
      <c r="E13" s="155">
        <v>2496</v>
      </c>
      <c r="F13" s="156">
        <v>100</v>
      </c>
      <c r="G13" s="159">
        <v>3781</v>
      </c>
      <c r="H13" s="158">
        <v>66</v>
      </c>
    </row>
    <row r="14" spans="1:8" ht="11.25" customHeight="1" x14ac:dyDescent="0.2">
      <c r="G14" s="24"/>
    </row>
    <row r="15" spans="1:8" ht="11.25" customHeight="1" x14ac:dyDescent="0.2">
      <c r="A15" s="1" t="s">
        <v>2266</v>
      </c>
      <c r="B15" s="1">
        <v>1</v>
      </c>
      <c r="C15" s="1" t="s">
        <v>2309</v>
      </c>
      <c r="D15" s="1" t="s">
        <v>1072</v>
      </c>
      <c r="E15" s="16">
        <v>373</v>
      </c>
      <c r="F15" s="34">
        <v>55.10948905109489</v>
      </c>
      <c r="G15" s="24"/>
    </row>
    <row r="16" spans="1:8" ht="11.25" customHeight="1" x14ac:dyDescent="0.2">
      <c r="C16" s="1" t="s">
        <v>6379</v>
      </c>
      <c r="D16" s="1" t="s">
        <v>3173</v>
      </c>
      <c r="E16" s="16">
        <v>295</v>
      </c>
      <c r="G16" s="24"/>
    </row>
    <row r="17" spans="1:8" ht="11.25" customHeight="1" x14ac:dyDescent="0.2">
      <c r="C17" s="1" t="s">
        <v>6380</v>
      </c>
      <c r="D17" s="1" t="s">
        <v>1239</v>
      </c>
      <c r="E17" s="16">
        <v>245</v>
      </c>
      <c r="G17" s="24"/>
    </row>
    <row r="18" spans="1:8" ht="11.25" customHeight="1" x14ac:dyDescent="0.2">
      <c r="C18" s="1" t="s">
        <v>6381</v>
      </c>
      <c r="D18" s="1" t="s">
        <v>1548</v>
      </c>
      <c r="E18" s="16">
        <v>221</v>
      </c>
      <c r="F18" s="34">
        <v>44.89051094890511</v>
      </c>
    </row>
    <row r="19" spans="1:8" ht="11.25" customHeight="1" x14ac:dyDescent="0.2">
      <c r="E19" s="155">
        <v>1196</v>
      </c>
      <c r="F19" s="156">
        <v>100</v>
      </c>
      <c r="G19" s="157">
        <v>1750</v>
      </c>
      <c r="H19" s="158">
        <v>68.3</v>
      </c>
    </row>
    <row r="20" spans="1:8" ht="11.25" customHeight="1" x14ac:dyDescent="0.2">
      <c r="E20" s="27"/>
      <c r="F20" s="35"/>
      <c r="G20" s="151"/>
      <c r="H20" s="85"/>
    </row>
    <row r="21" spans="1:8" ht="11.25" customHeight="1" x14ac:dyDescent="0.2">
      <c r="B21" s="1">
        <v>2</v>
      </c>
      <c r="C21" s="2" t="s">
        <v>2309</v>
      </c>
      <c r="D21" s="1" t="s">
        <v>1072</v>
      </c>
      <c r="E21" s="27">
        <v>451</v>
      </c>
      <c r="F21" s="35"/>
      <c r="G21" s="151"/>
      <c r="H21" s="85"/>
    </row>
    <row r="22" spans="1:8" ht="11.25" customHeight="1" x14ac:dyDescent="0.2">
      <c r="C22" s="1" t="s">
        <v>6379</v>
      </c>
      <c r="D22" s="1" t="s">
        <v>3173</v>
      </c>
      <c r="E22" s="27">
        <v>363</v>
      </c>
      <c r="F22" s="35"/>
      <c r="G22" s="151"/>
      <c r="H22" s="85"/>
    </row>
    <row r="23" spans="1:8" ht="11.25" customHeight="1" x14ac:dyDescent="0.2"/>
    <row r="24" spans="1:8" ht="11.25" customHeight="1" x14ac:dyDescent="0.2">
      <c r="A24" s="1" t="s">
        <v>1923</v>
      </c>
      <c r="C24" s="2" t="s">
        <v>1763</v>
      </c>
      <c r="D24" s="1" t="s">
        <v>3173</v>
      </c>
      <c r="E24" s="16">
        <v>1168</v>
      </c>
      <c r="F24" s="34">
        <v>47.799625468164791</v>
      </c>
    </row>
    <row r="25" spans="1:8" ht="11.25" customHeight="1" x14ac:dyDescent="0.2">
      <c r="C25" s="1" t="s">
        <v>6382</v>
      </c>
      <c r="D25" s="1" t="s">
        <v>1072</v>
      </c>
      <c r="E25" s="16">
        <v>989</v>
      </c>
      <c r="F25" s="34">
        <v>48.127340823970037</v>
      </c>
    </row>
    <row r="26" spans="1:8" ht="11.25" customHeight="1" x14ac:dyDescent="0.2">
      <c r="E26" s="155">
        <v>2157</v>
      </c>
      <c r="F26" s="156">
        <v>100</v>
      </c>
      <c r="G26" s="157">
        <v>3370</v>
      </c>
      <c r="H26" s="158">
        <v>64</v>
      </c>
    </row>
    <row r="27" spans="1:8" ht="11.25" customHeight="1" x14ac:dyDescent="0.2">
      <c r="C27" s="2"/>
    </row>
    <row r="28" spans="1:8" ht="11.25" customHeight="1" x14ac:dyDescent="0.2">
      <c r="A28" s="1" t="s">
        <v>1975</v>
      </c>
      <c r="B28" s="1">
        <v>1</v>
      </c>
      <c r="C28" s="1" t="s">
        <v>6383</v>
      </c>
      <c r="D28" s="1" t="s">
        <v>3173</v>
      </c>
      <c r="E28" s="19">
        <v>869</v>
      </c>
      <c r="F28" s="25">
        <v>56.645569620253163</v>
      </c>
    </row>
    <row r="29" spans="1:8" ht="11.25" customHeight="1" x14ac:dyDescent="0.2">
      <c r="C29" s="1" t="s">
        <v>6288</v>
      </c>
      <c r="D29" s="1" t="s">
        <v>1072</v>
      </c>
      <c r="E29" s="16">
        <v>847</v>
      </c>
      <c r="F29" s="25">
        <v>43.354430379746837</v>
      </c>
    </row>
    <row r="30" spans="1:8" ht="11.25" customHeight="1" x14ac:dyDescent="0.2">
      <c r="C30" s="1" t="s">
        <v>6384</v>
      </c>
      <c r="D30" s="1" t="s">
        <v>1239</v>
      </c>
      <c r="E30" s="16">
        <v>641</v>
      </c>
      <c r="F30" s="25"/>
    </row>
    <row r="31" spans="1:8" ht="11.25" customHeight="1" x14ac:dyDescent="0.2">
      <c r="E31" s="155">
        <v>2545</v>
      </c>
      <c r="F31" s="156">
        <v>100</v>
      </c>
      <c r="G31" s="157"/>
      <c r="H31" s="158">
        <v>81.8</v>
      </c>
    </row>
    <row r="32" spans="1:8" ht="11.25" customHeight="1" x14ac:dyDescent="0.2">
      <c r="E32" s="27"/>
      <c r="F32" s="35"/>
      <c r="G32" s="151"/>
      <c r="H32" s="85"/>
    </row>
    <row r="33" spans="1:8" ht="11.25" customHeight="1" x14ac:dyDescent="0.2">
      <c r="B33" s="1">
        <v>2</v>
      </c>
      <c r="C33" s="2" t="s">
        <v>6288</v>
      </c>
      <c r="D33" s="1" t="s">
        <v>1072</v>
      </c>
      <c r="E33" s="27">
        <v>1048</v>
      </c>
      <c r="F33" s="35"/>
      <c r="G33" s="151"/>
      <c r="H33" s="85"/>
    </row>
    <row r="34" spans="1:8" ht="11.25" customHeight="1" x14ac:dyDescent="0.2">
      <c r="C34" s="1" t="s">
        <v>6383</v>
      </c>
      <c r="D34" s="1" t="s">
        <v>3173</v>
      </c>
      <c r="E34" s="27">
        <v>1047</v>
      </c>
      <c r="F34" s="35"/>
      <c r="G34" s="151"/>
      <c r="H34" s="85"/>
    </row>
    <row r="35" spans="1:8" ht="11.25" customHeight="1" x14ac:dyDescent="0.2"/>
    <row r="36" spans="1:8" ht="11.25" customHeight="1" x14ac:dyDescent="0.2">
      <c r="A36" s="1" t="s">
        <v>1086</v>
      </c>
      <c r="B36" s="1">
        <v>1</v>
      </c>
      <c r="C36" s="1" t="s">
        <v>6385</v>
      </c>
      <c r="D36" s="1" t="s">
        <v>1239</v>
      </c>
      <c r="E36" s="16">
        <v>5928</v>
      </c>
      <c r="F36" s="25"/>
    </row>
    <row r="37" spans="1:8" ht="11.25" customHeight="1" x14ac:dyDescent="0.2">
      <c r="C37" s="1" t="s">
        <v>1784</v>
      </c>
      <c r="D37" s="1" t="s">
        <v>1072</v>
      </c>
      <c r="E37" s="16">
        <v>2941</v>
      </c>
      <c r="F37" s="25"/>
    </row>
    <row r="38" spans="1:8" ht="11.25" customHeight="1" x14ac:dyDescent="0.2">
      <c r="C38" s="1" t="s">
        <v>6386</v>
      </c>
      <c r="D38" s="1" t="s">
        <v>757</v>
      </c>
      <c r="E38" s="19">
        <v>2467</v>
      </c>
      <c r="F38" s="25"/>
    </row>
    <row r="39" spans="1:8" ht="11.25" customHeight="1" x14ac:dyDescent="0.2">
      <c r="C39" s="1" t="s">
        <v>6387</v>
      </c>
      <c r="D39" s="1" t="s">
        <v>1072</v>
      </c>
      <c r="E39" s="16">
        <v>1928</v>
      </c>
      <c r="F39" s="25"/>
    </row>
    <row r="40" spans="1:8" ht="11.25" customHeight="1" x14ac:dyDescent="0.2">
      <c r="C40" s="1" t="s">
        <v>1996</v>
      </c>
      <c r="D40" s="1" t="s">
        <v>1239</v>
      </c>
      <c r="E40" s="16">
        <v>1662</v>
      </c>
      <c r="F40" s="25"/>
    </row>
    <row r="41" spans="1:8" ht="11.25" customHeight="1" x14ac:dyDescent="0.2">
      <c r="C41" s="1" t="s">
        <v>6388</v>
      </c>
      <c r="D41" s="1" t="s">
        <v>1918</v>
      </c>
      <c r="E41" s="16">
        <v>1265</v>
      </c>
      <c r="F41" s="25"/>
    </row>
    <row r="42" spans="1:8" ht="11.25" customHeight="1" x14ac:dyDescent="0.2">
      <c r="C42" s="1" t="s">
        <v>756</v>
      </c>
      <c r="D42" s="1" t="s">
        <v>1918</v>
      </c>
      <c r="E42" s="16">
        <v>1222</v>
      </c>
      <c r="F42" s="25"/>
    </row>
    <row r="43" spans="1:8" ht="11.25" customHeight="1" x14ac:dyDescent="0.2">
      <c r="C43" s="1" t="s">
        <v>6389</v>
      </c>
      <c r="D43" s="1" t="s">
        <v>1239</v>
      </c>
      <c r="E43" s="16">
        <v>1221</v>
      </c>
      <c r="F43" s="25"/>
    </row>
    <row r="44" spans="1:8" ht="11.25" customHeight="1" x14ac:dyDescent="0.2">
      <c r="C44" s="1" t="s">
        <v>6390</v>
      </c>
      <c r="D44" s="1" t="s">
        <v>1072</v>
      </c>
      <c r="E44" s="16">
        <v>626</v>
      </c>
      <c r="F44" s="25"/>
    </row>
    <row r="45" spans="1:8" ht="11.25" customHeight="1" x14ac:dyDescent="0.2">
      <c r="C45" s="1" t="s">
        <v>6391</v>
      </c>
      <c r="D45" s="1" t="s">
        <v>6393</v>
      </c>
      <c r="E45" s="16">
        <v>423</v>
      </c>
      <c r="F45" s="25"/>
    </row>
    <row r="46" spans="1:8" ht="11.25" customHeight="1" x14ac:dyDescent="0.2">
      <c r="C46" s="1" t="s">
        <v>6392</v>
      </c>
      <c r="D46" s="1" t="s">
        <v>757</v>
      </c>
      <c r="E46" s="16">
        <v>54</v>
      </c>
      <c r="F46" s="25"/>
    </row>
    <row r="47" spans="1:8" ht="11.25" customHeight="1" x14ac:dyDescent="0.2">
      <c r="E47" s="155">
        <v>20381</v>
      </c>
      <c r="F47" s="156">
        <v>100</v>
      </c>
      <c r="G47" s="157">
        <v>34287</v>
      </c>
      <c r="H47" s="158">
        <v>59.4</v>
      </c>
    </row>
    <row r="48" spans="1:8" ht="11.25" customHeight="1" x14ac:dyDescent="0.2"/>
    <row r="49" spans="1:8" ht="11.25" customHeight="1" x14ac:dyDescent="0.2">
      <c r="B49" s="1">
        <v>2</v>
      </c>
      <c r="C49" s="2" t="s">
        <v>6385</v>
      </c>
      <c r="D49" s="1" t="s">
        <v>1239</v>
      </c>
      <c r="E49" s="16">
        <v>3290</v>
      </c>
    </row>
    <row r="50" spans="1:8" ht="11.25" customHeight="1" x14ac:dyDescent="0.2">
      <c r="C50" s="2" t="s">
        <v>1784</v>
      </c>
      <c r="D50" s="1" t="s">
        <v>1072</v>
      </c>
      <c r="E50" s="16">
        <v>3290</v>
      </c>
    </row>
    <row r="51" spans="1:8" ht="11.25" customHeight="1" x14ac:dyDescent="0.2">
      <c r="C51" s="2" t="s">
        <v>1996</v>
      </c>
      <c r="D51" s="1" t="s">
        <v>1239</v>
      </c>
      <c r="E51" s="16">
        <v>3290</v>
      </c>
    </row>
    <row r="52" spans="1:8" ht="11.25" customHeight="1" x14ac:dyDescent="0.2">
      <c r="C52" s="2" t="s">
        <v>756</v>
      </c>
      <c r="D52" s="1" t="s">
        <v>1918</v>
      </c>
      <c r="E52" s="16">
        <v>2923</v>
      </c>
    </row>
    <row r="53" spans="1:8" ht="11.25" customHeight="1" x14ac:dyDescent="0.2">
      <c r="C53" s="2" t="s">
        <v>6386</v>
      </c>
      <c r="D53" s="1" t="s">
        <v>757</v>
      </c>
      <c r="E53" s="16">
        <v>2852</v>
      </c>
    </row>
    <row r="54" spans="1:8" ht="11.25" customHeight="1" x14ac:dyDescent="0.2">
      <c r="C54" s="2"/>
    </row>
    <row r="55" spans="1:8" ht="11.25" customHeight="1" x14ac:dyDescent="0.2">
      <c r="A55" s="1" t="s">
        <v>1125</v>
      </c>
      <c r="C55" s="2" t="s">
        <v>1791</v>
      </c>
      <c r="D55" s="1" t="s">
        <v>3173</v>
      </c>
      <c r="E55" s="16">
        <v>2872</v>
      </c>
      <c r="F55" s="34">
        <v>60.061267470802221</v>
      </c>
    </row>
    <row r="56" spans="1:8" ht="11.25" customHeight="1" x14ac:dyDescent="0.2">
      <c r="C56" s="1" t="s">
        <v>6394</v>
      </c>
      <c r="D56" s="1" t="s">
        <v>1072</v>
      </c>
      <c r="E56" s="16">
        <v>567</v>
      </c>
    </row>
    <row r="57" spans="1:8" ht="11.25" customHeight="1" x14ac:dyDescent="0.2">
      <c r="C57" s="1" t="s">
        <v>6395</v>
      </c>
      <c r="D57" s="1" t="s">
        <v>1239</v>
      </c>
      <c r="E57" s="16">
        <v>300</v>
      </c>
    </row>
    <row r="58" spans="1:8" ht="11.25" customHeight="1" x14ac:dyDescent="0.2">
      <c r="C58" s="1" t="s">
        <v>6396</v>
      </c>
      <c r="D58" s="1" t="s">
        <v>6397</v>
      </c>
      <c r="E58" s="16">
        <v>252</v>
      </c>
      <c r="F58" s="34">
        <v>39.938732529197779</v>
      </c>
    </row>
    <row r="59" spans="1:8" ht="11.25" customHeight="1" x14ac:dyDescent="0.2">
      <c r="E59" s="155">
        <v>3991</v>
      </c>
      <c r="F59" s="156">
        <v>100</v>
      </c>
      <c r="G59" s="157">
        <v>6847</v>
      </c>
      <c r="H59" s="158">
        <v>58.3</v>
      </c>
    </row>
    <row r="60" spans="1:8" ht="11.25" customHeight="1" x14ac:dyDescent="0.2"/>
    <row r="61" spans="1:8" ht="11.25" customHeight="1" x14ac:dyDescent="0.2">
      <c r="A61" s="1" t="s">
        <v>1427</v>
      </c>
      <c r="C61" s="2" t="s">
        <v>2312</v>
      </c>
      <c r="D61" s="1" t="s">
        <v>3173</v>
      </c>
      <c r="E61" s="16">
        <v>1328</v>
      </c>
      <c r="F61" s="34">
        <v>37.688442211055275</v>
      </c>
    </row>
    <row r="62" spans="1:8" ht="11.25" customHeight="1" x14ac:dyDescent="0.2">
      <c r="C62" s="1" t="s">
        <v>6398</v>
      </c>
      <c r="D62" s="1" t="s">
        <v>1072</v>
      </c>
      <c r="E62" s="16">
        <v>598</v>
      </c>
    </row>
    <row r="63" spans="1:8" ht="11.25" customHeight="1" x14ac:dyDescent="0.2">
      <c r="C63" s="1" t="s">
        <v>6399</v>
      </c>
      <c r="D63" s="1" t="s">
        <v>1239</v>
      </c>
      <c r="E63" s="16">
        <v>480</v>
      </c>
      <c r="F63" s="34">
        <v>62.311557788944725</v>
      </c>
    </row>
    <row r="64" spans="1:8" ht="11.25" customHeight="1" x14ac:dyDescent="0.2">
      <c r="E64" s="155">
        <v>2532</v>
      </c>
      <c r="F64" s="156">
        <v>100</v>
      </c>
      <c r="G64" s="159">
        <v>3269</v>
      </c>
      <c r="H64" s="158">
        <v>77.400000000000006</v>
      </c>
    </row>
    <row r="65" spans="1:8" ht="11.25" customHeight="1" x14ac:dyDescent="0.2"/>
    <row r="66" spans="1:8" ht="11.25" customHeight="1" x14ac:dyDescent="0.2">
      <c r="A66" s="1" t="s">
        <v>6400</v>
      </c>
      <c r="C66" s="2" t="s">
        <v>6401</v>
      </c>
      <c r="D66" s="1" t="s">
        <v>3173</v>
      </c>
      <c r="E66" s="16">
        <v>939</v>
      </c>
      <c r="F66" s="34">
        <v>49.743150684931507</v>
      </c>
    </row>
    <row r="67" spans="1:8" ht="11.25" customHeight="1" x14ac:dyDescent="0.2">
      <c r="C67" s="1" t="s">
        <v>6402</v>
      </c>
      <c r="D67" s="1" t="s">
        <v>1239</v>
      </c>
      <c r="E67" s="16">
        <v>422</v>
      </c>
      <c r="F67" s="34">
        <v>50.256849315068493</v>
      </c>
    </row>
    <row r="68" spans="1:8" ht="11.25" customHeight="1" x14ac:dyDescent="0.2">
      <c r="E68" s="155">
        <v>1509</v>
      </c>
      <c r="F68" s="156">
        <v>100</v>
      </c>
      <c r="G68" s="159">
        <v>2009</v>
      </c>
      <c r="H68" s="158">
        <v>75.099999999999994</v>
      </c>
    </row>
    <row r="69" spans="1:8" ht="11.25" customHeight="1" x14ac:dyDescent="0.2">
      <c r="G69" s="24"/>
    </row>
    <row r="70" spans="1:8" ht="11.25" customHeight="1" x14ac:dyDescent="0.2">
      <c r="A70" s="1" t="s">
        <v>2012</v>
      </c>
      <c r="B70" s="1">
        <v>1</v>
      </c>
      <c r="C70" s="1" t="s">
        <v>2014</v>
      </c>
      <c r="D70" s="1" t="s">
        <v>3173</v>
      </c>
      <c r="E70" s="16">
        <v>883</v>
      </c>
      <c r="F70" s="34">
        <v>23.895027624309392</v>
      </c>
      <c r="G70" s="24"/>
    </row>
    <row r="71" spans="1:8" ht="11.25" customHeight="1" x14ac:dyDescent="0.2">
      <c r="C71" s="1" t="s">
        <v>2013</v>
      </c>
      <c r="D71" s="1" t="s">
        <v>1072</v>
      </c>
      <c r="E71" s="16">
        <v>597</v>
      </c>
      <c r="F71" s="34">
        <v>29.903314917127073</v>
      </c>
    </row>
    <row r="72" spans="1:8" ht="11.25" customHeight="1" x14ac:dyDescent="0.2">
      <c r="C72" s="1" t="s">
        <v>6403</v>
      </c>
      <c r="D72" s="1" t="s">
        <v>1239</v>
      </c>
      <c r="E72" s="16">
        <v>385</v>
      </c>
      <c r="F72" s="34">
        <v>46.201657458563538</v>
      </c>
    </row>
    <row r="73" spans="1:8" ht="11.25" customHeight="1" x14ac:dyDescent="0.2">
      <c r="E73" s="155">
        <v>1985</v>
      </c>
      <c r="F73" s="156">
        <v>100</v>
      </c>
      <c r="G73" s="157">
        <v>2624</v>
      </c>
      <c r="H73" s="158">
        <v>75.599999999999994</v>
      </c>
    </row>
    <row r="74" spans="1:8" ht="11.25" customHeight="1" x14ac:dyDescent="0.2"/>
    <row r="75" spans="1:8" ht="11.25" customHeight="1" x14ac:dyDescent="0.2">
      <c r="B75" s="1">
        <v>2</v>
      </c>
      <c r="C75" s="2" t="s">
        <v>2014</v>
      </c>
      <c r="D75" s="1" t="s">
        <v>3173</v>
      </c>
      <c r="E75" s="16">
        <v>1013</v>
      </c>
      <c r="G75" s="1"/>
      <c r="H75" s="82"/>
    </row>
    <row r="76" spans="1:8" ht="11.25" customHeight="1" x14ac:dyDescent="0.2">
      <c r="C76" s="1" t="s">
        <v>2013</v>
      </c>
      <c r="D76" s="1" t="s">
        <v>1072</v>
      </c>
      <c r="E76" s="16">
        <v>673</v>
      </c>
    </row>
    <row r="77" spans="1:8" ht="11.25" customHeight="1" x14ac:dyDescent="0.2">
      <c r="G77" s="24"/>
    </row>
    <row r="78" spans="1:8" ht="11.25" customHeight="1" x14ac:dyDescent="0.2">
      <c r="A78" s="1" t="s">
        <v>2016</v>
      </c>
      <c r="C78" s="2" t="s">
        <v>6404</v>
      </c>
      <c r="D78" s="1" t="s">
        <v>3173</v>
      </c>
      <c r="E78" s="16">
        <v>2387</v>
      </c>
      <c r="F78" s="34">
        <v>48.75829850012294</v>
      </c>
      <c r="G78" s="24"/>
    </row>
    <row r="79" spans="1:8" ht="11.25" customHeight="1" x14ac:dyDescent="0.2">
      <c r="C79" s="1" t="s">
        <v>452</v>
      </c>
      <c r="D79" s="1" t="s">
        <v>1072</v>
      </c>
      <c r="E79" s="16">
        <v>945</v>
      </c>
      <c r="G79" s="24"/>
    </row>
    <row r="80" spans="1:8" ht="11.25" customHeight="1" x14ac:dyDescent="0.2">
      <c r="C80" s="1" t="s">
        <v>6405</v>
      </c>
      <c r="D80" s="1" t="s">
        <v>1239</v>
      </c>
      <c r="E80" s="16">
        <v>498</v>
      </c>
      <c r="F80" s="34">
        <v>51.24170149987706</v>
      </c>
    </row>
    <row r="81" spans="1:8" ht="11.25" customHeight="1" x14ac:dyDescent="0.2">
      <c r="E81" s="155">
        <v>4068</v>
      </c>
      <c r="F81" s="156">
        <v>100</v>
      </c>
      <c r="G81" s="157">
        <v>5130</v>
      </c>
      <c r="H81" s="158">
        <v>79.3</v>
      </c>
    </row>
    <row r="82" spans="1:8" ht="11.25" customHeight="1" x14ac:dyDescent="0.2"/>
    <row r="83" spans="1:8" ht="11.25" customHeight="1" x14ac:dyDescent="0.2">
      <c r="A83" s="1" t="s">
        <v>2268</v>
      </c>
      <c r="C83" s="2" t="s">
        <v>2022</v>
      </c>
      <c r="D83" s="1" t="s">
        <v>3173</v>
      </c>
      <c r="E83" s="16">
        <v>1220</v>
      </c>
      <c r="F83" s="34">
        <v>55.368421052631582</v>
      </c>
    </row>
    <row r="84" spans="1:8" ht="11.25" customHeight="1" x14ac:dyDescent="0.2">
      <c r="C84" s="1" t="s">
        <v>6406</v>
      </c>
      <c r="D84" s="1" t="s">
        <v>1072</v>
      </c>
      <c r="E84" s="16">
        <v>741</v>
      </c>
    </row>
    <row r="85" spans="1:8" ht="11.25" customHeight="1" x14ac:dyDescent="0.2">
      <c r="C85" s="1" t="s">
        <v>6407</v>
      </c>
      <c r="D85" s="1" t="s">
        <v>1239</v>
      </c>
      <c r="E85" s="16">
        <v>175</v>
      </c>
      <c r="F85" s="34">
        <v>44.631578947368418</v>
      </c>
    </row>
    <row r="86" spans="1:8" ht="11.25" customHeight="1" x14ac:dyDescent="0.2">
      <c r="E86" s="155">
        <v>2265</v>
      </c>
      <c r="F86" s="156">
        <v>100</v>
      </c>
      <c r="G86" s="157">
        <v>3072</v>
      </c>
      <c r="H86" s="158">
        <v>73.7</v>
      </c>
    </row>
    <row r="87" spans="1:8" ht="11.25" customHeight="1" x14ac:dyDescent="0.2"/>
    <row r="88" spans="1:8" ht="11.25" customHeight="1" x14ac:dyDescent="0.2">
      <c r="A88" s="1" t="s">
        <v>369</v>
      </c>
      <c r="C88" s="2" t="s">
        <v>2024</v>
      </c>
      <c r="D88" s="1" t="s">
        <v>3173</v>
      </c>
      <c r="E88" s="16">
        <v>1220</v>
      </c>
      <c r="F88" s="34">
        <v>45.567265964042157</v>
      </c>
    </row>
    <row r="89" spans="1:8" ht="11.25" customHeight="1" x14ac:dyDescent="0.2">
      <c r="C89" s="1" t="s">
        <v>6408</v>
      </c>
      <c r="D89" s="1" t="s">
        <v>1072</v>
      </c>
      <c r="E89" s="16">
        <v>741</v>
      </c>
      <c r="F89" s="34">
        <v>54.432734035957843</v>
      </c>
    </row>
    <row r="90" spans="1:8" ht="11.25" customHeight="1" x14ac:dyDescent="0.2">
      <c r="C90" s="1" t="s">
        <v>6409</v>
      </c>
      <c r="D90" s="1" t="s">
        <v>1239</v>
      </c>
      <c r="E90" s="16">
        <v>175</v>
      </c>
    </row>
    <row r="91" spans="1:8" ht="11.25" customHeight="1" x14ac:dyDescent="0.2">
      <c r="E91" s="155">
        <v>4330</v>
      </c>
      <c r="F91" s="156">
        <v>100</v>
      </c>
      <c r="G91" s="157">
        <v>7066</v>
      </c>
      <c r="H91" s="158">
        <v>61.3</v>
      </c>
    </row>
    <row r="92" spans="1:8" ht="11.25" customHeight="1" x14ac:dyDescent="0.2"/>
    <row r="93" spans="1:8" ht="11.25" customHeight="1" x14ac:dyDescent="0.2">
      <c r="A93" s="1" t="s">
        <v>1919</v>
      </c>
      <c r="B93" s="1">
        <v>1</v>
      </c>
      <c r="C93" s="1" t="s">
        <v>2033</v>
      </c>
      <c r="D93" s="1" t="s">
        <v>3173</v>
      </c>
      <c r="E93" s="16">
        <v>3046</v>
      </c>
      <c r="F93" s="34">
        <v>8.4289017886639286</v>
      </c>
    </row>
    <row r="94" spans="1:8" ht="11.25" customHeight="1" x14ac:dyDescent="0.2">
      <c r="C94" s="1" t="s">
        <v>2313</v>
      </c>
      <c r="D94" s="1" t="s">
        <v>1239</v>
      </c>
      <c r="E94" s="16">
        <v>2202</v>
      </c>
      <c r="F94" s="34">
        <v>3.8604936523667939</v>
      </c>
    </row>
    <row r="95" spans="1:8" ht="11.25" customHeight="1" x14ac:dyDescent="0.2">
      <c r="C95" s="1" t="s">
        <v>458</v>
      </c>
      <c r="D95" s="1" t="s">
        <v>1918</v>
      </c>
      <c r="E95" s="16">
        <v>879</v>
      </c>
      <c r="F95" s="34">
        <v>2.0010382745764312</v>
      </c>
    </row>
    <row r="96" spans="1:8" ht="11.25" customHeight="1" x14ac:dyDescent="0.2">
      <c r="C96" s="1" t="s">
        <v>460</v>
      </c>
      <c r="D96" s="1" t="s">
        <v>1072</v>
      </c>
      <c r="E96" s="16">
        <v>1517</v>
      </c>
      <c r="F96" s="34">
        <v>1.765066779932984</v>
      </c>
    </row>
    <row r="97" spans="3:8" ht="11.25" customHeight="1" x14ac:dyDescent="0.2">
      <c r="C97" s="1" t="s">
        <v>1950</v>
      </c>
      <c r="D97" s="1" t="s">
        <v>1239</v>
      </c>
      <c r="E97" s="16">
        <v>857</v>
      </c>
      <c r="F97" s="34">
        <v>4.9082070885836995</v>
      </c>
    </row>
    <row r="98" spans="3:8" ht="11.25" customHeight="1" x14ac:dyDescent="0.2">
      <c r="C98" s="1" t="s">
        <v>6410</v>
      </c>
      <c r="D98" s="1" t="s">
        <v>1548</v>
      </c>
      <c r="E98" s="16">
        <v>1179</v>
      </c>
      <c r="F98" s="34">
        <v>12.57728066449573</v>
      </c>
    </row>
    <row r="99" spans="3:8" ht="11.25" customHeight="1" x14ac:dyDescent="0.2">
      <c r="C99" s="1" t="s">
        <v>6411</v>
      </c>
      <c r="D99" s="1" t="s">
        <v>1072</v>
      </c>
      <c r="E99" s="16">
        <v>1147</v>
      </c>
      <c r="F99" s="34">
        <v>3.9265656708669594</v>
      </c>
    </row>
    <row r="100" spans="3:8" ht="11.25" customHeight="1" x14ac:dyDescent="0.2">
      <c r="C100" s="1" t="s">
        <v>1951</v>
      </c>
      <c r="D100" s="1" t="s">
        <v>653</v>
      </c>
      <c r="E100" s="16">
        <v>1060</v>
      </c>
      <c r="F100" s="34">
        <v>10.675350417669545</v>
      </c>
    </row>
    <row r="101" spans="3:8" ht="11.25" customHeight="1" x14ac:dyDescent="0.2">
      <c r="C101" s="1" t="s">
        <v>1705</v>
      </c>
      <c r="D101" s="1" t="s">
        <v>1918</v>
      </c>
      <c r="E101" s="16">
        <v>973</v>
      </c>
      <c r="F101" s="34">
        <v>8.6601538534145082</v>
      </c>
    </row>
    <row r="102" spans="3:8" ht="11.25" customHeight="1" x14ac:dyDescent="0.2">
      <c r="C102" s="1" t="s">
        <v>6412</v>
      </c>
      <c r="D102" s="1" t="s">
        <v>1239</v>
      </c>
      <c r="E102" s="16">
        <v>881</v>
      </c>
      <c r="F102" s="34">
        <v>3.5159752701873614</v>
      </c>
    </row>
    <row r="103" spans="3:8" ht="11.25" customHeight="1" x14ac:dyDescent="0.2">
      <c r="C103" s="1" t="s">
        <v>6413</v>
      </c>
      <c r="D103" s="1" t="s">
        <v>1072</v>
      </c>
      <c r="E103" s="16">
        <v>858</v>
      </c>
      <c r="F103" s="34">
        <v>3.549011279437444</v>
      </c>
    </row>
    <row r="104" spans="3:8" ht="11.25" customHeight="1" x14ac:dyDescent="0.2">
      <c r="C104" s="1" t="s">
        <v>6414</v>
      </c>
      <c r="D104" s="1" t="s">
        <v>1239</v>
      </c>
      <c r="E104" s="16">
        <v>782</v>
      </c>
      <c r="F104" s="34">
        <v>15.24375855396668</v>
      </c>
    </row>
    <row r="105" spans="3:8" ht="11.25" customHeight="1" x14ac:dyDescent="0.2">
      <c r="C105" s="1" t="s">
        <v>1700</v>
      </c>
      <c r="D105" s="1" t="s">
        <v>1918</v>
      </c>
      <c r="E105" s="16">
        <v>628</v>
      </c>
      <c r="F105" s="34">
        <v>2.0859880126480723</v>
      </c>
    </row>
    <row r="106" spans="3:8" ht="11.25" customHeight="1" x14ac:dyDescent="0.2">
      <c r="C106" s="1" t="s">
        <v>6415</v>
      </c>
      <c r="D106" s="1" t="s">
        <v>1918</v>
      </c>
      <c r="E106" s="16">
        <v>605</v>
      </c>
      <c r="F106" s="34">
        <v>6.2815611874085606</v>
      </c>
    </row>
    <row r="107" spans="3:8" ht="11.25" customHeight="1" x14ac:dyDescent="0.2">
      <c r="C107" s="1" t="s">
        <v>6416</v>
      </c>
      <c r="D107" s="1" t="s">
        <v>1072</v>
      </c>
      <c r="E107" s="16">
        <v>561</v>
      </c>
      <c r="F107" s="34">
        <v>0.89197224975222988</v>
      </c>
    </row>
    <row r="108" spans="3:8" ht="11.25" customHeight="1" x14ac:dyDescent="0.2">
      <c r="C108" s="1" t="s">
        <v>6304</v>
      </c>
      <c r="D108" s="1" t="s">
        <v>1918</v>
      </c>
      <c r="E108" s="16">
        <v>478</v>
      </c>
      <c r="F108" s="34">
        <v>9.5002123743451783</v>
      </c>
    </row>
    <row r="109" spans="3:8" ht="11.25" customHeight="1" x14ac:dyDescent="0.2">
      <c r="C109" s="1" t="s">
        <v>10</v>
      </c>
      <c r="D109" s="1" t="s">
        <v>1239</v>
      </c>
      <c r="E109" s="16">
        <v>361</v>
      </c>
      <c r="F109" s="34">
        <v>2.1284628816838924</v>
      </c>
    </row>
    <row r="110" spans="3:8" ht="11.25" customHeight="1" x14ac:dyDescent="0.2">
      <c r="C110" s="1" t="s">
        <v>6417</v>
      </c>
      <c r="D110" s="1" t="s">
        <v>653</v>
      </c>
      <c r="E110" s="16">
        <v>140</v>
      </c>
    </row>
    <row r="111" spans="3:8" ht="11.25" customHeight="1" x14ac:dyDescent="0.2">
      <c r="E111" s="155">
        <v>18721</v>
      </c>
      <c r="F111" s="156">
        <v>100</v>
      </c>
      <c r="G111" s="157">
        <v>33741</v>
      </c>
      <c r="H111" s="158">
        <v>55.5</v>
      </c>
    </row>
    <row r="112" spans="3:8" ht="11.25" customHeight="1" x14ac:dyDescent="0.2"/>
    <row r="113" spans="1:8" ht="11.25" customHeight="1" x14ac:dyDescent="0.2">
      <c r="B113" s="1">
        <v>2</v>
      </c>
      <c r="C113" s="2" t="s">
        <v>2033</v>
      </c>
      <c r="D113" s="1" t="s">
        <v>3173</v>
      </c>
      <c r="E113" s="16">
        <v>3026</v>
      </c>
    </row>
    <row r="114" spans="1:8" ht="11.25" customHeight="1" x14ac:dyDescent="0.2">
      <c r="C114" s="2" t="s">
        <v>2313</v>
      </c>
      <c r="D114" s="1" t="s">
        <v>1239</v>
      </c>
      <c r="E114" s="16">
        <v>3026</v>
      </c>
    </row>
    <row r="115" spans="1:8" ht="11.25" customHeight="1" x14ac:dyDescent="0.2">
      <c r="C115" s="2" t="s">
        <v>458</v>
      </c>
      <c r="D115" s="1" t="s">
        <v>1918</v>
      </c>
      <c r="E115" s="16">
        <v>3026</v>
      </c>
    </row>
    <row r="116" spans="1:8" ht="11.25" customHeight="1" x14ac:dyDescent="0.2">
      <c r="C116" s="2" t="s">
        <v>460</v>
      </c>
      <c r="D116" s="1" t="s">
        <v>1072</v>
      </c>
      <c r="E116" s="16">
        <v>2940</v>
      </c>
    </row>
    <row r="117" spans="1:8" ht="11.25" customHeight="1" x14ac:dyDescent="0.2">
      <c r="C117" s="2" t="s">
        <v>1950</v>
      </c>
      <c r="D117" s="1" t="s">
        <v>1239</v>
      </c>
      <c r="E117" s="16">
        <v>2265</v>
      </c>
    </row>
    <row r="118" spans="1:8" ht="11.25" customHeight="1" x14ac:dyDescent="0.2"/>
    <row r="119" spans="1:8" ht="11.25" customHeight="1" x14ac:dyDescent="0.2">
      <c r="A119" s="1" t="s">
        <v>1711</v>
      </c>
      <c r="C119" s="2" t="s">
        <v>1713</v>
      </c>
      <c r="D119" s="1" t="s">
        <v>3173</v>
      </c>
      <c r="E119" s="16">
        <v>922</v>
      </c>
      <c r="F119" s="34">
        <v>39.602053915275995</v>
      </c>
    </row>
    <row r="120" spans="1:8" ht="11.25" customHeight="1" x14ac:dyDescent="0.2">
      <c r="C120" s="1" t="s">
        <v>6418</v>
      </c>
      <c r="D120" s="1" t="s">
        <v>1072</v>
      </c>
      <c r="E120" s="16">
        <v>464</v>
      </c>
    </row>
    <row r="121" spans="1:8" ht="11.25" customHeight="1" x14ac:dyDescent="0.2">
      <c r="C121" s="1" t="s">
        <v>6419</v>
      </c>
      <c r="D121" s="1" t="s">
        <v>1239</v>
      </c>
      <c r="E121" s="16">
        <v>189</v>
      </c>
      <c r="F121" s="34">
        <v>60.397946084724005</v>
      </c>
    </row>
    <row r="122" spans="1:8" ht="11.25" customHeight="1" x14ac:dyDescent="0.2">
      <c r="E122" s="155">
        <v>1685</v>
      </c>
      <c r="F122" s="156">
        <v>100</v>
      </c>
      <c r="G122" s="157">
        <v>2169</v>
      </c>
      <c r="H122" s="158">
        <v>77.7</v>
      </c>
    </row>
    <row r="123" spans="1:8" ht="11.25" customHeight="1" x14ac:dyDescent="0.2">
      <c r="C123" s="2"/>
    </row>
    <row r="124" spans="1:8" ht="11.25" customHeight="1" x14ac:dyDescent="0.2">
      <c r="A124" s="1" t="s">
        <v>2269</v>
      </c>
      <c r="B124" s="1">
        <v>1</v>
      </c>
      <c r="C124" s="1" t="s">
        <v>2588</v>
      </c>
      <c r="D124" s="1" t="s">
        <v>1918</v>
      </c>
      <c r="E124" s="16">
        <v>1116</v>
      </c>
      <c r="F124" s="34">
        <v>75.801930862659603</v>
      </c>
    </row>
    <row r="125" spans="1:8" ht="11.25" customHeight="1" x14ac:dyDescent="0.2">
      <c r="C125" s="1" t="s">
        <v>6420</v>
      </c>
      <c r="D125" s="1" t="s">
        <v>1239</v>
      </c>
      <c r="E125" s="16">
        <v>963</v>
      </c>
      <c r="F125" s="34">
        <v>24.198069137340394</v>
      </c>
    </row>
    <row r="126" spans="1:8" ht="11.25" customHeight="1" x14ac:dyDescent="0.2">
      <c r="C126" s="1" t="s">
        <v>6421</v>
      </c>
      <c r="D126" s="1" t="s">
        <v>1072</v>
      </c>
      <c r="E126" s="16">
        <v>702</v>
      </c>
    </row>
    <row r="127" spans="1:8" ht="11.25" customHeight="1" x14ac:dyDescent="0.2">
      <c r="E127" s="155">
        <v>2786</v>
      </c>
      <c r="F127" s="156">
        <v>100</v>
      </c>
      <c r="G127" s="157">
        <v>4765</v>
      </c>
      <c r="H127" s="158">
        <v>58.5</v>
      </c>
    </row>
    <row r="128" spans="1:8" ht="11.25" customHeight="1" x14ac:dyDescent="0.2">
      <c r="E128" s="27"/>
      <c r="F128" s="35"/>
      <c r="G128" s="151"/>
      <c r="H128" s="85"/>
    </row>
    <row r="129" spans="1:8" ht="11.25" customHeight="1" x14ac:dyDescent="0.2">
      <c r="B129" s="1">
        <v>2</v>
      </c>
      <c r="C129" s="2" t="s">
        <v>2588</v>
      </c>
      <c r="D129" s="1" t="s">
        <v>1918</v>
      </c>
      <c r="E129" s="27">
        <v>1219</v>
      </c>
      <c r="F129" s="35"/>
      <c r="G129" s="151"/>
      <c r="H129" s="85"/>
    </row>
    <row r="130" spans="1:8" ht="11.25" customHeight="1" x14ac:dyDescent="0.2">
      <c r="C130" s="1" t="s">
        <v>6420</v>
      </c>
      <c r="D130" s="1" t="s">
        <v>1239</v>
      </c>
      <c r="E130" s="27">
        <v>1139</v>
      </c>
      <c r="F130" s="35"/>
      <c r="G130" s="151"/>
      <c r="H130" s="85"/>
    </row>
    <row r="131" spans="1:8" ht="11.25" customHeight="1" x14ac:dyDescent="0.2"/>
    <row r="132" spans="1:8" ht="11.25" customHeight="1" x14ac:dyDescent="0.2">
      <c r="A132" s="1" t="s">
        <v>3265</v>
      </c>
      <c r="C132" s="2" t="s">
        <v>1715</v>
      </c>
      <c r="D132" s="1" t="s">
        <v>3173</v>
      </c>
      <c r="E132" s="16">
        <v>1584</v>
      </c>
      <c r="F132" s="34">
        <v>59.430740037950663</v>
      </c>
    </row>
    <row r="133" spans="1:8" ht="11.25" customHeight="1" x14ac:dyDescent="0.2">
      <c r="C133" s="1" t="s">
        <v>6422</v>
      </c>
      <c r="D133" s="1" t="s">
        <v>1239</v>
      </c>
      <c r="E133" s="16">
        <v>722</v>
      </c>
      <c r="F133" s="34">
        <v>40.569259962049337</v>
      </c>
    </row>
    <row r="134" spans="1:8" ht="11.25" customHeight="1" x14ac:dyDescent="0.2">
      <c r="C134" s="1" t="s">
        <v>6423</v>
      </c>
      <c r="D134" s="1" t="s">
        <v>1072</v>
      </c>
      <c r="E134" s="16">
        <v>478</v>
      </c>
    </row>
    <row r="135" spans="1:8" ht="11.25" customHeight="1" x14ac:dyDescent="0.2">
      <c r="E135" s="155">
        <v>2950</v>
      </c>
      <c r="F135" s="156">
        <v>100</v>
      </c>
      <c r="G135" s="157">
        <v>4428</v>
      </c>
      <c r="H135" s="158">
        <v>66.599999999999994</v>
      </c>
    </row>
    <row r="136" spans="1:8" ht="11.25" customHeight="1" x14ac:dyDescent="0.2"/>
    <row r="137" spans="1:8" ht="11.25" customHeight="1" x14ac:dyDescent="0.2">
      <c r="A137" s="1" t="s">
        <v>0</v>
      </c>
      <c r="C137" s="2" t="s">
        <v>1720</v>
      </c>
      <c r="D137" s="1" t="s">
        <v>1072</v>
      </c>
      <c r="E137" s="16">
        <v>1224</v>
      </c>
      <c r="F137" s="34">
        <v>37.348512669849434</v>
      </c>
    </row>
    <row r="138" spans="1:8" ht="11.25" customHeight="1" x14ac:dyDescent="0.2">
      <c r="C138" s="1" t="s">
        <v>6424</v>
      </c>
      <c r="D138" s="1" t="s">
        <v>1239</v>
      </c>
      <c r="E138" s="16">
        <v>407</v>
      </c>
      <c r="F138" s="34">
        <v>62.651487330150566</v>
      </c>
    </row>
    <row r="139" spans="1:8" ht="11.25" customHeight="1" x14ac:dyDescent="0.2">
      <c r="E139" s="155">
        <v>1695</v>
      </c>
      <c r="F139" s="156">
        <v>100</v>
      </c>
      <c r="G139" s="157">
        <v>2511</v>
      </c>
      <c r="H139" s="158">
        <v>67.5</v>
      </c>
    </row>
    <row r="140" spans="1:8" ht="11.25" customHeight="1" x14ac:dyDescent="0.2">
      <c r="C140" s="2"/>
    </row>
    <row r="141" spans="1:8" ht="11.25" customHeight="1" x14ac:dyDescent="0.2">
      <c r="A141" s="1" t="s">
        <v>370</v>
      </c>
      <c r="C141" s="2" t="s">
        <v>1938</v>
      </c>
      <c r="D141" s="1" t="s">
        <v>3173</v>
      </c>
      <c r="E141" s="16">
        <v>2665</v>
      </c>
      <c r="F141" s="34">
        <v>64.084842707340329</v>
      </c>
    </row>
    <row r="142" spans="1:8" ht="11.25" customHeight="1" x14ac:dyDescent="0.2">
      <c r="C142" s="1" t="s">
        <v>6425</v>
      </c>
      <c r="D142" s="1" t="s">
        <v>1072</v>
      </c>
      <c r="E142" s="16">
        <v>778</v>
      </c>
      <c r="F142" s="34">
        <v>35.915157292659678</v>
      </c>
    </row>
    <row r="143" spans="1:8" ht="11.25" customHeight="1" x14ac:dyDescent="0.2">
      <c r="C143" s="1" t="s">
        <v>6426</v>
      </c>
      <c r="D143" s="1" t="s">
        <v>1239</v>
      </c>
      <c r="E143" s="16">
        <v>590</v>
      </c>
    </row>
    <row r="144" spans="1:8" ht="11.25" customHeight="1" x14ac:dyDescent="0.2">
      <c r="E144" s="155">
        <v>4345</v>
      </c>
      <c r="F144" s="156">
        <v>100</v>
      </c>
      <c r="G144" s="157">
        <v>6296</v>
      </c>
      <c r="H144" s="158">
        <v>69</v>
      </c>
    </row>
    <row r="145" spans="1:8" ht="11.25" customHeight="1" x14ac:dyDescent="0.2"/>
    <row r="146" spans="1:8" ht="11.25" customHeight="1" x14ac:dyDescent="0.2">
      <c r="A146" s="1" t="s">
        <v>1742</v>
      </c>
      <c r="B146" s="1">
        <v>1</v>
      </c>
      <c r="C146" s="1" t="s">
        <v>2299</v>
      </c>
      <c r="D146" s="1" t="s">
        <v>3173</v>
      </c>
      <c r="E146" s="16">
        <v>1187</v>
      </c>
      <c r="F146" s="34">
        <v>45.61467889908257</v>
      </c>
    </row>
    <row r="147" spans="1:8" ht="11.25" customHeight="1" x14ac:dyDescent="0.2">
      <c r="C147" s="1" t="s">
        <v>1940</v>
      </c>
      <c r="D147" s="1" t="s">
        <v>1072</v>
      </c>
      <c r="E147" s="16">
        <v>844</v>
      </c>
      <c r="F147" s="34">
        <v>32.220183486238533</v>
      </c>
    </row>
    <row r="148" spans="1:8" ht="11.25" customHeight="1" x14ac:dyDescent="0.2">
      <c r="C148" s="1" t="s">
        <v>6427</v>
      </c>
      <c r="D148" s="1" t="s">
        <v>1239</v>
      </c>
      <c r="E148" s="16">
        <v>534</v>
      </c>
      <c r="F148" s="34">
        <v>22.165137614678898</v>
      </c>
    </row>
    <row r="149" spans="1:8" ht="11.25" customHeight="1" x14ac:dyDescent="0.2">
      <c r="E149" s="155">
        <v>2565</v>
      </c>
      <c r="F149" s="156">
        <v>100</v>
      </c>
      <c r="G149" s="157">
        <v>3574</v>
      </c>
      <c r="H149" s="158">
        <v>71.8</v>
      </c>
    </row>
    <row r="150" spans="1:8" ht="11.25" customHeight="1" x14ac:dyDescent="0.2"/>
    <row r="151" spans="1:8" ht="11.25" customHeight="1" x14ac:dyDescent="0.2">
      <c r="B151" s="1">
        <v>2</v>
      </c>
      <c r="C151" s="2" t="s">
        <v>2299</v>
      </c>
      <c r="D151" s="1" t="s">
        <v>3173</v>
      </c>
      <c r="E151" s="16">
        <v>1327</v>
      </c>
    </row>
    <row r="152" spans="1:8" ht="11.25" customHeight="1" x14ac:dyDescent="0.2">
      <c r="C152" s="1" t="s">
        <v>1940</v>
      </c>
      <c r="D152" s="1" t="s">
        <v>1072</v>
      </c>
      <c r="E152" s="16">
        <v>1063</v>
      </c>
    </row>
    <row r="153" spans="1:8" ht="11.25" customHeight="1" x14ac:dyDescent="0.2"/>
    <row r="154" spans="1:8" ht="11.25" customHeight="1" x14ac:dyDescent="0.2">
      <c r="A154" s="1" t="s">
        <v>1744</v>
      </c>
      <c r="C154" s="2" t="s">
        <v>6428</v>
      </c>
      <c r="D154" s="1" t="s">
        <v>3173</v>
      </c>
      <c r="E154" s="16">
        <v>1891</v>
      </c>
      <c r="F154" s="34">
        <v>48.644338118022326</v>
      </c>
    </row>
    <row r="155" spans="1:8" ht="11.25" customHeight="1" x14ac:dyDescent="0.2">
      <c r="C155" s="1" t="s">
        <v>6429</v>
      </c>
      <c r="D155" s="1" t="s">
        <v>1072</v>
      </c>
      <c r="E155" s="16">
        <v>1162</v>
      </c>
    </row>
    <row r="156" spans="1:8" ht="11.25" customHeight="1" x14ac:dyDescent="0.2">
      <c r="C156" s="1" t="s">
        <v>1728</v>
      </c>
      <c r="D156" s="1" t="s">
        <v>1239</v>
      </c>
      <c r="E156" s="16">
        <v>476</v>
      </c>
      <c r="F156" s="34">
        <v>51.355661881977674</v>
      </c>
    </row>
    <row r="157" spans="1:8" ht="11.25" customHeight="1" x14ac:dyDescent="0.2">
      <c r="E157" s="155">
        <v>3738</v>
      </c>
      <c r="F157" s="156">
        <v>100</v>
      </c>
      <c r="G157" s="159">
        <v>5008</v>
      </c>
      <c r="H157" s="158">
        <v>74.599999999999994</v>
      </c>
    </row>
    <row r="158" spans="1:8" ht="11.25" customHeight="1" x14ac:dyDescent="0.2">
      <c r="G158" s="24"/>
    </row>
    <row r="159" spans="1:8" ht="11.25" customHeight="1" x14ac:dyDescent="0.2">
      <c r="A159" s="1" t="s">
        <v>1</v>
      </c>
      <c r="C159" s="2" t="s">
        <v>1729</v>
      </c>
      <c r="D159" s="1" t="s">
        <v>3173</v>
      </c>
      <c r="E159" s="155">
        <v>1757</v>
      </c>
      <c r="F159" s="160"/>
      <c r="G159" s="159"/>
      <c r="H159" s="158"/>
    </row>
    <row r="160" spans="1:8" ht="11.25" customHeight="1" x14ac:dyDescent="0.2">
      <c r="C160" s="1" t="s">
        <v>6430</v>
      </c>
      <c r="D160" s="1" t="s">
        <v>1239</v>
      </c>
      <c r="E160" s="27">
        <v>492</v>
      </c>
      <c r="F160" s="261"/>
      <c r="G160" s="260"/>
      <c r="H160" s="85"/>
    </row>
    <row r="161" spans="1:8" ht="11.25" customHeight="1" x14ac:dyDescent="0.2">
      <c r="C161" s="1" t="s">
        <v>6431</v>
      </c>
      <c r="D161" s="1" t="s">
        <v>1072</v>
      </c>
      <c r="E161" s="27">
        <v>239</v>
      </c>
      <c r="F161" s="261"/>
      <c r="G161" s="260"/>
      <c r="H161" s="85"/>
    </row>
    <row r="162" spans="1:8" ht="11.25" customHeight="1" x14ac:dyDescent="0.2">
      <c r="E162" s="27">
        <v>2632</v>
      </c>
      <c r="F162" s="261"/>
      <c r="G162" s="260">
        <v>3927</v>
      </c>
      <c r="H162" s="85">
        <v>67</v>
      </c>
    </row>
    <row r="163" spans="1:8" ht="11.25" customHeight="1" x14ac:dyDescent="0.2"/>
    <row r="164" spans="1:8" ht="11.25" customHeight="1" x14ac:dyDescent="0.2">
      <c r="A164" s="1" t="s">
        <v>1931</v>
      </c>
      <c r="B164" s="1">
        <v>1</v>
      </c>
      <c r="C164" s="1" t="s">
        <v>6432</v>
      </c>
      <c r="D164" s="1" t="s">
        <v>3173</v>
      </c>
      <c r="E164" s="16">
        <v>1961</v>
      </c>
      <c r="F164" s="34">
        <v>48.956884561891513</v>
      </c>
    </row>
    <row r="165" spans="1:8" ht="11.25" customHeight="1" x14ac:dyDescent="0.2">
      <c r="C165" s="1" t="s">
        <v>6433</v>
      </c>
      <c r="D165" s="1" t="s">
        <v>1072</v>
      </c>
      <c r="E165" s="16">
        <v>1561</v>
      </c>
    </row>
    <row r="166" spans="1:8" ht="11.25" customHeight="1" x14ac:dyDescent="0.2">
      <c r="C166" s="1" t="s">
        <v>6434</v>
      </c>
      <c r="D166" s="1" t="s">
        <v>1239</v>
      </c>
      <c r="E166" s="16">
        <v>823</v>
      </c>
      <c r="F166" s="34">
        <v>51.043115438108487</v>
      </c>
    </row>
    <row r="167" spans="1:8" ht="11.25" customHeight="1" x14ac:dyDescent="0.2">
      <c r="E167" s="155">
        <v>4574</v>
      </c>
      <c r="F167" s="156">
        <v>100</v>
      </c>
      <c r="G167" s="159">
        <v>6337</v>
      </c>
      <c r="H167" s="158">
        <v>72.2</v>
      </c>
    </row>
    <row r="168" spans="1:8" ht="11.25" customHeight="1" x14ac:dyDescent="0.2">
      <c r="E168" s="27"/>
      <c r="F168" s="35"/>
      <c r="G168" s="260"/>
      <c r="H168" s="85"/>
    </row>
    <row r="169" spans="1:8" ht="11.25" customHeight="1" x14ac:dyDescent="0.2">
      <c r="B169" s="1">
        <v>2</v>
      </c>
      <c r="C169" s="2" t="s">
        <v>6432</v>
      </c>
      <c r="D169" s="1" t="s">
        <v>3173</v>
      </c>
      <c r="E169" s="27">
        <v>2334</v>
      </c>
      <c r="F169" s="35"/>
      <c r="G169" s="260"/>
      <c r="H169" s="85"/>
    </row>
    <row r="170" spans="1:8" ht="11.25" customHeight="1" x14ac:dyDescent="0.2">
      <c r="C170" s="1" t="s">
        <v>6433</v>
      </c>
      <c r="D170" s="1" t="s">
        <v>1072</v>
      </c>
      <c r="E170" s="27">
        <v>1669</v>
      </c>
      <c r="F170" s="35"/>
      <c r="G170" s="260"/>
      <c r="H170" s="85"/>
    </row>
    <row r="171" spans="1:8" ht="11.25" customHeight="1" x14ac:dyDescent="0.2">
      <c r="G171" s="24"/>
    </row>
    <row r="172" spans="1:8" ht="11.25" customHeight="1" x14ac:dyDescent="0.2">
      <c r="A172" s="1" t="s">
        <v>3</v>
      </c>
      <c r="B172" s="1">
        <v>1</v>
      </c>
      <c r="C172" s="1" t="s">
        <v>1734</v>
      </c>
      <c r="D172" s="1" t="s">
        <v>1918</v>
      </c>
      <c r="E172" s="16">
        <v>1584</v>
      </c>
      <c r="F172" s="34">
        <v>21.664151756844149</v>
      </c>
      <c r="G172" s="24"/>
    </row>
    <row r="173" spans="1:8" ht="11.25" customHeight="1" x14ac:dyDescent="0.2">
      <c r="C173" s="1" t="s">
        <v>6435</v>
      </c>
      <c r="D173" s="1" t="s">
        <v>1239</v>
      </c>
      <c r="E173" s="16">
        <v>1459</v>
      </c>
      <c r="F173" s="34">
        <v>34.447079111877557</v>
      </c>
    </row>
    <row r="174" spans="1:8" ht="11.25" customHeight="1" x14ac:dyDescent="0.2">
      <c r="C174" s="1" t="s">
        <v>6436</v>
      </c>
      <c r="D174" s="1" t="s">
        <v>1072</v>
      </c>
      <c r="E174" s="16">
        <v>1225</v>
      </c>
      <c r="F174" s="34">
        <v>43.888769131278295</v>
      </c>
    </row>
    <row r="175" spans="1:8" ht="11.25" customHeight="1" x14ac:dyDescent="0.2">
      <c r="E175" s="155">
        <v>4541</v>
      </c>
      <c r="F175" s="156">
        <v>100</v>
      </c>
      <c r="G175" s="157">
        <v>6353</v>
      </c>
      <c r="H175" s="158">
        <v>71.5</v>
      </c>
    </row>
    <row r="176" spans="1:8" ht="11.25" customHeight="1" x14ac:dyDescent="0.2"/>
    <row r="177" spans="1:8" ht="11.25" customHeight="1" x14ac:dyDescent="0.2">
      <c r="B177" s="1">
        <v>2</v>
      </c>
      <c r="C177" s="2" t="s">
        <v>1734</v>
      </c>
      <c r="D177" s="1" t="s">
        <v>1918</v>
      </c>
      <c r="E177" s="16">
        <v>1962</v>
      </c>
    </row>
    <row r="178" spans="1:8" ht="11.25" customHeight="1" x14ac:dyDescent="0.2">
      <c r="C178" s="1" t="s">
        <v>6435</v>
      </c>
      <c r="D178" s="1" t="s">
        <v>1239</v>
      </c>
      <c r="E178" s="16">
        <v>1713</v>
      </c>
    </row>
    <row r="179" spans="1:8" ht="11.25" customHeight="1" x14ac:dyDescent="0.2"/>
    <row r="180" spans="1:8" ht="11.25" customHeight="1" x14ac:dyDescent="0.2">
      <c r="A180" s="1" t="s">
        <v>3185</v>
      </c>
      <c r="C180" s="2" t="s">
        <v>2246</v>
      </c>
      <c r="D180" s="1" t="s">
        <v>3173</v>
      </c>
      <c r="E180" s="155">
        <v>1367</v>
      </c>
      <c r="F180" s="160"/>
      <c r="G180" s="157"/>
      <c r="H180" s="158"/>
    </row>
    <row r="181" spans="1:8" ht="11.25" customHeight="1" x14ac:dyDescent="0.2">
      <c r="C181" s="1" t="s">
        <v>6437</v>
      </c>
      <c r="D181" s="1" t="s">
        <v>1072</v>
      </c>
      <c r="E181" s="27">
        <v>556</v>
      </c>
      <c r="F181" s="261"/>
      <c r="G181" s="151"/>
      <c r="H181" s="85"/>
    </row>
    <row r="182" spans="1:8" ht="11.25" customHeight="1" x14ac:dyDescent="0.2">
      <c r="C182" s="1" t="s">
        <v>6438</v>
      </c>
      <c r="D182" s="1" t="s">
        <v>1239</v>
      </c>
      <c r="E182" s="27">
        <v>475</v>
      </c>
      <c r="F182" s="261"/>
      <c r="G182" s="151"/>
      <c r="H182" s="85"/>
    </row>
    <row r="183" spans="1:8" ht="11.25" customHeight="1" x14ac:dyDescent="0.2">
      <c r="C183" s="2"/>
      <c r="E183" s="27">
        <v>2521</v>
      </c>
      <c r="F183" s="261"/>
      <c r="G183" s="151">
        <v>3235</v>
      </c>
      <c r="H183" s="85">
        <v>77.900000000000006</v>
      </c>
    </row>
    <row r="184" spans="1:8" ht="11.25" customHeight="1" x14ac:dyDescent="0.2"/>
    <row r="185" spans="1:8" ht="11.25" customHeight="1" x14ac:dyDescent="0.2">
      <c r="A185" s="1" t="s">
        <v>1752</v>
      </c>
      <c r="B185" s="1">
        <v>1</v>
      </c>
      <c r="C185" s="1" t="s">
        <v>1896</v>
      </c>
      <c r="D185" s="1" t="s">
        <v>3173</v>
      </c>
      <c r="E185" s="16">
        <v>656</v>
      </c>
      <c r="F185" s="34">
        <v>34.202650705429669</v>
      </c>
    </row>
    <row r="186" spans="1:8" ht="11.25" customHeight="1" x14ac:dyDescent="0.2">
      <c r="C186" s="1" t="s">
        <v>1897</v>
      </c>
      <c r="D186" s="1" t="s">
        <v>1072</v>
      </c>
      <c r="E186" s="16">
        <v>567</v>
      </c>
    </row>
    <row r="187" spans="1:8" ht="11.25" customHeight="1" x14ac:dyDescent="0.2">
      <c r="C187" s="1" t="s">
        <v>6439</v>
      </c>
      <c r="D187" s="1" t="s">
        <v>1239</v>
      </c>
      <c r="E187" s="16">
        <v>125</v>
      </c>
      <c r="F187" s="34">
        <v>65.797349294570324</v>
      </c>
    </row>
    <row r="188" spans="1:8" ht="11.25" customHeight="1" x14ac:dyDescent="0.2">
      <c r="E188" s="155">
        <v>1404</v>
      </c>
      <c r="F188" s="156">
        <v>100</v>
      </c>
      <c r="G188" s="157">
        <v>1769</v>
      </c>
      <c r="H188" s="158">
        <v>79.400000000000006</v>
      </c>
    </row>
    <row r="189" spans="1:8" ht="11.25" customHeight="1" x14ac:dyDescent="0.2">
      <c r="E189" s="27"/>
      <c r="F189" s="35"/>
      <c r="G189" s="151"/>
      <c r="H189" s="85"/>
    </row>
    <row r="190" spans="1:8" ht="11.25" customHeight="1" x14ac:dyDescent="0.2">
      <c r="B190" s="1">
        <v>2</v>
      </c>
      <c r="C190" s="2" t="s">
        <v>1896</v>
      </c>
      <c r="D190" s="1" t="s">
        <v>3173</v>
      </c>
      <c r="E190" s="27">
        <v>709</v>
      </c>
      <c r="F190" s="35"/>
      <c r="G190" s="151"/>
      <c r="H190" s="85"/>
    </row>
    <row r="191" spans="1:8" ht="11.25" customHeight="1" x14ac:dyDescent="0.2">
      <c r="C191" s="1" t="s">
        <v>1897</v>
      </c>
      <c r="D191" s="1" t="s">
        <v>1072</v>
      </c>
      <c r="E191" s="27">
        <v>606</v>
      </c>
      <c r="F191" s="35"/>
      <c r="G191" s="151"/>
      <c r="H191" s="85"/>
    </row>
    <row r="192" spans="1:8" ht="11.25" customHeight="1" x14ac:dyDescent="0.2"/>
    <row r="193" spans="1:8" ht="11.25" customHeight="1" x14ac:dyDescent="0.2">
      <c r="A193" s="1" t="s">
        <v>2300</v>
      </c>
      <c r="B193" s="1">
        <v>1</v>
      </c>
      <c r="C193" s="1" t="s">
        <v>6442</v>
      </c>
      <c r="D193" s="1" t="s">
        <v>1072</v>
      </c>
      <c r="E193" s="16">
        <v>1574</v>
      </c>
      <c r="F193" s="34">
        <v>29.80046644208344</v>
      </c>
    </row>
    <row r="194" spans="1:8" ht="11.25" customHeight="1" x14ac:dyDescent="0.2">
      <c r="C194" s="1" t="s">
        <v>6440</v>
      </c>
      <c r="D194" s="1" t="s">
        <v>1239</v>
      </c>
      <c r="E194" s="16">
        <v>1279</v>
      </c>
      <c r="F194" s="34">
        <v>24.229074889867842</v>
      </c>
    </row>
    <row r="195" spans="1:8" ht="11.25" customHeight="1" x14ac:dyDescent="0.2">
      <c r="C195" s="1" t="s">
        <v>6441</v>
      </c>
      <c r="D195" s="1" t="s">
        <v>1918</v>
      </c>
      <c r="E195" s="16">
        <v>718</v>
      </c>
      <c r="F195" s="34">
        <v>45.970458668048714</v>
      </c>
    </row>
    <row r="196" spans="1:8" ht="11.25" customHeight="1" x14ac:dyDescent="0.2">
      <c r="E196" s="155">
        <v>3835</v>
      </c>
      <c r="F196" s="156">
        <v>100</v>
      </c>
      <c r="G196" s="157">
        <v>5302</v>
      </c>
      <c r="H196" s="158">
        <v>72.3</v>
      </c>
    </row>
    <row r="197" spans="1:8" ht="11.25" customHeight="1" x14ac:dyDescent="0.2"/>
    <row r="198" spans="1:8" ht="11.25" customHeight="1" x14ac:dyDescent="0.2">
      <c r="B198" s="1">
        <v>2</v>
      </c>
      <c r="C198" s="2" t="s">
        <v>6442</v>
      </c>
      <c r="D198" s="1" t="s">
        <v>1072</v>
      </c>
      <c r="E198" s="16">
        <v>1701</v>
      </c>
    </row>
    <row r="199" spans="1:8" ht="11.25" customHeight="1" x14ac:dyDescent="0.2">
      <c r="C199" s="2" t="s">
        <v>6440</v>
      </c>
      <c r="D199" s="1" t="s">
        <v>1239</v>
      </c>
      <c r="E199" s="16">
        <v>1487</v>
      </c>
    </row>
    <row r="200" spans="1:8" ht="11.25" customHeight="1" x14ac:dyDescent="0.2"/>
    <row r="201" spans="1:8" ht="11.25" customHeight="1" x14ac:dyDescent="0.2">
      <c r="A201" s="1" t="s">
        <v>6443</v>
      </c>
      <c r="C201" s="2" t="s">
        <v>6444</v>
      </c>
      <c r="D201" s="1" t="s">
        <v>3173</v>
      </c>
      <c r="E201" s="16">
        <v>745</v>
      </c>
      <c r="F201" s="34">
        <v>34.124767225325883</v>
      </c>
    </row>
    <row r="202" spans="1:8" ht="11.25" customHeight="1" x14ac:dyDescent="0.2">
      <c r="C202" s="1" t="s">
        <v>6445</v>
      </c>
      <c r="D202" s="1" t="s">
        <v>1239</v>
      </c>
      <c r="E202" s="16">
        <v>341</v>
      </c>
    </row>
    <row r="203" spans="1:8" ht="11.25" customHeight="1" x14ac:dyDescent="0.2">
      <c r="C203" s="1" t="s">
        <v>6446</v>
      </c>
      <c r="D203" s="1" t="s">
        <v>1072</v>
      </c>
      <c r="E203" s="16">
        <v>204</v>
      </c>
      <c r="F203" s="34">
        <v>65.875232774674117</v>
      </c>
    </row>
    <row r="204" spans="1:8" ht="11.25" customHeight="1" x14ac:dyDescent="0.2">
      <c r="E204" s="155">
        <v>1363</v>
      </c>
      <c r="F204" s="156">
        <v>100</v>
      </c>
      <c r="G204" s="157">
        <v>1816</v>
      </c>
      <c r="H204" s="158">
        <v>75.099999999999994</v>
      </c>
    </row>
    <row r="205" spans="1:8" ht="11.25" customHeight="1" x14ac:dyDescent="0.2"/>
    <row r="206" spans="1:8" ht="11.25" customHeight="1" x14ac:dyDescent="0.2">
      <c r="A206" s="1" t="s">
        <v>6447</v>
      </c>
      <c r="C206" s="2" t="s">
        <v>1769</v>
      </c>
      <c r="D206" s="1" t="s">
        <v>3173</v>
      </c>
      <c r="E206" s="16">
        <v>920</v>
      </c>
      <c r="F206" s="34">
        <v>62.9498000888494</v>
      </c>
    </row>
    <row r="207" spans="1:8" ht="11.25" customHeight="1" x14ac:dyDescent="0.2">
      <c r="C207" s="1" t="s">
        <v>6448</v>
      </c>
      <c r="D207" s="1" t="s">
        <v>1239</v>
      </c>
      <c r="E207" s="16">
        <v>850</v>
      </c>
      <c r="F207" s="34">
        <v>37.0501999111506</v>
      </c>
    </row>
    <row r="208" spans="1:8" ht="11.25" customHeight="1" x14ac:dyDescent="0.2">
      <c r="E208" s="155">
        <v>1825</v>
      </c>
      <c r="F208" s="156">
        <v>100</v>
      </c>
      <c r="G208" s="159">
        <v>2279</v>
      </c>
      <c r="H208" s="158">
        <v>80.099999999999994</v>
      </c>
    </row>
    <row r="209" spans="1:8" ht="11.25" customHeight="1" x14ac:dyDescent="0.2">
      <c r="G209" s="24"/>
    </row>
    <row r="210" spans="1:8" ht="11.25" customHeight="1" x14ac:dyDescent="0.2">
      <c r="A210" s="1" t="s">
        <v>1241</v>
      </c>
      <c r="C210" s="2" t="s">
        <v>6449</v>
      </c>
      <c r="D210" s="1" t="s">
        <v>3173</v>
      </c>
      <c r="E210" s="16">
        <v>1613</v>
      </c>
      <c r="F210" s="34">
        <v>46.836946836946836</v>
      </c>
      <c r="G210" s="24"/>
    </row>
    <row r="211" spans="1:8" ht="11.25" customHeight="1" x14ac:dyDescent="0.2">
      <c r="C211" s="1" t="s">
        <v>6333</v>
      </c>
      <c r="D211" s="1" t="s">
        <v>1072</v>
      </c>
      <c r="E211" s="16">
        <v>708</v>
      </c>
      <c r="G211" s="24"/>
    </row>
    <row r="212" spans="1:8" ht="11.25" customHeight="1" x14ac:dyDescent="0.2">
      <c r="C212" s="1" t="s">
        <v>6450</v>
      </c>
      <c r="D212" s="1" t="s">
        <v>1239</v>
      </c>
      <c r="E212" s="16">
        <v>369</v>
      </c>
      <c r="F212" s="34">
        <v>53.163053163053164</v>
      </c>
    </row>
    <row r="213" spans="1:8" ht="11.25" customHeight="1" x14ac:dyDescent="0.2">
      <c r="E213" s="155">
        <v>2842</v>
      </c>
      <c r="F213" s="156">
        <v>100</v>
      </c>
      <c r="G213" s="157">
        <v>4044</v>
      </c>
      <c r="H213" s="158">
        <v>70.3</v>
      </c>
    </row>
    <row r="214" spans="1:8" ht="11.25" customHeight="1" x14ac:dyDescent="0.2"/>
    <row r="215" spans="1:8" ht="11.25" customHeight="1" x14ac:dyDescent="0.2">
      <c r="A215" s="1" t="s">
        <v>415</v>
      </c>
      <c r="C215" s="2" t="s">
        <v>6451</v>
      </c>
      <c r="D215" s="1" t="s">
        <v>3173</v>
      </c>
      <c r="E215" s="16">
        <v>2548</v>
      </c>
      <c r="F215" s="34">
        <v>62.605832549388523</v>
      </c>
    </row>
    <row r="216" spans="1:8" ht="11.25" customHeight="1" x14ac:dyDescent="0.2">
      <c r="C216" s="1" t="s">
        <v>6452</v>
      </c>
      <c r="D216" s="1" t="s">
        <v>1072</v>
      </c>
      <c r="E216" s="16">
        <v>1131</v>
      </c>
    </row>
    <row r="217" spans="1:8" ht="11.25" customHeight="1" x14ac:dyDescent="0.2">
      <c r="C217" s="1" t="s">
        <v>6453</v>
      </c>
      <c r="D217" s="1" t="s">
        <v>1239</v>
      </c>
      <c r="E217" s="16">
        <v>965</v>
      </c>
      <c r="F217" s="34">
        <v>37.394167450611477</v>
      </c>
    </row>
    <row r="218" spans="1:8" ht="11.25" customHeight="1" x14ac:dyDescent="0.2">
      <c r="E218" s="155">
        <v>4998</v>
      </c>
      <c r="F218" s="156">
        <v>100</v>
      </c>
      <c r="G218" s="159">
        <v>7050</v>
      </c>
      <c r="H218" s="158">
        <v>70.900000000000006</v>
      </c>
    </row>
    <row r="219" spans="1:8" ht="11.25" customHeight="1" x14ac:dyDescent="0.2">
      <c r="G219" s="24"/>
    </row>
    <row r="220" spans="1:8" ht="11.25" customHeight="1" x14ac:dyDescent="0.2">
      <c r="A220" s="1" t="s">
        <v>718</v>
      </c>
      <c r="C220" s="2" t="s">
        <v>1327</v>
      </c>
      <c r="D220" s="1" t="s">
        <v>3173</v>
      </c>
      <c r="E220" s="16">
        <v>1930</v>
      </c>
      <c r="F220" s="34">
        <v>35.648432698217576</v>
      </c>
      <c r="G220" s="24"/>
    </row>
    <row r="221" spans="1:8" ht="11.25" customHeight="1" x14ac:dyDescent="0.2">
      <c r="C221" s="1" t="s">
        <v>6454</v>
      </c>
      <c r="D221" s="1" t="s">
        <v>1072</v>
      </c>
      <c r="E221" s="16">
        <v>886</v>
      </c>
      <c r="G221" s="24"/>
    </row>
    <row r="222" spans="1:8" ht="11.25" customHeight="1" x14ac:dyDescent="0.2">
      <c r="C222" s="1" t="s">
        <v>6455</v>
      </c>
      <c r="D222" s="1" t="s">
        <v>1239</v>
      </c>
      <c r="E222" s="16">
        <v>427</v>
      </c>
      <c r="F222" s="34">
        <v>64.351567301782424</v>
      </c>
    </row>
    <row r="223" spans="1:8" ht="11.25" customHeight="1" x14ac:dyDescent="0.2">
      <c r="E223" s="155">
        <v>3396</v>
      </c>
      <c r="F223" s="156">
        <v>100</v>
      </c>
      <c r="G223" s="157">
        <v>4521</v>
      </c>
      <c r="H223" s="158">
        <v>75.099999999999994</v>
      </c>
    </row>
    <row r="224" spans="1:8" ht="11.25" customHeight="1" x14ac:dyDescent="0.2"/>
    <row r="225" spans="1:8" ht="11.25" customHeight="1" x14ac:dyDescent="0.2">
      <c r="A225" s="1" t="s">
        <v>794</v>
      </c>
      <c r="B225" s="1">
        <v>1</v>
      </c>
      <c r="C225" s="1" t="s">
        <v>6456</v>
      </c>
      <c r="D225" s="1" t="s">
        <v>3173</v>
      </c>
      <c r="E225" s="16">
        <v>542</v>
      </c>
      <c r="F225" s="34">
        <v>51.037786056412983</v>
      </c>
    </row>
    <row r="226" spans="1:8" ht="11.25" customHeight="1" x14ac:dyDescent="0.2">
      <c r="C226" s="1" t="s">
        <v>796</v>
      </c>
      <c r="D226" s="1" t="s">
        <v>1072</v>
      </c>
      <c r="E226" s="16">
        <v>592</v>
      </c>
    </row>
    <row r="227" spans="1:8" ht="11.25" customHeight="1" x14ac:dyDescent="0.2">
      <c r="C227" s="1" t="s">
        <v>797</v>
      </c>
      <c r="D227" s="1" t="s">
        <v>1239</v>
      </c>
      <c r="E227" s="16">
        <v>471</v>
      </c>
      <c r="F227" s="34">
        <v>48.962213943587017</v>
      </c>
    </row>
    <row r="228" spans="1:8" ht="11.25" customHeight="1" x14ac:dyDescent="0.2">
      <c r="E228" s="155">
        <v>1642</v>
      </c>
      <c r="F228" s="156">
        <v>100</v>
      </c>
      <c r="G228" s="157">
        <v>1868</v>
      </c>
      <c r="H228" s="158">
        <v>87.9</v>
      </c>
    </row>
    <row r="229" spans="1:8" ht="11.25" customHeight="1" x14ac:dyDescent="0.2">
      <c r="E229" s="27"/>
      <c r="F229" s="35"/>
      <c r="G229" s="151"/>
      <c r="H229" s="85"/>
    </row>
    <row r="230" spans="1:8" ht="11.25" customHeight="1" x14ac:dyDescent="0.2">
      <c r="B230" s="1">
        <v>2</v>
      </c>
      <c r="C230" s="2" t="s">
        <v>6456</v>
      </c>
      <c r="D230" s="1" t="s">
        <v>3173</v>
      </c>
      <c r="E230" s="27"/>
      <c r="F230" s="35"/>
      <c r="G230" s="151"/>
      <c r="H230" s="85"/>
    </row>
    <row r="231" spans="1:8" ht="11.25" customHeight="1" x14ac:dyDescent="0.2">
      <c r="C231" s="1" t="s">
        <v>796</v>
      </c>
      <c r="D231" s="1" t="s">
        <v>1072</v>
      </c>
      <c r="E231" s="27"/>
      <c r="F231" s="35"/>
      <c r="G231" s="151"/>
      <c r="H231" s="85"/>
    </row>
    <row r="232" spans="1:8" ht="11.25" customHeight="1" x14ac:dyDescent="0.2"/>
    <row r="233" spans="1:8" ht="11.25" customHeight="1" x14ac:dyDescent="0.2">
      <c r="A233" s="1" t="s">
        <v>2340</v>
      </c>
      <c r="C233" s="2" t="s">
        <v>1904</v>
      </c>
      <c r="D233" s="1" t="s">
        <v>3173</v>
      </c>
      <c r="E233" s="155">
        <v>1357</v>
      </c>
      <c r="F233" s="160"/>
      <c r="G233" s="157"/>
      <c r="H233" s="158"/>
    </row>
    <row r="234" spans="1:8" ht="11.25" customHeight="1" x14ac:dyDescent="0.2">
      <c r="C234" s="1" t="s">
        <v>6457</v>
      </c>
      <c r="D234" s="1" t="s">
        <v>1239</v>
      </c>
      <c r="E234" s="27">
        <v>347</v>
      </c>
      <c r="F234" s="261"/>
      <c r="G234" s="151"/>
      <c r="H234" s="85"/>
    </row>
    <row r="235" spans="1:8" ht="11.25" customHeight="1" x14ac:dyDescent="0.2">
      <c r="C235" s="1" t="s">
        <v>6458</v>
      </c>
      <c r="D235" s="1" t="s">
        <v>1072</v>
      </c>
      <c r="E235" s="27">
        <v>453</v>
      </c>
      <c r="F235" s="261"/>
      <c r="G235" s="151"/>
      <c r="H235" s="85"/>
    </row>
    <row r="236" spans="1:8" ht="11.25" customHeight="1" x14ac:dyDescent="0.2">
      <c r="C236" s="2"/>
      <c r="E236" s="27">
        <v>1654</v>
      </c>
      <c r="F236" s="261"/>
      <c r="G236" s="151">
        <v>3207</v>
      </c>
      <c r="H236" s="85">
        <v>51.6</v>
      </c>
    </row>
    <row r="237" spans="1:8" ht="11.25" customHeight="1" x14ac:dyDescent="0.2"/>
    <row r="238" spans="1:8" ht="11.25" customHeight="1" x14ac:dyDescent="0.2">
      <c r="A238" s="1" t="s">
        <v>2341</v>
      </c>
      <c r="B238" s="1">
        <v>1</v>
      </c>
      <c r="C238" s="1" t="s">
        <v>1905</v>
      </c>
      <c r="D238" s="1" t="s">
        <v>3173</v>
      </c>
      <c r="E238" s="16">
        <v>1450</v>
      </c>
      <c r="F238" s="34">
        <v>48.952380952380949</v>
      </c>
    </row>
    <row r="239" spans="1:8" ht="11.25" customHeight="1" x14ac:dyDescent="0.2">
      <c r="C239" s="1" t="s">
        <v>1906</v>
      </c>
      <c r="D239" s="1" t="s">
        <v>1239</v>
      </c>
      <c r="E239" s="16">
        <v>1329</v>
      </c>
      <c r="F239" s="34">
        <v>51.047619047619051</v>
      </c>
    </row>
    <row r="240" spans="1:8" ht="11.25" customHeight="1" x14ac:dyDescent="0.2">
      <c r="C240" s="1" t="s">
        <v>6459</v>
      </c>
      <c r="D240" s="1" t="s">
        <v>1072</v>
      </c>
      <c r="E240" s="16">
        <v>621</v>
      </c>
    </row>
    <row r="241" spans="1:8" ht="11.25" customHeight="1" x14ac:dyDescent="0.2">
      <c r="E241" s="155">
        <v>3541</v>
      </c>
      <c r="F241" s="156">
        <v>100</v>
      </c>
      <c r="G241" s="157">
        <v>5021</v>
      </c>
      <c r="H241" s="158">
        <v>76.400000000000006</v>
      </c>
    </row>
    <row r="242" spans="1:8" ht="11.25" customHeight="1" x14ac:dyDescent="0.2">
      <c r="E242" s="27"/>
      <c r="F242" s="35"/>
      <c r="G242" s="151"/>
      <c r="H242" s="85"/>
    </row>
    <row r="243" spans="1:8" ht="11.25" customHeight="1" x14ac:dyDescent="0.2">
      <c r="B243" s="1">
        <v>2</v>
      </c>
      <c r="C243" s="2" t="s">
        <v>1905</v>
      </c>
      <c r="D243" s="1" t="s">
        <v>3173</v>
      </c>
      <c r="E243" s="27">
        <v>1641</v>
      </c>
      <c r="F243" s="35"/>
      <c r="G243" s="151"/>
      <c r="H243" s="85"/>
    </row>
    <row r="244" spans="1:8" ht="11.25" customHeight="1" x14ac:dyDescent="0.2">
      <c r="C244" s="1" t="s">
        <v>1906</v>
      </c>
      <c r="D244" s="1" t="s">
        <v>1239</v>
      </c>
      <c r="E244" s="27">
        <v>1524</v>
      </c>
      <c r="F244" s="35"/>
      <c r="G244" s="151"/>
      <c r="H244" s="85"/>
    </row>
    <row r="245" spans="1:8" ht="11.25" customHeight="1" x14ac:dyDescent="0.2"/>
    <row r="246" spans="1:8" ht="11.25" customHeight="1" x14ac:dyDescent="0.2">
      <c r="A246" s="1" t="s">
        <v>807</v>
      </c>
      <c r="C246" s="2" t="s">
        <v>809</v>
      </c>
      <c r="D246" s="1" t="s">
        <v>3173</v>
      </c>
      <c r="E246" s="16">
        <v>1524</v>
      </c>
      <c r="F246" s="34">
        <v>60.143884892086334</v>
      </c>
    </row>
    <row r="247" spans="1:8" ht="11.25" customHeight="1" x14ac:dyDescent="0.2">
      <c r="C247" s="1" t="s">
        <v>6460</v>
      </c>
      <c r="D247" s="1" t="s">
        <v>1072</v>
      </c>
      <c r="E247" s="16">
        <v>622</v>
      </c>
      <c r="F247" s="34">
        <v>9.7482014388489215</v>
      </c>
    </row>
    <row r="248" spans="1:8" ht="11.25" customHeight="1" x14ac:dyDescent="0.2">
      <c r="C248" s="1" t="s">
        <v>6461</v>
      </c>
      <c r="D248" s="1" t="s">
        <v>1239</v>
      </c>
      <c r="E248" s="16">
        <v>284</v>
      </c>
      <c r="F248" s="34">
        <v>30.107913669064747</v>
      </c>
    </row>
    <row r="249" spans="1:8" ht="11.25" customHeight="1" x14ac:dyDescent="0.2">
      <c r="E249" s="155">
        <v>2645</v>
      </c>
      <c r="F249" s="156">
        <v>100</v>
      </c>
      <c r="G249" s="157">
        <v>3767</v>
      </c>
      <c r="H249" s="158">
        <v>70.2</v>
      </c>
    </row>
    <row r="250" spans="1:8" ht="11.25" customHeight="1" x14ac:dyDescent="0.2"/>
    <row r="251" spans="1:8" ht="11.25" customHeight="1" x14ac:dyDescent="0.2">
      <c r="A251" s="1" t="s">
        <v>810</v>
      </c>
      <c r="C251" s="2" t="s">
        <v>6462</v>
      </c>
      <c r="D251" s="1" t="s">
        <v>1918</v>
      </c>
      <c r="E251" s="16">
        <v>1765</v>
      </c>
      <c r="F251" s="34">
        <v>50.015590894917366</v>
      </c>
    </row>
    <row r="252" spans="1:8" ht="11.25" customHeight="1" x14ac:dyDescent="0.2">
      <c r="C252" s="1" t="s">
        <v>6463</v>
      </c>
      <c r="D252" s="1" t="s">
        <v>1239</v>
      </c>
      <c r="E252" s="16">
        <v>801</v>
      </c>
      <c r="F252" s="34">
        <v>25.569067664483942</v>
      </c>
    </row>
    <row r="253" spans="1:8" ht="11.25" customHeight="1" x14ac:dyDescent="0.2">
      <c r="C253" s="1" t="s">
        <v>6464</v>
      </c>
      <c r="D253" s="1" t="s">
        <v>1072</v>
      </c>
      <c r="E253" s="16">
        <v>786</v>
      </c>
      <c r="F253" s="34">
        <v>24.415341440598691</v>
      </c>
    </row>
    <row r="254" spans="1:8" ht="11.25" customHeight="1" x14ac:dyDescent="0.2">
      <c r="E254" s="155">
        <v>3701</v>
      </c>
      <c r="F254" s="156">
        <v>100</v>
      </c>
      <c r="G254" s="159">
        <v>5718</v>
      </c>
      <c r="H254" s="158">
        <v>64.7</v>
      </c>
    </row>
    <row r="255" spans="1:8" ht="11.25" customHeight="1" x14ac:dyDescent="0.2"/>
    <row r="256" spans="1:8" ht="11.25" customHeight="1" x14ac:dyDescent="0.2">
      <c r="A256" s="1" t="s">
        <v>1385</v>
      </c>
      <c r="C256" s="2" t="s">
        <v>1462</v>
      </c>
      <c r="D256" s="1" t="s">
        <v>3173</v>
      </c>
      <c r="E256" s="16">
        <v>2264</v>
      </c>
      <c r="F256" s="34">
        <v>73.229873908826377</v>
      </c>
    </row>
    <row r="257" spans="1:8" ht="11.25" customHeight="1" x14ac:dyDescent="0.2">
      <c r="C257" s="1" t="s">
        <v>6465</v>
      </c>
      <c r="D257" s="1" t="s">
        <v>1072</v>
      </c>
      <c r="E257" s="16">
        <v>694</v>
      </c>
    </row>
    <row r="258" spans="1:8" ht="11.25" customHeight="1" x14ac:dyDescent="0.2">
      <c r="C258" s="1" t="s">
        <v>6466</v>
      </c>
      <c r="D258" s="1" t="s">
        <v>1239</v>
      </c>
      <c r="E258" s="16">
        <v>468</v>
      </c>
      <c r="F258" s="34">
        <v>26.770126091173619</v>
      </c>
    </row>
    <row r="259" spans="1:8" ht="11.25" customHeight="1" x14ac:dyDescent="0.2">
      <c r="E259" s="155">
        <v>3580</v>
      </c>
      <c r="F259" s="156">
        <v>100</v>
      </c>
      <c r="G259" s="157">
        <v>5074</v>
      </c>
      <c r="H259" s="158">
        <v>70.599999999999994</v>
      </c>
    </row>
    <row r="260" spans="1:8" ht="11.25" customHeight="1" x14ac:dyDescent="0.2">
      <c r="G260" s="24"/>
    </row>
    <row r="261" spans="1:8" ht="11.25" customHeight="1" x14ac:dyDescent="0.2">
      <c r="A261" s="1" t="s">
        <v>446</v>
      </c>
      <c r="B261" s="1">
        <v>1</v>
      </c>
      <c r="C261" s="1" t="s">
        <v>1463</v>
      </c>
      <c r="D261" s="1" t="s">
        <v>1072</v>
      </c>
      <c r="E261" s="16">
        <v>1058</v>
      </c>
      <c r="F261" s="34">
        <v>44.860896445131374</v>
      </c>
      <c r="G261" s="24"/>
    </row>
    <row r="262" spans="1:8" ht="11.25" customHeight="1" x14ac:dyDescent="0.2">
      <c r="C262" s="1" t="s">
        <v>6467</v>
      </c>
      <c r="D262" s="1" t="s">
        <v>1548</v>
      </c>
      <c r="E262" s="16">
        <v>683</v>
      </c>
      <c r="G262" s="24"/>
    </row>
    <row r="263" spans="1:8" ht="11.25" customHeight="1" x14ac:dyDescent="0.2">
      <c r="C263" s="1" t="s">
        <v>6468</v>
      </c>
      <c r="D263" s="1" t="s">
        <v>3173</v>
      </c>
      <c r="E263" s="16">
        <v>628</v>
      </c>
      <c r="G263" s="24"/>
    </row>
    <row r="264" spans="1:8" ht="11.25" customHeight="1" x14ac:dyDescent="0.2">
      <c r="C264" s="1" t="s">
        <v>6469</v>
      </c>
      <c r="D264" s="1" t="s">
        <v>1239</v>
      </c>
      <c r="E264" s="16">
        <v>85</v>
      </c>
      <c r="F264" s="34">
        <v>55.139103554868626</v>
      </c>
    </row>
    <row r="265" spans="1:8" ht="11.25" customHeight="1" x14ac:dyDescent="0.2">
      <c r="E265" s="155">
        <v>2573</v>
      </c>
      <c r="F265" s="156">
        <v>100</v>
      </c>
      <c r="G265" s="157">
        <v>3047</v>
      </c>
      <c r="H265" s="158">
        <v>84.4</v>
      </c>
    </row>
    <row r="266" spans="1:8" ht="11.25" customHeight="1" x14ac:dyDescent="0.2">
      <c r="E266" s="27"/>
      <c r="F266" s="35"/>
      <c r="G266" s="151"/>
      <c r="H266" s="85"/>
    </row>
    <row r="267" spans="1:8" ht="11.25" customHeight="1" x14ac:dyDescent="0.2">
      <c r="B267" s="1">
        <v>2</v>
      </c>
      <c r="C267" s="2" t="s">
        <v>1463</v>
      </c>
      <c r="D267" s="1" t="s">
        <v>1072</v>
      </c>
      <c r="E267" s="27">
        <v>1174</v>
      </c>
      <c r="F267" s="35"/>
      <c r="G267" s="151"/>
      <c r="H267" s="85"/>
    </row>
    <row r="268" spans="1:8" ht="11.25" customHeight="1" x14ac:dyDescent="0.2">
      <c r="C268" s="1" t="s">
        <v>6467</v>
      </c>
      <c r="D268" s="1" t="s">
        <v>1548</v>
      </c>
      <c r="E268" s="27">
        <v>883</v>
      </c>
      <c r="F268" s="35"/>
      <c r="G268" s="151"/>
      <c r="H268" s="85"/>
    </row>
    <row r="269" spans="1:8" ht="11.25" customHeight="1" x14ac:dyDescent="0.2"/>
    <row r="270" spans="1:8" ht="11.25" customHeight="1" x14ac:dyDescent="0.2">
      <c r="A270" s="1" t="s">
        <v>1552</v>
      </c>
      <c r="C270" s="2" t="s">
        <v>1468</v>
      </c>
      <c r="D270" s="1" t="s">
        <v>3173</v>
      </c>
      <c r="E270" s="16">
        <v>2122</v>
      </c>
      <c r="F270" s="34">
        <v>29.854242581988547</v>
      </c>
    </row>
    <row r="271" spans="1:8" ht="11.25" customHeight="1" x14ac:dyDescent="0.2">
      <c r="C271" s="1" t="s">
        <v>2274</v>
      </c>
      <c r="D271" s="1" t="s">
        <v>1239</v>
      </c>
      <c r="E271" s="16">
        <v>921</v>
      </c>
      <c r="F271" s="34">
        <v>19.807391983342008</v>
      </c>
    </row>
    <row r="272" spans="1:8" ht="11.25" customHeight="1" x14ac:dyDescent="0.2">
      <c r="C272" s="1" t="s">
        <v>6470</v>
      </c>
      <c r="D272" s="1" t="s">
        <v>1072</v>
      </c>
      <c r="E272" s="16">
        <v>837</v>
      </c>
      <c r="F272" s="34">
        <v>50.338365434669441</v>
      </c>
    </row>
    <row r="273" spans="1:8" ht="11.25" customHeight="1" x14ac:dyDescent="0.2">
      <c r="E273" s="155">
        <v>4072</v>
      </c>
      <c r="F273" s="156">
        <v>100</v>
      </c>
      <c r="G273" s="157">
        <v>5644</v>
      </c>
      <c r="H273" s="158">
        <v>72.099999999999994</v>
      </c>
    </row>
    <row r="274" spans="1:8" ht="11.25" customHeight="1" x14ac:dyDescent="0.2"/>
    <row r="275" spans="1:8" ht="11.25" customHeight="1" x14ac:dyDescent="0.2">
      <c r="A275" s="1" t="s">
        <v>2545</v>
      </c>
      <c r="C275" s="2" t="s">
        <v>6471</v>
      </c>
      <c r="D275" s="1" t="s">
        <v>3173</v>
      </c>
      <c r="E275" s="16">
        <v>759</v>
      </c>
      <c r="F275" s="34">
        <v>47.003392385978138</v>
      </c>
    </row>
    <row r="276" spans="1:8" ht="11.25" customHeight="1" x14ac:dyDescent="0.2">
      <c r="C276" s="1" t="s">
        <v>6472</v>
      </c>
      <c r="D276" s="1" t="s">
        <v>1072</v>
      </c>
      <c r="E276" s="16">
        <v>414</v>
      </c>
    </row>
    <row r="277" spans="1:8" ht="11.25" customHeight="1" x14ac:dyDescent="0.2">
      <c r="C277" s="1" t="s">
        <v>6473</v>
      </c>
      <c r="D277" s="1" t="s">
        <v>1239</v>
      </c>
      <c r="E277" s="16">
        <v>368</v>
      </c>
    </row>
    <row r="278" spans="1:8" ht="11.25" customHeight="1" x14ac:dyDescent="0.2">
      <c r="C278" s="1" t="s">
        <v>6474</v>
      </c>
      <c r="D278" s="1" t="s">
        <v>1548</v>
      </c>
      <c r="E278" s="16">
        <v>323</v>
      </c>
      <c r="F278" s="34">
        <v>52.996607614021862</v>
      </c>
    </row>
    <row r="279" spans="1:8" ht="11.25" customHeight="1" x14ac:dyDescent="0.2">
      <c r="E279" s="155">
        <v>2067</v>
      </c>
      <c r="F279" s="156">
        <v>100</v>
      </c>
      <c r="G279" s="157">
        <v>2997</v>
      </c>
      <c r="H279" s="158">
        <v>69</v>
      </c>
    </row>
    <row r="280" spans="1:8" ht="11.25" customHeight="1" x14ac:dyDescent="0.2"/>
    <row r="281" spans="1:8" ht="11.25" customHeight="1" x14ac:dyDescent="0.2">
      <c r="A281" s="1" t="s">
        <v>3262</v>
      </c>
      <c r="C281" s="2" t="s">
        <v>6475</v>
      </c>
      <c r="D281" s="1" t="s">
        <v>3173</v>
      </c>
      <c r="E281" s="16">
        <v>1453</v>
      </c>
      <c r="F281" s="34">
        <v>50.273722627737229</v>
      </c>
    </row>
    <row r="282" spans="1:8" ht="11.25" customHeight="1" x14ac:dyDescent="0.2">
      <c r="C282" s="1" t="s">
        <v>6476</v>
      </c>
      <c r="D282" s="1" t="s">
        <v>1072</v>
      </c>
      <c r="E282" s="16">
        <v>603</v>
      </c>
    </row>
    <row r="283" spans="1:8" ht="11.25" customHeight="1" x14ac:dyDescent="0.2">
      <c r="C283" s="1" t="s">
        <v>6477</v>
      </c>
      <c r="D283" s="1" t="s">
        <v>6478</v>
      </c>
      <c r="E283" s="16">
        <v>105</v>
      </c>
      <c r="F283" s="34">
        <v>49.726277372262771</v>
      </c>
    </row>
    <row r="284" spans="1:8" ht="11.25" customHeight="1" x14ac:dyDescent="0.2">
      <c r="E284" s="155">
        <v>2312</v>
      </c>
      <c r="F284" s="156">
        <v>100</v>
      </c>
      <c r="G284" s="157">
        <v>3252</v>
      </c>
      <c r="H284" s="158">
        <v>72</v>
      </c>
    </row>
    <row r="285" spans="1:8" ht="11.25" customHeight="1" x14ac:dyDescent="0.2">
      <c r="E285" s="27"/>
      <c r="F285" s="35"/>
      <c r="G285" s="151"/>
      <c r="H285" s="85"/>
    </row>
    <row r="286" spans="1:8" ht="11.25" customHeight="1" x14ac:dyDescent="0.2">
      <c r="A286" s="1" t="s">
        <v>1470</v>
      </c>
      <c r="C286" s="2" t="s">
        <v>2279</v>
      </c>
      <c r="D286" s="1" t="s">
        <v>3173</v>
      </c>
      <c r="E286" s="16">
        <v>2556</v>
      </c>
      <c r="F286" s="34">
        <v>69.362279511533245</v>
      </c>
    </row>
    <row r="287" spans="1:8" ht="11.25" customHeight="1" x14ac:dyDescent="0.2">
      <c r="C287" s="1" t="s">
        <v>1478</v>
      </c>
      <c r="D287" s="1" t="s">
        <v>1072</v>
      </c>
      <c r="E287" s="16">
        <v>1154</v>
      </c>
    </row>
    <row r="288" spans="1:8" ht="11.25" customHeight="1" x14ac:dyDescent="0.2">
      <c r="C288" s="1" t="s">
        <v>6479</v>
      </c>
      <c r="D288" s="1" t="s">
        <v>1239</v>
      </c>
      <c r="E288" s="16">
        <v>348</v>
      </c>
      <c r="F288" s="34">
        <v>30.637720488466758</v>
      </c>
    </row>
    <row r="289" spans="1:8" ht="11.25" customHeight="1" x14ac:dyDescent="0.2">
      <c r="E289" s="155">
        <v>4327</v>
      </c>
      <c r="F289" s="156">
        <v>100</v>
      </c>
      <c r="G289" s="159">
        <v>6264</v>
      </c>
      <c r="H289" s="158">
        <v>70</v>
      </c>
    </row>
    <row r="290" spans="1:8" ht="11.25" customHeight="1" x14ac:dyDescent="0.2">
      <c r="G290" s="24"/>
    </row>
    <row r="291" spans="1:8" ht="11.25" customHeight="1" x14ac:dyDescent="0.2">
      <c r="A291" s="1" t="s">
        <v>1198</v>
      </c>
      <c r="C291" s="2" t="s">
        <v>6480</v>
      </c>
      <c r="D291" s="1" t="s">
        <v>3173</v>
      </c>
      <c r="E291" s="16">
        <v>1929</v>
      </c>
      <c r="F291" s="34">
        <v>45.065398335315102</v>
      </c>
      <c r="G291" s="24"/>
    </row>
    <row r="292" spans="1:8" ht="11.25" customHeight="1" x14ac:dyDescent="0.2">
      <c r="C292" s="1" t="s">
        <v>6481</v>
      </c>
      <c r="D292" s="1" t="s">
        <v>1072</v>
      </c>
      <c r="E292" s="16">
        <v>709</v>
      </c>
      <c r="G292" s="24"/>
    </row>
    <row r="293" spans="1:8" ht="11.25" customHeight="1" x14ac:dyDescent="0.2">
      <c r="C293" s="1" t="s">
        <v>6482</v>
      </c>
      <c r="D293" s="1" t="s">
        <v>1239</v>
      </c>
      <c r="E293" s="16">
        <v>551</v>
      </c>
      <c r="F293" s="34">
        <v>54.934601664684898</v>
      </c>
    </row>
    <row r="294" spans="1:8" ht="11.25" customHeight="1" x14ac:dyDescent="0.2">
      <c r="E294" s="155">
        <v>3362</v>
      </c>
      <c r="F294" s="156">
        <v>100</v>
      </c>
      <c r="G294" s="157">
        <v>5138</v>
      </c>
      <c r="H294" s="158">
        <v>65.400000000000006</v>
      </c>
    </row>
    <row r="295" spans="1:8" ht="11.25" customHeight="1" x14ac:dyDescent="0.2"/>
    <row r="296" spans="1:8" ht="11.25" customHeight="1" x14ac:dyDescent="0.2">
      <c r="A296" s="1" t="s">
        <v>2283</v>
      </c>
      <c r="B296" s="1">
        <v>1</v>
      </c>
      <c r="C296" s="1" t="s">
        <v>1323</v>
      </c>
      <c r="D296" s="1" t="s">
        <v>3173</v>
      </c>
      <c r="E296" s="16">
        <v>1986</v>
      </c>
      <c r="F296" s="34">
        <v>57.364717301625817</v>
      </c>
    </row>
    <row r="297" spans="1:8" ht="11.25" customHeight="1" x14ac:dyDescent="0.2">
      <c r="C297" s="1" t="s">
        <v>6483</v>
      </c>
      <c r="D297" s="1" t="s">
        <v>1072</v>
      </c>
      <c r="E297" s="16">
        <v>1395</v>
      </c>
    </row>
    <row r="298" spans="1:8" ht="11.25" customHeight="1" x14ac:dyDescent="0.2">
      <c r="C298" s="1" t="s">
        <v>6484</v>
      </c>
      <c r="D298" s="1" t="s">
        <v>1239</v>
      </c>
      <c r="E298" s="16">
        <v>687</v>
      </c>
    </row>
    <row r="299" spans="1:8" ht="11.25" customHeight="1" x14ac:dyDescent="0.2">
      <c r="C299" s="1" t="s">
        <v>6485</v>
      </c>
      <c r="D299" s="1" t="s">
        <v>6478</v>
      </c>
      <c r="E299" s="16">
        <v>337</v>
      </c>
      <c r="F299" s="34">
        <v>42.635282698374183</v>
      </c>
    </row>
    <row r="300" spans="1:8" ht="11.25" customHeight="1" x14ac:dyDescent="0.2">
      <c r="E300" s="155">
        <v>4747</v>
      </c>
      <c r="F300" s="156">
        <v>100</v>
      </c>
      <c r="G300" s="159">
        <v>6674</v>
      </c>
      <c r="H300" s="158">
        <v>71.099999999999994</v>
      </c>
    </row>
    <row r="301" spans="1:8" ht="11.25" customHeight="1" x14ac:dyDescent="0.2">
      <c r="E301" s="27"/>
      <c r="F301" s="35"/>
      <c r="G301" s="260"/>
      <c r="H301" s="85"/>
    </row>
    <row r="302" spans="1:8" ht="11.25" customHeight="1" x14ac:dyDescent="0.2">
      <c r="B302" s="1">
        <v>2</v>
      </c>
      <c r="C302" s="2" t="s">
        <v>1323</v>
      </c>
      <c r="D302" s="1" t="s">
        <v>3173</v>
      </c>
      <c r="E302" s="27">
        <v>2217</v>
      </c>
      <c r="F302" s="35"/>
      <c r="G302" s="260"/>
      <c r="H302" s="85"/>
    </row>
    <row r="303" spans="1:8" ht="11.25" customHeight="1" x14ac:dyDescent="0.2">
      <c r="C303" s="1" t="s">
        <v>6483</v>
      </c>
      <c r="D303" s="1" t="s">
        <v>1072</v>
      </c>
      <c r="E303" s="27">
        <v>1702</v>
      </c>
      <c r="F303" s="35"/>
      <c r="G303" s="260"/>
      <c r="H303" s="85"/>
    </row>
    <row r="304" spans="1:8" ht="11.25" customHeight="1" x14ac:dyDescent="0.2">
      <c r="G304" s="24"/>
    </row>
    <row r="305" spans="1:8" ht="11.25" customHeight="1" x14ac:dyDescent="0.2">
      <c r="A305" s="1" t="s">
        <v>1309</v>
      </c>
      <c r="C305" s="2" t="s">
        <v>1489</v>
      </c>
      <c r="D305" s="1" t="s">
        <v>3173</v>
      </c>
      <c r="E305" s="16">
        <v>1981</v>
      </c>
      <c r="F305" s="34">
        <v>24.212715389185977</v>
      </c>
      <c r="G305" s="24"/>
    </row>
    <row r="306" spans="1:8" ht="11.25" customHeight="1" x14ac:dyDescent="0.2">
      <c r="C306" s="1" t="s">
        <v>6486</v>
      </c>
      <c r="D306" s="1" t="s">
        <v>1239</v>
      </c>
      <c r="E306" s="16">
        <v>592</v>
      </c>
      <c r="G306" s="24"/>
    </row>
    <row r="307" spans="1:8" ht="11.25" customHeight="1" x14ac:dyDescent="0.2">
      <c r="C307" s="1" t="s">
        <v>6487</v>
      </c>
      <c r="D307" s="1" t="s">
        <v>1072</v>
      </c>
      <c r="E307" s="16">
        <v>492</v>
      </c>
      <c r="F307" s="34">
        <v>75.787284610814027</v>
      </c>
    </row>
    <row r="308" spans="1:8" ht="11.25" customHeight="1" x14ac:dyDescent="0.2">
      <c r="E308" s="155">
        <v>3297</v>
      </c>
      <c r="F308" s="156">
        <v>100</v>
      </c>
      <c r="G308" s="157">
        <v>4886</v>
      </c>
      <c r="H308" s="158">
        <v>67.5</v>
      </c>
    </row>
    <row r="309" spans="1:8" ht="11.25" customHeight="1" x14ac:dyDescent="0.2"/>
    <row r="310" spans="1:8" ht="11.25" customHeight="1" x14ac:dyDescent="0.2">
      <c r="A310" s="1" t="s">
        <v>1492</v>
      </c>
      <c r="B310" s="1">
        <v>1</v>
      </c>
      <c r="C310" s="1" t="s">
        <v>2296</v>
      </c>
      <c r="D310" s="1" t="s">
        <v>3173</v>
      </c>
      <c r="E310" s="16">
        <v>1404</v>
      </c>
      <c r="F310" s="34">
        <v>48.210326259106743</v>
      </c>
    </row>
    <row r="311" spans="1:8" ht="11.25" customHeight="1" x14ac:dyDescent="0.2">
      <c r="C311" s="1" t="s">
        <v>6488</v>
      </c>
      <c r="D311" s="1" t="s">
        <v>1072</v>
      </c>
      <c r="E311" s="16">
        <v>1185</v>
      </c>
      <c r="F311" s="34">
        <v>50.300918593601523</v>
      </c>
    </row>
    <row r="312" spans="1:8" ht="11.25" customHeight="1" x14ac:dyDescent="0.2">
      <c r="C312" s="1" t="s">
        <v>6489</v>
      </c>
      <c r="D312" s="1" t="s">
        <v>1548</v>
      </c>
      <c r="E312" s="16">
        <v>322</v>
      </c>
    </row>
    <row r="313" spans="1:8" ht="11.25" customHeight="1" x14ac:dyDescent="0.2">
      <c r="C313" s="1" t="s">
        <v>6490</v>
      </c>
      <c r="D313" s="1" t="s">
        <v>6478</v>
      </c>
      <c r="E313" s="16">
        <v>96</v>
      </c>
    </row>
    <row r="314" spans="1:8" ht="11.25" customHeight="1" x14ac:dyDescent="0.2">
      <c r="C314" s="1" t="s">
        <v>6491</v>
      </c>
      <c r="D314" s="1" t="s">
        <v>1239</v>
      </c>
      <c r="E314" s="16">
        <v>90</v>
      </c>
      <c r="F314" s="34">
        <v>1.4887551472917326</v>
      </c>
    </row>
    <row r="315" spans="1:8" ht="11.25" customHeight="1" x14ac:dyDescent="0.2">
      <c r="E315" s="155">
        <v>3240</v>
      </c>
      <c r="F315" s="156">
        <v>100</v>
      </c>
      <c r="G315" s="159">
        <v>4691</v>
      </c>
      <c r="H315" s="158">
        <v>70</v>
      </c>
    </row>
    <row r="316" spans="1:8" ht="11.25" customHeight="1" x14ac:dyDescent="0.2">
      <c r="E316" s="27"/>
      <c r="F316" s="35"/>
      <c r="G316" s="260"/>
      <c r="H316" s="85"/>
    </row>
    <row r="317" spans="1:8" ht="11.25" customHeight="1" x14ac:dyDescent="0.2">
      <c r="B317" s="1">
        <v>2</v>
      </c>
      <c r="C317" s="2" t="s">
        <v>2296</v>
      </c>
      <c r="D317" s="1" t="s">
        <v>3173</v>
      </c>
      <c r="E317" s="27">
        <v>1476</v>
      </c>
      <c r="F317" s="35"/>
      <c r="G317" s="260"/>
      <c r="H317" s="85"/>
    </row>
    <row r="318" spans="1:8" ht="11.25" customHeight="1" x14ac:dyDescent="0.2">
      <c r="C318" s="1" t="s">
        <v>6488</v>
      </c>
      <c r="D318" s="1" t="s">
        <v>1072</v>
      </c>
      <c r="E318" s="27">
        <v>1243</v>
      </c>
      <c r="F318" s="35"/>
      <c r="G318" s="260"/>
      <c r="H318" s="85"/>
    </row>
    <row r="319" spans="1:8" ht="11.25" customHeight="1" x14ac:dyDescent="0.2">
      <c r="G319" s="24"/>
    </row>
    <row r="320" spans="1:8" ht="11.25" customHeight="1" x14ac:dyDescent="0.2">
      <c r="A320" s="1" t="s">
        <v>2564</v>
      </c>
      <c r="C320" s="2" t="s">
        <v>2301</v>
      </c>
      <c r="D320" s="1" t="s">
        <v>3173</v>
      </c>
      <c r="E320" s="16">
        <v>1609</v>
      </c>
      <c r="F320" s="34">
        <v>20.960980328926151</v>
      </c>
      <c r="G320" s="24"/>
    </row>
    <row r="321" spans="1:8" ht="11.25" customHeight="1" x14ac:dyDescent="0.2">
      <c r="C321" s="1" t="s">
        <v>6492</v>
      </c>
      <c r="D321" s="1" t="s">
        <v>1239</v>
      </c>
      <c r="E321" s="16">
        <v>1017</v>
      </c>
      <c r="F321" s="34">
        <v>46.630119316349564</v>
      </c>
    </row>
    <row r="322" spans="1:8" ht="11.25" customHeight="1" x14ac:dyDescent="0.2">
      <c r="E322" s="155">
        <v>2765</v>
      </c>
      <c r="F322" s="156">
        <v>100</v>
      </c>
      <c r="G322" s="157">
        <v>3896</v>
      </c>
      <c r="H322" s="158">
        <v>71</v>
      </c>
    </row>
    <row r="323" spans="1:8" ht="11.25" customHeight="1" x14ac:dyDescent="0.2"/>
    <row r="324" spans="1:8" ht="11.25" customHeight="1" x14ac:dyDescent="0.2">
      <c r="A324" s="1" t="s">
        <v>1199</v>
      </c>
      <c r="C324" s="2" t="s">
        <v>2308</v>
      </c>
      <c r="D324" s="1" t="s">
        <v>3173</v>
      </c>
      <c r="E324" s="16">
        <v>741</v>
      </c>
      <c r="F324" s="34">
        <v>65.43149683081424</v>
      </c>
    </row>
    <row r="325" spans="1:8" ht="11.25" customHeight="1" x14ac:dyDescent="0.2">
      <c r="C325" s="1" t="s">
        <v>6493</v>
      </c>
      <c r="D325" s="1" t="s">
        <v>1072</v>
      </c>
      <c r="E325" s="16">
        <v>225</v>
      </c>
      <c r="F325" s="34">
        <v>34.56850316918576</v>
      </c>
    </row>
    <row r="326" spans="1:8" ht="11.25" customHeight="1" x14ac:dyDescent="0.2">
      <c r="C326" s="1" t="s">
        <v>6494</v>
      </c>
      <c r="D326" s="1" t="s">
        <v>1239</v>
      </c>
      <c r="E326" s="16">
        <v>190</v>
      </c>
    </row>
    <row r="327" spans="1:8" ht="11.25" customHeight="1" x14ac:dyDescent="0.2">
      <c r="E327" s="155">
        <v>1233</v>
      </c>
      <c r="F327" s="156">
        <v>100</v>
      </c>
      <c r="G327" s="157">
        <v>1614</v>
      </c>
      <c r="H327" s="158">
        <v>76.400000000000006</v>
      </c>
    </row>
    <row r="328" spans="1:8" ht="11.25" customHeight="1" x14ac:dyDescent="0.2"/>
    <row r="329" spans="1:8" ht="11.25" customHeight="1" x14ac:dyDescent="0.2">
      <c r="A329" s="1" t="s">
        <v>1311</v>
      </c>
      <c r="B329" s="1">
        <v>1</v>
      </c>
      <c r="C329" s="1" t="s">
        <v>2311</v>
      </c>
      <c r="D329" s="1" t="s">
        <v>3173</v>
      </c>
      <c r="E329" s="16">
        <v>1274</v>
      </c>
      <c r="F329" s="34">
        <v>54.728434504792332</v>
      </c>
    </row>
    <row r="330" spans="1:8" ht="11.25" customHeight="1" x14ac:dyDescent="0.2">
      <c r="C330" s="1" t="s">
        <v>1026</v>
      </c>
      <c r="D330" s="1" t="s">
        <v>1072</v>
      </c>
      <c r="E330" s="16">
        <v>1198</v>
      </c>
      <c r="F330" s="34">
        <v>45.271565495207668</v>
      </c>
    </row>
    <row r="331" spans="1:8" ht="11.25" customHeight="1" x14ac:dyDescent="0.2">
      <c r="C331" s="1" t="s">
        <v>6495</v>
      </c>
      <c r="D331" s="1" t="s">
        <v>1239</v>
      </c>
      <c r="E331" s="16">
        <v>288</v>
      </c>
    </row>
    <row r="332" spans="1:8" ht="11.25" customHeight="1" x14ac:dyDescent="0.2">
      <c r="E332" s="155">
        <v>2899</v>
      </c>
      <c r="F332" s="156">
        <v>100</v>
      </c>
      <c r="G332" s="157">
        <v>3617</v>
      </c>
      <c r="H332" s="158">
        <v>80.099999999999994</v>
      </c>
    </row>
    <row r="333" spans="1:8" ht="11.25" customHeight="1" x14ac:dyDescent="0.2">
      <c r="E333" s="27"/>
      <c r="F333" s="35"/>
      <c r="G333" s="151"/>
      <c r="H333" s="85"/>
    </row>
    <row r="334" spans="1:8" ht="11.25" customHeight="1" x14ac:dyDescent="0.2">
      <c r="B334" s="1">
        <v>2</v>
      </c>
      <c r="C334" s="2" t="s">
        <v>2311</v>
      </c>
      <c r="D334" s="1" t="s">
        <v>3173</v>
      </c>
      <c r="E334" s="27">
        <v>1418</v>
      </c>
      <c r="F334" s="35"/>
      <c r="G334" s="151"/>
      <c r="H334" s="85"/>
    </row>
    <row r="335" spans="1:8" ht="11.25" customHeight="1" x14ac:dyDescent="0.2">
      <c r="C335" s="1" t="s">
        <v>1026</v>
      </c>
      <c r="D335" s="1" t="s">
        <v>1072</v>
      </c>
      <c r="E335" s="27">
        <v>1266</v>
      </c>
      <c r="F335" s="35"/>
      <c r="G335" s="151"/>
      <c r="H335" s="85"/>
    </row>
    <row r="336" spans="1:8" ht="11.25" customHeight="1" x14ac:dyDescent="0.2"/>
    <row r="337" spans="1:8" ht="11.25" customHeight="1" x14ac:dyDescent="0.2">
      <c r="A337" s="1" t="s">
        <v>2292</v>
      </c>
      <c r="C337" s="2" t="s">
        <v>6496</v>
      </c>
      <c r="D337" s="1" t="s">
        <v>3173</v>
      </c>
      <c r="E337" s="16">
        <v>1449</v>
      </c>
      <c r="F337" s="34">
        <v>68.874425727411946</v>
      </c>
    </row>
    <row r="338" spans="1:8" ht="11.25" customHeight="1" x14ac:dyDescent="0.2">
      <c r="C338" s="1" t="s">
        <v>1510</v>
      </c>
      <c r="D338" s="1" t="s">
        <v>6478</v>
      </c>
      <c r="E338" s="16">
        <v>373</v>
      </c>
      <c r="F338" s="34">
        <v>1.7993874425727412</v>
      </c>
    </row>
    <row r="339" spans="1:8" ht="11.25" customHeight="1" x14ac:dyDescent="0.2">
      <c r="C339" s="1" t="s">
        <v>6497</v>
      </c>
      <c r="D339" s="1" t="s">
        <v>1072</v>
      </c>
      <c r="E339" s="16">
        <v>371</v>
      </c>
    </row>
    <row r="340" spans="1:8" ht="11.25" customHeight="1" x14ac:dyDescent="0.2">
      <c r="C340" s="1" t="s">
        <v>6498</v>
      </c>
      <c r="D340" s="1" t="s">
        <v>1239</v>
      </c>
      <c r="E340" s="16">
        <v>274</v>
      </c>
    </row>
    <row r="341" spans="1:8" ht="11.25" customHeight="1" x14ac:dyDescent="0.2">
      <c r="C341" s="1" t="s">
        <v>6499</v>
      </c>
      <c r="D341" s="1" t="s">
        <v>6478</v>
      </c>
      <c r="E341" s="16">
        <v>88</v>
      </c>
      <c r="F341" s="34">
        <v>29.326186830015313</v>
      </c>
    </row>
    <row r="342" spans="1:8" ht="11.25" customHeight="1" x14ac:dyDescent="0.2">
      <c r="E342" s="155">
        <v>2669</v>
      </c>
      <c r="F342" s="156">
        <v>100</v>
      </c>
      <c r="G342" s="159">
        <v>4189</v>
      </c>
      <c r="H342" s="158">
        <v>63.7</v>
      </c>
    </row>
    <row r="343" spans="1:8" ht="11.25" customHeight="1" x14ac:dyDescent="0.2">
      <c r="G343" s="24"/>
    </row>
    <row r="344" spans="1:8" ht="11.25" customHeight="1" x14ac:dyDescent="0.2">
      <c r="F344" s="35"/>
      <c r="G344" s="24"/>
    </row>
    <row r="345" spans="1:8" ht="11.25" customHeight="1" x14ac:dyDescent="0.2">
      <c r="A345" s="22" t="s">
        <v>1131</v>
      </c>
      <c r="B345" s="22"/>
      <c r="C345" s="22"/>
      <c r="D345" s="22"/>
      <c r="E345" s="33">
        <v>183491</v>
      </c>
      <c r="F345" s="39"/>
      <c r="G345" s="23">
        <v>273750</v>
      </c>
      <c r="H345" s="120">
        <v>67</v>
      </c>
    </row>
    <row r="346" spans="1:8" ht="11.25" customHeight="1" x14ac:dyDescent="0.2"/>
    <row r="347" spans="1:8" s="5" customFormat="1" ht="11.25" customHeight="1" x14ac:dyDescent="0.2">
      <c r="A347" s="6" t="s">
        <v>1289</v>
      </c>
      <c r="B347" s="6"/>
      <c r="C347" s="8"/>
      <c r="D347" s="8"/>
      <c r="E347" s="137"/>
      <c r="F347" s="138"/>
      <c r="G347" s="139"/>
      <c r="H347" s="82"/>
    </row>
    <row r="348" spans="1:8" s="143" customFormat="1" ht="33.75" customHeight="1" x14ac:dyDescent="0.2">
      <c r="A348" s="272" t="s">
        <v>2651</v>
      </c>
      <c r="B348" s="272"/>
      <c r="C348" s="272"/>
      <c r="D348" s="272"/>
      <c r="E348" s="272"/>
      <c r="F348" s="272"/>
      <c r="G348" s="272"/>
      <c r="H348" s="272"/>
    </row>
    <row r="349" spans="1:8" s="26" customFormat="1" ht="11.25" customHeight="1" x14ac:dyDescent="0.2">
      <c r="A349" s="273" t="s">
        <v>1288</v>
      </c>
      <c r="B349" s="273"/>
      <c r="C349" s="273"/>
      <c r="D349" s="273"/>
      <c r="E349" s="273"/>
      <c r="F349" s="273"/>
      <c r="G349" s="273"/>
      <c r="H349" s="273"/>
    </row>
    <row r="350" spans="1:8" s="26" customFormat="1" ht="11.25" customHeight="1" x14ac:dyDescent="0.2">
      <c r="A350" s="274" t="s">
        <v>2654</v>
      </c>
      <c r="B350" s="274"/>
      <c r="C350" s="274"/>
      <c r="D350" s="274"/>
      <c r="E350" s="274"/>
      <c r="F350" s="274"/>
      <c r="G350" s="274"/>
      <c r="H350" s="274"/>
    </row>
    <row r="351" spans="1:8" s="26" customFormat="1" ht="11.25" customHeight="1" x14ac:dyDescent="0.2">
      <c r="A351" s="273" t="s">
        <v>2655</v>
      </c>
      <c r="B351" s="273"/>
      <c r="C351" s="273"/>
      <c r="D351" s="273"/>
      <c r="E351" s="273"/>
      <c r="F351" s="273"/>
      <c r="G351" s="273"/>
      <c r="H351" s="273"/>
    </row>
    <row r="352" spans="1:8" ht="11.25" customHeight="1" x14ac:dyDescent="0.2"/>
  </sheetData>
  <mergeCells count="6">
    <mergeCell ref="A351:H351"/>
    <mergeCell ref="A1:H1"/>
    <mergeCell ref="F2:H2"/>
    <mergeCell ref="A348:H348"/>
    <mergeCell ref="A349:H349"/>
    <mergeCell ref="A350:H350"/>
  </mergeCells>
  <pageMargins left="0.5" right="0.16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1"/>
  <sheetViews>
    <sheetView workbookViewId="0">
      <pane ySplit="3" topLeftCell="A156" activePane="bottomLeft" state="frozen"/>
      <selection activeCell="G3" sqref="G3"/>
      <selection pane="bottomLeft" activeCell="A283" sqref="A283"/>
    </sheetView>
  </sheetViews>
  <sheetFormatPr defaultRowHeight="11.25" x14ac:dyDescent="0.2"/>
  <cols>
    <col min="1" max="1" width="20.7109375" style="1" customWidth="1"/>
    <col min="2" max="2" width="2.7109375" style="1" customWidth="1"/>
    <col min="3" max="3" width="20.7109375" style="1" customWidth="1"/>
    <col min="4" max="4" width="18.7109375" style="1" customWidth="1"/>
    <col min="5" max="5" width="9.7109375" style="16" customWidth="1"/>
    <col min="6" max="6" width="9.7109375" style="34" customWidth="1"/>
    <col min="7" max="7" width="8.7109375" style="21" customWidth="1"/>
    <col min="8" max="8" width="7.7109375" style="81" customWidth="1"/>
    <col min="9" max="16384" width="9.140625" style="1"/>
  </cols>
  <sheetData>
    <row r="1" spans="1:8" s="71" customFormat="1" ht="24" customHeight="1" x14ac:dyDescent="0.2">
      <c r="A1" s="270" t="s">
        <v>2332</v>
      </c>
      <c r="B1" s="270"/>
      <c r="C1" s="270"/>
      <c r="D1" s="270"/>
      <c r="E1" s="270"/>
      <c r="F1" s="270"/>
      <c r="G1" s="270"/>
      <c r="H1" s="270"/>
    </row>
    <row r="2" spans="1:8" s="37" customFormat="1" ht="42" customHeight="1" thickBot="1" x14ac:dyDescent="0.25">
      <c r="A2" s="36" t="s">
        <v>592</v>
      </c>
      <c r="B2" s="36"/>
      <c r="C2" s="36"/>
      <c r="D2" s="75" t="s">
        <v>1312</v>
      </c>
      <c r="F2" s="271" t="s">
        <v>1277</v>
      </c>
      <c r="G2" s="271"/>
      <c r="H2" s="271"/>
    </row>
    <row r="3" spans="1:8" s="57" customFormat="1" ht="52.5" customHeight="1" thickBot="1" x14ac:dyDescent="0.25">
      <c r="A3" s="58" t="s">
        <v>1284</v>
      </c>
      <c r="B3" s="59"/>
      <c r="C3" s="59" t="s">
        <v>1285</v>
      </c>
      <c r="D3" s="59" t="s">
        <v>2652</v>
      </c>
      <c r="E3" s="73" t="s">
        <v>2653</v>
      </c>
      <c r="F3" s="74" t="s">
        <v>1286</v>
      </c>
      <c r="G3" s="73" t="s">
        <v>1287</v>
      </c>
      <c r="H3" s="74" t="s">
        <v>2656</v>
      </c>
    </row>
    <row r="4" spans="1:8" s="38" customFormat="1" ht="11.25" customHeight="1" x14ac:dyDescent="0.2">
      <c r="A4" s="62"/>
      <c r="B4" s="63"/>
      <c r="C4" s="63"/>
      <c r="D4" s="63"/>
      <c r="E4" s="64"/>
      <c r="F4" s="129"/>
      <c r="G4" s="64"/>
      <c r="H4" s="130"/>
    </row>
    <row r="5" spans="1:8" ht="11.25" customHeight="1" x14ac:dyDescent="0.2">
      <c r="A5" s="1" t="s">
        <v>3172</v>
      </c>
      <c r="C5" s="2" t="s">
        <v>1771</v>
      </c>
      <c r="D5" s="1" t="s">
        <v>3173</v>
      </c>
      <c r="E5" s="16">
        <v>2103</v>
      </c>
      <c r="F5" s="34">
        <v>71.872863978127143</v>
      </c>
    </row>
    <row r="6" spans="1:8" ht="11.25" customHeight="1" x14ac:dyDescent="0.2">
      <c r="C6" s="1" t="s">
        <v>1779</v>
      </c>
      <c r="D6" s="1" t="s">
        <v>653</v>
      </c>
      <c r="E6" s="16">
        <v>823</v>
      </c>
      <c r="F6" s="34">
        <v>28.127136021872865</v>
      </c>
    </row>
    <row r="7" spans="1:8" ht="11.25" customHeight="1" x14ac:dyDescent="0.2">
      <c r="E7" s="155" t="s">
        <v>127</v>
      </c>
      <c r="F7" s="156">
        <v>100</v>
      </c>
      <c r="G7" s="157">
        <v>4041</v>
      </c>
      <c r="H7" s="158">
        <v>74.3</v>
      </c>
    </row>
    <row r="8" spans="1:8" ht="11.25" customHeight="1" x14ac:dyDescent="0.2"/>
    <row r="9" spans="1:8" ht="11.25" customHeight="1" x14ac:dyDescent="0.2">
      <c r="A9" s="1" t="s">
        <v>3267</v>
      </c>
      <c r="C9" s="1" t="s">
        <v>1780</v>
      </c>
      <c r="D9" s="1" t="s">
        <v>1072</v>
      </c>
      <c r="E9" s="16">
        <v>649</v>
      </c>
      <c r="F9" s="34">
        <v>27.337826453243469</v>
      </c>
    </row>
    <row r="10" spans="1:8" ht="11.25" customHeight="1" x14ac:dyDescent="0.2">
      <c r="C10" s="2" t="s">
        <v>3175</v>
      </c>
      <c r="D10" s="1" t="s">
        <v>3173</v>
      </c>
      <c r="E10" s="16">
        <v>1725</v>
      </c>
      <c r="F10" s="34">
        <v>72.662173546756534</v>
      </c>
    </row>
    <row r="11" spans="1:8" ht="11.25" customHeight="1" x14ac:dyDescent="0.2">
      <c r="E11" s="155" t="s">
        <v>128</v>
      </c>
      <c r="F11" s="156">
        <v>100</v>
      </c>
      <c r="G11" s="159">
        <v>4635</v>
      </c>
      <c r="H11" s="158">
        <v>54.2</v>
      </c>
    </row>
    <row r="12" spans="1:8" ht="11.25" customHeight="1" x14ac:dyDescent="0.2">
      <c r="G12" s="24"/>
    </row>
    <row r="13" spans="1:8" ht="11.25" customHeight="1" x14ac:dyDescent="0.2">
      <c r="A13" s="1" t="s">
        <v>2266</v>
      </c>
      <c r="C13" s="2" t="s">
        <v>1781</v>
      </c>
      <c r="D13" s="1" t="s">
        <v>1072</v>
      </c>
      <c r="E13" s="16">
        <v>1057</v>
      </c>
      <c r="F13" s="34">
        <v>55.10948905109489</v>
      </c>
      <c r="G13" s="24"/>
    </row>
    <row r="14" spans="1:8" ht="11.25" customHeight="1" x14ac:dyDescent="0.2">
      <c r="C14" s="1" t="s">
        <v>2309</v>
      </c>
      <c r="D14" s="1" t="s">
        <v>3173</v>
      </c>
      <c r="E14" s="16">
        <v>861</v>
      </c>
      <c r="F14" s="34">
        <v>44.89051094890511</v>
      </c>
    </row>
    <row r="15" spans="1:8" ht="11.25" customHeight="1" x14ac:dyDescent="0.2">
      <c r="E15" s="155" t="s">
        <v>129</v>
      </c>
      <c r="F15" s="156">
        <v>100</v>
      </c>
      <c r="G15" s="157">
        <v>3129</v>
      </c>
      <c r="H15" s="158">
        <v>63.9</v>
      </c>
    </row>
    <row r="16" spans="1:8" ht="11.25" customHeight="1" x14ac:dyDescent="0.2"/>
    <row r="17" spans="1:8" ht="11.25" customHeight="1" x14ac:dyDescent="0.2">
      <c r="A17" s="1" t="s">
        <v>1923</v>
      </c>
      <c r="B17" s="1">
        <v>1</v>
      </c>
      <c r="C17" s="1" t="s">
        <v>1782</v>
      </c>
      <c r="D17" s="1" t="s">
        <v>1072</v>
      </c>
      <c r="E17" s="16">
        <v>1021</v>
      </c>
      <c r="F17" s="34">
        <v>47.799625468164791</v>
      </c>
    </row>
    <row r="18" spans="1:8" ht="11.25" customHeight="1" x14ac:dyDescent="0.2">
      <c r="C18" s="1" t="s">
        <v>1763</v>
      </c>
      <c r="D18" s="1" t="s">
        <v>3173</v>
      </c>
      <c r="E18" s="16">
        <v>1028</v>
      </c>
      <c r="F18" s="34">
        <v>48.127340823970037</v>
      </c>
    </row>
    <row r="19" spans="1:8" ht="11.25" customHeight="1" x14ac:dyDescent="0.2">
      <c r="C19" s="1" t="s">
        <v>1783</v>
      </c>
      <c r="D19" s="1" t="s">
        <v>653</v>
      </c>
      <c r="E19" s="16">
        <v>87</v>
      </c>
      <c r="F19" s="34">
        <v>4.0730337078651688</v>
      </c>
    </row>
    <row r="20" spans="1:8" ht="11.25" customHeight="1" x14ac:dyDescent="0.2">
      <c r="E20" s="155" t="s">
        <v>130</v>
      </c>
      <c r="F20" s="156">
        <v>100</v>
      </c>
      <c r="G20" s="157">
        <v>3431</v>
      </c>
      <c r="H20" s="158">
        <v>65.7</v>
      </c>
    </row>
    <row r="21" spans="1:8" ht="11.25" customHeight="1" x14ac:dyDescent="0.2"/>
    <row r="22" spans="1:8" ht="11.25" customHeight="1" x14ac:dyDescent="0.2">
      <c r="B22" s="1">
        <v>2</v>
      </c>
      <c r="C22" s="2" t="s">
        <v>1782</v>
      </c>
      <c r="D22" s="1" t="s">
        <v>1072</v>
      </c>
    </row>
    <row r="23" spans="1:8" ht="11.25" customHeight="1" x14ac:dyDescent="0.2">
      <c r="C23" s="128" t="s">
        <v>490</v>
      </c>
    </row>
    <row r="24" spans="1:8" ht="11.25" customHeight="1" x14ac:dyDescent="0.2">
      <c r="C24" s="2"/>
    </row>
    <row r="25" spans="1:8" ht="11.25" customHeight="1" x14ac:dyDescent="0.2">
      <c r="A25" s="1" t="s">
        <v>1975</v>
      </c>
      <c r="C25" s="2" t="s">
        <v>2303</v>
      </c>
      <c r="D25" s="1" t="s">
        <v>653</v>
      </c>
      <c r="E25" s="19">
        <v>1253</v>
      </c>
      <c r="F25" s="25">
        <v>56.645569620253163</v>
      </c>
    </row>
    <row r="26" spans="1:8" ht="11.25" customHeight="1" x14ac:dyDescent="0.2">
      <c r="C26" s="1" t="s">
        <v>2304</v>
      </c>
      <c r="D26" s="1" t="s">
        <v>3173</v>
      </c>
      <c r="E26" s="16">
        <v>959</v>
      </c>
      <c r="F26" s="25">
        <v>43.354430379746837</v>
      </c>
    </row>
    <row r="27" spans="1:8" ht="11.25" customHeight="1" x14ac:dyDescent="0.2">
      <c r="E27" s="155" t="s">
        <v>131</v>
      </c>
      <c r="F27" s="156">
        <v>100</v>
      </c>
      <c r="G27" s="157">
        <v>2936</v>
      </c>
      <c r="H27" s="158">
        <v>81.8</v>
      </c>
    </row>
    <row r="28" spans="1:8" ht="11.25" customHeight="1" x14ac:dyDescent="0.2"/>
    <row r="29" spans="1:8" ht="11.25" customHeight="1" x14ac:dyDescent="0.2">
      <c r="A29" s="1" t="s">
        <v>1086</v>
      </c>
      <c r="B29" s="1">
        <v>1</v>
      </c>
      <c r="C29" s="1" t="s">
        <v>755</v>
      </c>
      <c r="D29" s="1" t="s">
        <v>1072</v>
      </c>
      <c r="E29" s="16">
        <v>2598</v>
      </c>
      <c r="F29" s="25">
        <v>10.640127779825532</v>
      </c>
    </row>
    <row r="30" spans="1:8" ht="11.25" customHeight="1" x14ac:dyDescent="0.2">
      <c r="C30" s="1" t="s">
        <v>1997</v>
      </c>
      <c r="D30" s="1" t="s">
        <v>1239</v>
      </c>
      <c r="E30" s="16">
        <v>2279</v>
      </c>
      <c r="F30" s="25">
        <v>9.3336609739116181</v>
      </c>
    </row>
    <row r="31" spans="1:8" ht="11.25" customHeight="1" x14ac:dyDescent="0.2">
      <c r="C31" s="1" t="s">
        <v>2003</v>
      </c>
      <c r="D31" s="1" t="s">
        <v>1239</v>
      </c>
      <c r="E31" s="19">
        <v>5520</v>
      </c>
      <c r="F31" s="25">
        <v>22.607199901707826</v>
      </c>
    </row>
    <row r="32" spans="1:8" ht="11.25" customHeight="1" x14ac:dyDescent="0.2">
      <c r="C32" s="1" t="s">
        <v>1787</v>
      </c>
      <c r="D32" s="1" t="s">
        <v>653</v>
      </c>
      <c r="E32" s="16">
        <v>992</v>
      </c>
      <c r="F32" s="25">
        <v>4.0627431707416966</v>
      </c>
    </row>
    <row r="33" spans="2:8" ht="11.25" customHeight="1" x14ac:dyDescent="0.2">
      <c r="C33" s="1" t="s">
        <v>1785</v>
      </c>
      <c r="D33" s="1" t="s">
        <v>1239</v>
      </c>
      <c r="E33" s="16">
        <v>1634</v>
      </c>
      <c r="F33" s="25">
        <v>6.6920588114838022</v>
      </c>
    </row>
    <row r="34" spans="2:8" ht="11.25" customHeight="1" x14ac:dyDescent="0.2">
      <c r="C34" s="1" t="s">
        <v>1788</v>
      </c>
      <c r="D34" s="1" t="s">
        <v>653</v>
      </c>
      <c r="E34" s="16">
        <v>460</v>
      </c>
      <c r="F34" s="25">
        <v>1.8839333251423189</v>
      </c>
    </row>
    <row r="35" spans="2:8" ht="11.25" customHeight="1" x14ac:dyDescent="0.2">
      <c r="C35" s="1" t="s">
        <v>2002</v>
      </c>
      <c r="D35" s="1" t="s">
        <v>653</v>
      </c>
      <c r="E35" s="16">
        <v>1544</v>
      </c>
      <c r="F35" s="25">
        <v>6.3234631609124792</v>
      </c>
    </row>
    <row r="36" spans="2:8" ht="11.25" customHeight="1" x14ac:dyDescent="0.2">
      <c r="C36" s="1" t="s">
        <v>1786</v>
      </c>
      <c r="D36" s="1" t="s">
        <v>1239</v>
      </c>
      <c r="E36" s="16">
        <v>1007</v>
      </c>
      <c r="F36" s="25">
        <v>4.1241757791702502</v>
      </c>
    </row>
    <row r="37" spans="2:8" ht="11.25" customHeight="1" x14ac:dyDescent="0.2">
      <c r="C37" s="1" t="s">
        <v>6</v>
      </c>
      <c r="D37" s="1" t="s">
        <v>1918</v>
      </c>
      <c r="E37" s="16">
        <v>575</v>
      </c>
      <c r="F37" s="25">
        <v>2.3549166564278985</v>
      </c>
    </row>
    <row r="38" spans="2:8" ht="11.25" customHeight="1" x14ac:dyDescent="0.2">
      <c r="C38" s="1" t="s">
        <v>1789</v>
      </c>
      <c r="D38" s="1" t="s">
        <v>1918</v>
      </c>
      <c r="E38" s="16">
        <v>381</v>
      </c>
      <c r="F38" s="25">
        <v>1.5603882540852685</v>
      </c>
    </row>
    <row r="39" spans="2:8" ht="11.25" customHeight="1" x14ac:dyDescent="0.2">
      <c r="C39" s="1" t="s">
        <v>1784</v>
      </c>
      <c r="D39" s="1" t="s">
        <v>1072</v>
      </c>
      <c r="E39" s="16">
        <v>3651</v>
      </c>
      <c r="F39" s="25">
        <v>14.952696891510014</v>
      </c>
    </row>
    <row r="40" spans="2:8" ht="11.25" customHeight="1" x14ac:dyDescent="0.2">
      <c r="C40" s="1" t="s">
        <v>1998</v>
      </c>
      <c r="D40" s="1" t="s">
        <v>1072</v>
      </c>
      <c r="E40" s="16">
        <v>1191</v>
      </c>
      <c r="F40" s="25">
        <v>4.8777491092271781</v>
      </c>
    </row>
    <row r="41" spans="2:8" ht="11.25" customHeight="1" x14ac:dyDescent="0.2">
      <c r="C41" s="1" t="s">
        <v>756</v>
      </c>
      <c r="D41" s="1" t="s">
        <v>1918</v>
      </c>
      <c r="E41" s="16">
        <v>2585</v>
      </c>
      <c r="F41" s="25">
        <v>10.586886185854118</v>
      </c>
    </row>
    <row r="42" spans="2:8" ht="11.25" customHeight="1" x14ac:dyDescent="0.2">
      <c r="E42" s="155" t="s">
        <v>132</v>
      </c>
      <c r="F42" s="156">
        <v>100</v>
      </c>
      <c r="G42" s="157">
        <v>43217</v>
      </c>
      <c r="H42" s="158">
        <v>57.8</v>
      </c>
    </row>
    <row r="43" spans="2:8" ht="11.25" customHeight="1" x14ac:dyDescent="0.2"/>
    <row r="44" spans="2:8" ht="11.25" customHeight="1" x14ac:dyDescent="0.2">
      <c r="B44" s="1">
        <v>2</v>
      </c>
      <c r="C44" s="2" t="s">
        <v>755</v>
      </c>
      <c r="D44" s="1" t="s">
        <v>1072</v>
      </c>
      <c r="E44" s="16">
        <v>3588</v>
      </c>
    </row>
    <row r="45" spans="2:8" ht="11.25" customHeight="1" x14ac:dyDescent="0.2">
      <c r="C45" s="2" t="s">
        <v>1997</v>
      </c>
      <c r="D45" s="1" t="s">
        <v>1239</v>
      </c>
      <c r="E45" s="16">
        <v>3731</v>
      </c>
    </row>
    <row r="46" spans="2:8" ht="11.25" customHeight="1" x14ac:dyDescent="0.2">
      <c r="C46" s="2" t="s">
        <v>1996</v>
      </c>
      <c r="D46" s="1" t="s">
        <v>1239</v>
      </c>
      <c r="E46" s="16">
        <v>3495</v>
      </c>
    </row>
    <row r="47" spans="2:8" ht="11.25" customHeight="1" x14ac:dyDescent="0.2">
      <c r="C47" s="2" t="s">
        <v>1785</v>
      </c>
      <c r="D47" s="1" t="s">
        <v>1239</v>
      </c>
      <c r="E47" s="16">
        <v>3293</v>
      </c>
    </row>
    <row r="48" spans="2:8" ht="11.25" customHeight="1" x14ac:dyDescent="0.2">
      <c r="C48" s="2" t="s">
        <v>1784</v>
      </c>
      <c r="D48" s="1" t="s">
        <v>1072</v>
      </c>
      <c r="E48" s="16">
        <v>3494</v>
      </c>
    </row>
    <row r="49" spans="1:8" ht="11.25" customHeight="1" x14ac:dyDescent="0.2">
      <c r="C49" s="2" t="s">
        <v>1790</v>
      </c>
      <c r="D49" s="1" t="s">
        <v>1918</v>
      </c>
      <c r="E49" s="16">
        <v>3492</v>
      </c>
    </row>
    <row r="50" spans="1:8" ht="11.25" customHeight="1" x14ac:dyDescent="0.2">
      <c r="C50" s="2"/>
    </row>
    <row r="51" spans="1:8" ht="11.25" customHeight="1" x14ac:dyDescent="0.2">
      <c r="A51" s="1" t="s">
        <v>1125</v>
      </c>
      <c r="C51" s="2" t="s">
        <v>1791</v>
      </c>
      <c r="D51" s="1" t="s">
        <v>3173</v>
      </c>
      <c r="E51" s="16">
        <v>3137</v>
      </c>
      <c r="F51" s="34">
        <v>60.061267470802221</v>
      </c>
    </row>
    <row r="52" spans="1:8" ht="11.25" customHeight="1" x14ac:dyDescent="0.2">
      <c r="C52" s="1" t="s">
        <v>1792</v>
      </c>
      <c r="D52" s="1" t="s">
        <v>1072</v>
      </c>
      <c r="E52" s="16">
        <v>2086</v>
      </c>
      <c r="F52" s="34">
        <v>39.938732529197779</v>
      </c>
    </row>
    <row r="53" spans="1:8" ht="11.25" customHeight="1" x14ac:dyDescent="0.2">
      <c r="E53" s="155" t="s">
        <v>133</v>
      </c>
      <c r="F53" s="156">
        <v>100</v>
      </c>
      <c r="G53" s="157">
        <v>6914</v>
      </c>
      <c r="H53" s="158">
        <v>78.099999999999994</v>
      </c>
    </row>
    <row r="54" spans="1:8" ht="11.25" customHeight="1" x14ac:dyDescent="0.2"/>
    <row r="55" spans="1:8" ht="11.25" customHeight="1" x14ac:dyDescent="0.2">
      <c r="A55" s="1" t="s">
        <v>1427</v>
      </c>
      <c r="C55" s="1" t="s">
        <v>1793</v>
      </c>
      <c r="D55" s="1" t="s">
        <v>1072</v>
      </c>
      <c r="E55" s="16">
        <v>825</v>
      </c>
      <c r="F55" s="34">
        <v>37.688442211055275</v>
      </c>
    </row>
    <row r="56" spans="1:8" ht="11.25" customHeight="1" x14ac:dyDescent="0.2">
      <c r="C56" s="2" t="s">
        <v>2312</v>
      </c>
      <c r="D56" s="1" t="s">
        <v>3173</v>
      </c>
      <c r="E56" s="16">
        <v>1364</v>
      </c>
      <c r="F56" s="34">
        <v>62.311557788944725</v>
      </c>
    </row>
    <row r="57" spans="1:8" ht="11.25" customHeight="1" x14ac:dyDescent="0.2">
      <c r="E57" s="155" t="s">
        <v>134</v>
      </c>
      <c r="F57" s="156">
        <v>100</v>
      </c>
      <c r="G57" s="159">
        <v>3420</v>
      </c>
      <c r="H57" s="158">
        <v>65.400000000000006</v>
      </c>
    </row>
    <row r="58" spans="1:8" ht="11.25" customHeight="1" x14ac:dyDescent="0.2">
      <c r="G58" s="24"/>
    </row>
    <row r="59" spans="1:8" ht="11.25" customHeight="1" x14ac:dyDescent="0.2">
      <c r="A59" s="1" t="s">
        <v>1430</v>
      </c>
      <c r="B59" s="1">
        <v>1</v>
      </c>
      <c r="C59" s="1" t="s">
        <v>1795</v>
      </c>
      <c r="D59" s="1" t="s">
        <v>1239</v>
      </c>
      <c r="E59" s="16">
        <v>692</v>
      </c>
      <c r="F59" s="34">
        <v>23.895027624309392</v>
      </c>
      <c r="G59" s="24"/>
    </row>
    <row r="60" spans="1:8" ht="11.25" customHeight="1" x14ac:dyDescent="0.2">
      <c r="C60" s="1" t="s">
        <v>1794</v>
      </c>
      <c r="D60" s="1" t="s">
        <v>653</v>
      </c>
      <c r="E60" s="16">
        <v>866</v>
      </c>
      <c r="F60" s="34">
        <v>29.903314917127073</v>
      </c>
    </row>
    <row r="61" spans="1:8" ht="11.25" customHeight="1" x14ac:dyDescent="0.2">
      <c r="C61" s="1" t="s">
        <v>2296</v>
      </c>
      <c r="D61" s="1" t="s">
        <v>3173</v>
      </c>
      <c r="E61" s="16">
        <v>1338</v>
      </c>
      <c r="F61" s="34">
        <v>46.201657458563538</v>
      </c>
    </row>
    <row r="62" spans="1:8" ht="11.25" customHeight="1" x14ac:dyDescent="0.2">
      <c r="E62" s="155" t="s">
        <v>135</v>
      </c>
      <c r="F62" s="156">
        <v>100</v>
      </c>
      <c r="G62" s="157">
        <v>4451</v>
      </c>
      <c r="H62" s="158">
        <v>68.900000000000006</v>
      </c>
    </row>
    <row r="63" spans="1:8" ht="11.25" customHeight="1" x14ac:dyDescent="0.2"/>
    <row r="64" spans="1:8" ht="11.25" customHeight="1" x14ac:dyDescent="0.2">
      <c r="B64" s="1">
        <v>2</v>
      </c>
      <c r="C64" s="1" t="s">
        <v>1794</v>
      </c>
      <c r="D64" s="1" t="s">
        <v>653</v>
      </c>
      <c r="E64" s="16">
        <v>1115</v>
      </c>
      <c r="G64" s="1"/>
      <c r="H64" s="82"/>
    </row>
    <row r="65" spans="1:8" ht="11.25" customHeight="1" x14ac:dyDescent="0.2">
      <c r="C65" s="2" t="s">
        <v>2296</v>
      </c>
      <c r="D65" s="1" t="s">
        <v>3173</v>
      </c>
      <c r="E65" s="16">
        <v>1462</v>
      </c>
    </row>
    <row r="66" spans="1:8" ht="11.25" customHeight="1" x14ac:dyDescent="0.2"/>
    <row r="67" spans="1:8" ht="11.25" customHeight="1" x14ac:dyDescent="0.2">
      <c r="A67" s="1" t="s">
        <v>2012</v>
      </c>
      <c r="C67" s="1" t="s">
        <v>2013</v>
      </c>
      <c r="D67" s="1" t="s">
        <v>1072</v>
      </c>
      <c r="E67" s="16">
        <v>1162</v>
      </c>
      <c r="F67" s="34">
        <v>49.743150684931507</v>
      </c>
    </row>
    <row r="68" spans="1:8" ht="11.25" customHeight="1" x14ac:dyDescent="0.2">
      <c r="C68" s="2" t="s">
        <v>2305</v>
      </c>
      <c r="D68" s="1" t="s">
        <v>3173</v>
      </c>
      <c r="E68" s="16">
        <v>1174</v>
      </c>
      <c r="F68" s="34">
        <v>50.256849315068493</v>
      </c>
    </row>
    <row r="69" spans="1:8" ht="11.25" customHeight="1" x14ac:dyDescent="0.2">
      <c r="E69" s="155" t="s">
        <v>136</v>
      </c>
      <c r="F69" s="156">
        <v>100</v>
      </c>
      <c r="G69" s="159">
        <v>3143</v>
      </c>
      <c r="H69" s="158">
        <v>76.400000000000006</v>
      </c>
    </row>
    <row r="70" spans="1:8" ht="11.25" customHeight="1" x14ac:dyDescent="0.2">
      <c r="G70" s="24"/>
    </row>
    <row r="71" spans="1:8" ht="11.25" customHeight="1" x14ac:dyDescent="0.2">
      <c r="A71" s="1" t="s">
        <v>2016</v>
      </c>
      <c r="C71" s="1" t="s">
        <v>452</v>
      </c>
      <c r="D71" s="1" t="s">
        <v>653</v>
      </c>
      <c r="E71" s="16">
        <v>1983</v>
      </c>
      <c r="F71" s="34">
        <v>48.75829850012294</v>
      </c>
      <c r="G71" s="24"/>
    </row>
    <row r="72" spans="1:8" ht="11.25" customHeight="1" x14ac:dyDescent="0.2">
      <c r="C72" s="2" t="s">
        <v>451</v>
      </c>
      <c r="D72" s="1" t="s">
        <v>3173</v>
      </c>
      <c r="E72" s="16">
        <v>2084</v>
      </c>
      <c r="F72" s="34">
        <v>51.24170149987706</v>
      </c>
    </row>
    <row r="73" spans="1:8" ht="11.25" customHeight="1" x14ac:dyDescent="0.2">
      <c r="E73" s="155" t="s">
        <v>137</v>
      </c>
      <c r="F73" s="156">
        <v>100</v>
      </c>
      <c r="G73" s="157">
        <v>5248</v>
      </c>
      <c r="H73" s="158">
        <v>80.5</v>
      </c>
    </row>
    <row r="74" spans="1:8" ht="11.25" customHeight="1" x14ac:dyDescent="0.2"/>
    <row r="75" spans="1:8" ht="11.25" customHeight="1" x14ac:dyDescent="0.2">
      <c r="A75" s="1" t="s">
        <v>2268</v>
      </c>
      <c r="C75" s="2" t="s">
        <v>2022</v>
      </c>
      <c r="D75" s="1" t="s">
        <v>3173</v>
      </c>
      <c r="E75" s="16">
        <v>1315</v>
      </c>
      <c r="F75" s="34">
        <v>55.368421052631582</v>
      </c>
    </row>
    <row r="76" spans="1:8" ht="11.25" customHeight="1" x14ac:dyDescent="0.2">
      <c r="C76" s="1" t="s">
        <v>1778</v>
      </c>
      <c r="D76" s="1" t="s">
        <v>1072</v>
      </c>
      <c r="E76" s="16">
        <v>1060</v>
      </c>
      <c r="F76" s="34">
        <v>44.631578947368418</v>
      </c>
    </row>
    <row r="77" spans="1:8" ht="11.25" customHeight="1" x14ac:dyDescent="0.2">
      <c r="E77" s="155" t="s">
        <v>138</v>
      </c>
      <c r="F77" s="156">
        <v>100</v>
      </c>
      <c r="G77" s="157">
        <v>3238</v>
      </c>
      <c r="H77" s="158">
        <v>76.7</v>
      </c>
    </row>
    <row r="78" spans="1:8" ht="11.25" customHeight="1" x14ac:dyDescent="0.2"/>
    <row r="79" spans="1:8" ht="11.25" customHeight="1" x14ac:dyDescent="0.2">
      <c r="A79" s="1" t="s">
        <v>369</v>
      </c>
      <c r="C79" s="1" t="s">
        <v>453</v>
      </c>
      <c r="D79" s="1" t="s">
        <v>653</v>
      </c>
      <c r="E79" s="16">
        <v>1470</v>
      </c>
      <c r="F79" s="34">
        <v>45.567265964042157</v>
      </c>
    </row>
    <row r="80" spans="1:8" ht="11.25" customHeight="1" x14ac:dyDescent="0.2">
      <c r="C80" s="2" t="s">
        <v>2024</v>
      </c>
      <c r="D80" s="1" t="s">
        <v>3173</v>
      </c>
      <c r="E80" s="16">
        <v>1756</v>
      </c>
      <c r="F80" s="34">
        <v>54.432734035957843</v>
      </c>
    </row>
    <row r="81" spans="1:8" ht="11.25" customHeight="1" x14ac:dyDescent="0.2">
      <c r="E81" s="155" t="s">
        <v>139</v>
      </c>
      <c r="F81" s="156">
        <v>100</v>
      </c>
      <c r="G81" s="157">
        <v>4290</v>
      </c>
      <c r="H81" s="158">
        <v>78.5</v>
      </c>
    </row>
    <row r="82" spans="1:8" ht="11.25" customHeight="1" x14ac:dyDescent="0.2"/>
    <row r="83" spans="1:8" ht="11.25" customHeight="1" x14ac:dyDescent="0.2">
      <c r="A83" s="1" t="s">
        <v>1977</v>
      </c>
      <c r="B83" s="1">
        <v>1</v>
      </c>
      <c r="C83" s="1" t="s">
        <v>454</v>
      </c>
      <c r="D83" s="1" t="s">
        <v>1918</v>
      </c>
      <c r="E83" s="16">
        <v>866</v>
      </c>
      <c r="F83" s="34">
        <v>32.097850259451448</v>
      </c>
    </row>
    <row r="84" spans="1:8" ht="11.25" customHeight="1" x14ac:dyDescent="0.2">
      <c r="C84" s="1" t="s">
        <v>455</v>
      </c>
      <c r="D84" s="1" t="s">
        <v>653</v>
      </c>
      <c r="E84" s="16">
        <v>722</v>
      </c>
      <c r="F84" s="34">
        <v>26.760563380281692</v>
      </c>
    </row>
    <row r="85" spans="1:8" ht="11.25" customHeight="1" x14ac:dyDescent="0.2">
      <c r="C85" s="1" t="s">
        <v>2297</v>
      </c>
      <c r="D85" s="1" t="s">
        <v>653</v>
      </c>
      <c r="E85" s="16">
        <v>922</v>
      </c>
      <c r="F85" s="34">
        <v>34.173461823573014</v>
      </c>
    </row>
    <row r="86" spans="1:8" ht="11.25" customHeight="1" x14ac:dyDescent="0.2">
      <c r="C86" s="1" t="s">
        <v>456</v>
      </c>
      <c r="D86" s="1" t="s">
        <v>653</v>
      </c>
      <c r="E86" s="16">
        <v>188</v>
      </c>
      <c r="F86" s="34">
        <v>6.9681245366938471</v>
      </c>
    </row>
    <row r="87" spans="1:8" ht="11.25" customHeight="1" x14ac:dyDescent="0.2">
      <c r="E87" s="155" t="s">
        <v>140</v>
      </c>
      <c r="F87" s="156">
        <v>100</v>
      </c>
      <c r="G87" s="157">
        <v>3554</v>
      </c>
      <c r="H87" s="158">
        <v>80.599999999999994</v>
      </c>
    </row>
    <row r="88" spans="1:8" ht="11.25" customHeight="1" x14ac:dyDescent="0.2"/>
    <row r="89" spans="1:8" ht="11.25" customHeight="1" x14ac:dyDescent="0.2">
      <c r="B89" s="1">
        <v>2</v>
      </c>
      <c r="C89" s="1" t="s">
        <v>454</v>
      </c>
      <c r="D89" s="1" t="s">
        <v>1918</v>
      </c>
      <c r="E89" s="16">
        <v>1036</v>
      </c>
    </row>
    <row r="90" spans="1:8" ht="11.25" customHeight="1" x14ac:dyDescent="0.2">
      <c r="C90" s="2" t="s">
        <v>2298</v>
      </c>
      <c r="D90" s="1" t="s">
        <v>653</v>
      </c>
      <c r="E90" s="16">
        <v>1113</v>
      </c>
    </row>
    <row r="91" spans="1:8" ht="11.25" customHeight="1" x14ac:dyDescent="0.2"/>
    <row r="92" spans="1:8" ht="11.25" customHeight="1" x14ac:dyDescent="0.2">
      <c r="A92" s="1" t="s">
        <v>1919</v>
      </c>
      <c r="B92" s="1">
        <v>1</v>
      </c>
      <c r="C92" s="1" t="s">
        <v>459</v>
      </c>
      <c r="D92" s="1" t="s">
        <v>1239</v>
      </c>
      <c r="E92" s="16">
        <v>1786</v>
      </c>
      <c r="F92" s="34">
        <v>8.4289017886639286</v>
      </c>
    </row>
    <row r="93" spans="1:8" ht="11.25" customHeight="1" x14ac:dyDescent="0.2">
      <c r="C93" s="1" t="s">
        <v>1951</v>
      </c>
      <c r="D93" s="1" t="s">
        <v>1918</v>
      </c>
      <c r="E93" s="16">
        <v>818</v>
      </c>
      <c r="F93" s="34">
        <v>3.8604936523667939</v>
      </c>
    </row>
    <row r="94" spans="1:8" ht="11.25" customHeight="1" x14ac:dyDescent="0.2">
      <c r="C94" s="1" t="s">
        <v>2584</v>
      </c>
      <c r="D94" s="1" t="s">
        <v>1239</v>
      </c>
      <c r="E94" s="16">
        <v>424</v>
      </c>
      <c r="F94" s="34">
        <v>2.0010382745764312</v>
      </c>
    </row>
    <row r="95" spans="1:8" ht="11.25" customHeight="1" x14ac:dyDescent="0.2">
      <c r="C95" s="1" t="s">
        <v>2585</v>
      </c>
      <c r="D95" s="1" t="s">
        <v>653</v>
      </c>
      <c r="E95" s="16">
        <v>374</v>
      </c>
      <c r="F95" s="34">
        <v>1.765066779932984</v>
      </c>
    </row>
    <row r="96" spans="1:8" ht="11.25" customHeight="1" x14ac:dyDescent="0.2">
      <c r="C96" s="1" t="s">
        <v>461</v>
      </c>
      <c r="D96" s="1" t="s">
        <v>1072</v>
      </c>
      <c r="E96" s="16">
        <v>1040</v>
      </c>
      <c r="F96" s="34">
        <v>4.9082070885836995</v>
      </c>
    </row>
    <row r="97" spans="2:8" ht="11.25" customHeight="1" x14ac:dyDescent="0.2">
      <c r="C97" s="1" t="s">
        <v>457</v>
      </c>
      <c r="D97" s="1" t="s">
        <v>1239</v>
      </c>
      <c r="E97" s="16">
        <v>2665</v>
      </c>
      <c r="F97" s="34">
        <v>12.57728066449573</v>
      </c>
    </row>
    <row r="98" spans="2:8" ht="11.25" customHeight="1" x14ac:dyDescent="0.2">
      <c r="C98" s="1" t="s">
        <v>1705</v>
      </c>
      <c r="D98" s="1" t="s">
        <v>1918</v>
      </c>
      <c r="E98" s="16">
        <v>832</v>
      </c>
      <c r="F98" s="34">
        <v>3.9265656708669594</v>
      </c>
    </row>
    <row r="99" spans="2:8" ht="11.25" customHeight="1" x14ac:dyDescent="0.2">
      <c r="C99" s="1" t="s">
        <v>458</v>
      </c>
      <c r="D99" s="1" t="s">
        <v>1918</v>
      </c>
      <c r="E99" s="16">
        <v>2262</v>
      </c>
      <c r="F99" s="34">
        <v>10.675350417669545</v>
      </c>
    </row>
    <row r="100" spans="2:8" ht="11.25" customHeight="1" x14ac:dyDescent="0.2">
      <c r="C100" s="1" t="s">
        <v>2030</v>
      </c>
      <c r="D100" s="1" t="s">
        <v>1072</v>
      </c>
      <c r="E100" s="16">
        <v>1835</v>
      </c>
      <c r="F100" s="34">
        <v>8.6601538534145082</v>
      </c>
    </row>
    <row r="101" spans="2:8" ht="11.25" customHeight="1" x14ac:dyDescent="0.2">
      <c r="C101" s="1" t="s">
        <v>462</v>
      </c>
      <c r="D101" s="1" t="s">
        <v>1918</v>
      </c>
      <c r="E101" s="16">
        <v>745</v>
      </c>
      <c r="F101" s="34">
        <v>3.5159752701873614</v>
      </c>
    </row>
    <row r="102" spans="2:8" ht="11.25" customHeight="1" x14ac:dyDescent="0.2">
      <c r="C102" s="1" t="s">
        <v>1693</v>
      </c>
      <c r="D102" s="1" t="s">
        <v>653</v>
      </c>
      <c r="E102" s="16">
        <v>752</v>
      </c>
      <c r="F102" s="34">
        <v>3.549011279437444</v>
      </c>
    </row>
    <row r="103" spans="2:8" ht="11.25" customHeight="1" x14ac:dyDescent="0.2">
      <c r="C103" s="1" t="s">
        <v>2033</v>
      </c>
      <c r="D103" s="1" t="s">
        <v>3173</v>
      </c>
      <c r="E103" s="16">
        <v>3230</v>
      </c>
      <c r="F103" s="34">
        <v>15.24375855396668</v>
      </c>
    </row>
    <row r="104" spans="2:8" ht="11.25" customHeight="1" x14ac:dyDescent="0.2">
      <c r="C104" s="1" t="s">
        <v>2583</v>
      </c>
      <c r="D104" s="1" t="s">
        <v>1072</v>
      </c>
      <c r="E104" s="16">
        <v>442</v>
      </c>
      <c r="F104" s="34">
        <v>2.0859880126480723</v>
      </c>
    </row>
    <row r="105" spans="2:8" ht="11.25" customHeight="1" x14ac:dyDescent="0.2">
      <c r="C105" s="1" t="s">
        <v>460</v>
      </c>
      <c r="D105" s="1" t="s">
        <v>1072</v>
      </c>
      <c r="E105" s="16">
        <v>1331</v>
      </c>
      <c r="F105" s="34">
        <v>6.2815611874085606</v>
      </c>
    </row>
    <row r="106" spans="2:8" ht="11.25" customHeight="1" x14ac:dyDescent="0.2">
      <c r="C106" s="1" t="s">
        <v>2586</v>
      </c>
      <c r="D106" s="1" t="s">
        <v>1239</v>
      </c>
      <c r="E106" s="16">
        <v>189</v>
      </c>
      <c r="F106" s="34">
        <v>0.89197224975222988</v>
      </c>
    </row>
    <row r="107" spans="2:8" ht="11.25" customHeight="1" x14ac:dyDescent="0.2">
      <c r="C107" s="1" t="s">
        <v>2313</v>
      </c>
      <c r="D107" s="1" t="s">
        <v>1239</v>
      </c>
      <c r="E107" s="16">
        <v>2013</v>
      </c>
      <c r="F107" s="34">
        <v>9.5002123743451783</v>
      </c>
    </row>
    <row r="108" spans="2:8" ht="11.25" customHeight="1" x14ac:dyDescent="0.2">
      <c r="C108" s="1" t="s">
        <v>463</v>
      </c>
      <c r="D108" s="1" t="s">
        <v>1239</v>
      </c>
      <c r="E108" s="16">
        <v>451</v>
      </c>
      <c r="F108" s="34">
        <v>2.1284628816838924</v>
      </c>
    </row>
    <row r="109" spans="2:8" ht="11.25" customHeight="1" x14ac:dyDescent="0.2">
      <c r="E109" s="155" t="s">
        <v>141</v>
      </c>
      <c r="F109" s="156">
        <v>100</v>
      </c>
      <c r="G109" s="157">
        <v>39209</v>
      </c>
      <c r="H109" s="158">
        <v>55.8</v>
      </c>
    </row>
    <row r="110" spans="2:8" ht="11.25" customHeight="1" x14ac:dyDescent="0.2"/>
    <row r="111" spans="2:8" ht="11.25" customHeight="1" x14ac:dyDescent="0.2">
      <c r="B111" s="1">
        <v>2</v>
      </c>
      <c r="C111" s="2" t="s">
        <v>1692</v>
      </c>
      <c r="D111" s="1" t="s">
        <v>1239</v>
      </c>
      <c r="E111" s="16">
        <v>2360</v>
      </c>
    </row>
    <row r="112" spans="2:8" ht="11.25" customHeight="1" x14ac:dyDescent="0.2">
      <c r="C112" s="2" t="s">
        <v>1950</v>
      </c>
      <c r="D112" s="1" t="s">
        <v>1239</v>
      </c>
      <c r="E112" s="16">
        <v>3028</v>
      </c>
    </row>
    <row r="113" spans="1:8" ht="11.25" customHeight="1" x14ac:dyDescent="0.2">
      <c r="C113" s="2" t="s">
        <v>458</v>
      </c>
      <c r="D113" s="1" t="s">
        <v>1918</v>
      </c>
      <c r="E113" s="16">
        <v>3028</v>
      </c>
    </row>
    <row r="114" spans="1:8" ht="11.25" customHeight="1" x14ac:dyDescent="0.2">
      <c r="C114" s="2" t="s">
        <v>2030</v>
      </c>
      <c r="D114" s="1" t="s">
        <v>1072</v>
      </c>
      <c r="E114" s="16">
        <v>2915</v>
      </c>
    </row>
    <row r="115" spans="1:8" ht="11.25" customHeight="1" x14ac:dyDescent="0.2">
      <c r="C115" s="2" t="s">
        <v>2033</v>
      </c>
      <c r="D115" s="1" t="s">
        <v>3173</v>
      </c>
      <c r="E115" s="16">
        <v>3028</v>
      </c>
    </row>
    <row r="116" spans="1:8" ht="11.25" customHeight="1" x14ac:dyDescent="0.2">
      <c r="C116" s="2" t="s">
        <v>2313</v>
      </c>
      <c r="D116" s="1" t="s">
        <v>1239</v>
      </c>
      <c r="E116" s="16">
        <v>2903</v>
      </c>
    </row>
    <row r="117" spans="1:8" ht="11.25" customHeight="1" x14ac:dyDescent="0.2">
      <c r="C117" s="2"/>
    </row>
    <row r="118" spans="1:8" ht="11.25" customHeight="1" x14ac:dyDescent="0.2">
      <c r="A118" s="1" t="s">
        <v>2269</v>
      </c>
      <c r="C118" s="2" t="s">
        <v>2588</v>
      </c>
      <c r="D118" s="1" t="s">
        <v>1918</v>
      </c>
      <c r="E118" s="16">
        <v>2434</v>
      </c>
      <c r="F118" s="34">
        <v>75.801930862659603</v>
      </c>
    </row>
    <row r="119" spans="1:8" ht="11.25" customHeight="1" x14ac:dyDescent="0.2">
      <c r="C119" s="1" t="s">
        <v>2587</v>
      </c>
      <c r="D119" s="1" t="s">
        <v>2271</v>
      </c>
      <c r="E119" s="16">
        <v>777</v>
      </c>
      <c r="F119" s="34">
        <v>24.198069137340394</v>
      </c>
    </row>
    <row r="120" spans="1:8" ht="11.25" customHeight="1" x14ac:dyDescent="0.2">
      <c r="E120" s="155" t="s">
        <v>142</v>
      </c>
      <c r="F120" s="156">
        <v>100</v>
      </c>
      <c r="G120" s="157">
        <v>5455</v>
      </c>
      <c r="H120" s="158">
        <v>61.4</v>
      </c>
    </row>
    <row r="121" spans="1:8" ht="11.25" customHeight="1" x14ac:dyDescent="0.2"/>
    <row r="122" spans="1:8" ht="11.25" customHeight="1" x14ac:dyDescent="0.2">
      <c r="A122" s="1" t="s">
        <v>1711</v>
      </c>
      <c r="C122" s="1" t="s">
        <v>2306</v>
      </c>
      <c r="D122" s="1" t="s">
        <v>653</v>
      </c>
      <c r="E122" s="16">
        <v>617</v>
      </c>
      <c r="F122" s="34">
        <v>39.602053915275995</v>
      </c>
    </row>
    <row r="123" spans="1:8" ht="11.25" customHeight="1" x14ac:dyDescent="0.2">
      <c r="C123" s="2" t="s">
        <v>1713</v>
      </c>
      <c r="D123" s="1" t="s">
        <v>3173</v>
      </c>
      <c r="E123" s="16">
        <v>941</v>
      </c>
      <c r="F123" s="34">
        <v>60.397946084724005</v>
      </c>
    </row>
    <row r="124" spans="1:8" ht="11.25" customHeight="1" x14ac:dyDescent="0.2">
      <c r="E124" s="155" t="s">
        <v>143</v>
      </c>
      <c r="F124" s="156">
        <v>100</v>
      </c>
      <c r="G124" s="157">
        <v>2260</v>
      </c>
      <c r="H124" s="158">
        <v>71.3</v>
      </c>
    </row>
    <row r="125" spans="1:8" ht="11.25" customHeight="1" x14ac:dyDescent="0.2"/>
    <row r="126" spans="1:8" ht="11.25" customHeight="1" x14ac:dyDescent="0.2">
      <c r="A126" s="1" t="s">
        <v>3265</v>
      </c>
      <c r="C126" s="2" t="s">
        <v>1715</v>
      </c>
      <c r="D126" s="1" t="s">
        <v>3173</v>
      </c>
      <c r="E126" s="16">
        <v>1566</v>
      </c>
      <c r="F126" s="34">
        <v>59.430740037950663</v>
      </c>
    </row>
    <row r="127" spans="1:8" ht="11.25" customHeight="1" x14ac:dyDescent="0.2">
      <c r="C127" s="1" t="s">
        <v>2589</v>
      </c>
      <c r="D127" s="1" t="s">
        <v>653</v>
      </c>
      <c r="E127" s="16">
        <v>1069</v>
      </c>
      <c r="F127" s="34">
        <v>40.569259962049337</v>
      </c>
    </row>
    <row r="128" spans="1:8" ht="11.25" customHeight="1" x14ac:dyDescent="0.2">
      <c r="E128" s="155" t="s">
        <v>144</v>
      </c>
      <c r="F128" s="156">
        <v>100</v>
      </c>
      <c r="G128" s="157">
        <v>4074</v>
      </c>
      <c r="H128" s="158">
        <v>67.2</v>
      </c>
    </row>
    <row r="129" spans="1:8" ht="11.25" customHeight="1" x14ac:dyDescent="0.2"/>
    <row r="130" spans="1:8" ht="11.25" customHeight="1" x14ac:dyDescent="0.2">
      <c r="A130" s="1" t="s">
        <v>0</v>
      </c>
      <c r="C130" s="1" t="s">
        <v>2310</v>
      </c>
      <c r="D130" s="1" t="s">
        <v>3173</v>
      </c>
      <c r="E130" s="16">
        <v>1017</v>
      </c>
      <c r="F130" s="34">
        <v>37.348512669849434</v>
      </c>
    </row>
    <row r="131" spans="1:8" ht="11.25" customHeight="1" x14ac:dyDescent="0.2">
      <c r="C131" s="2" t="s">
        <v>1720</v>
      </c>
      <c r="D131" s="1" t="s">
        <v>1072</v>
      </c>
      <c r="E131" s="16">
        <v>1706</v>
      </c>
      <c r="F131" s="34">
        <v>62.651487330150566</v>
      </c>
    </row>
    <row r="132" spans="1:8" ht="11.25" customHeight="1" x14ac:dyDescent="0.2">
      <c r="E132" s="155" t="s">
        <v>145</v>
      </c>
      <c r="F132" s="156">
        <v>100</v>
      </c>
      <c r="G132" s="157">
        <v>3988</v>
      </c>
      <c r="H132" s="158">
        <v>68.400000000000006</v>
      </c>
    </row>
    <row r="133" spans="1:8" ht="11.25" customHeight="1" x14ac:dyDescent="0.2"/>
    <row r="134" spans="1:8" ht="11.25" customHeight="1" x14ac:dyDescent="0.2">
      <c r="A134" s="1" t="s">
        <v>1920</v>
      </c>
      <c r="C134" s="2" t="s">
        <v>2590</v>
      </c>
      <c r="D134" s="1" t="s">
        <v>3173</v>
      </c>
      <c r="E134" s="155"/>
      <c r="F134" s="160" t="s">
        <v>1200</v>
      </c>
      <c r="G134" s="157"/>
      <c r="H134" s="158"/>
    </row>
    <row r="135" spans="1:8" ht="11.25" customHeight="1" x14ac:dyDescent="0.2">
      <c r="C135" s="2"/>
    </row>
    <row r="136" spans="1:8" ht="11.25" customHeight="1" x14ac:dyDescent="0.2">
      <c r="A136" s="1" t="s">
        <v>370</v>
      </c>
      <c r="C136" s="2" t="s">
        <v>1938</v>
      </c>
      <c r="D136" s="1" t="s">
        <v>3173</v>
      </c>
      <c r="E136" s="16">
        <v>2689</v>
      </c>
      <c r="F136" s="34">
        <v>64.084842707340329</v>
      </c>
    </row>
    <row r="137" spans="1:8" ht="11.25" customHeight="1" x14ac:dyDescent="0.2">
      <c r="C137" s="1" t="s">
        <v>1939</v>
      </c>
      <c r="D137" s="1" t="s">
        <v>653</v>
      </c>
      <c r="E137" s="16">
        <v>1507</v>
      </c>
      <c r="F137" s="34">
        <v>35.915157292659678</v>
      </c>
    </row>
    <row r="138" spans="1:8" ht="11.25" customHeight="1" x14ac:dyDescent="0.2">
      <c r="E138" s="155" t="s">
        <v>146</v>
      </c>
      <c r="F138" s="156">
        <v>100</v>
      </c>
      <c r="G138" s="157">
        <v>5880</v>
      </c>
      <c r="H138" s="158">
        <v>74.3</v>
      </c>
    </row>
    <row r="139" spans="1:8" ht="11.25" customHeight="1" x14ac:dyDescent="0.2"/>
    <row r="140" spans="1:8" ht="11.25" customHeight="1" x14ac:dyDescent="0.2">
      <c r="A140" s="1" t="s">
        <v>1742</v>
      </c>
      <c r="B140" s="1">
        <v>1</v>
      </c>
      <c r="C140" s="1" t="s">
        <v>2299</v>
      </c>
      <c r="D140" s="1" t="s">
        <v>3173</v>
      </c>
      <c r="E140" s="16">
        <v>1243</v>
      </c>
      <c r="F140" s="34">
        <v>45.61467889908257</v>
      </c>
    </row>
    <row r="141" spans="1:8" ht="11.25" customHeight="1" x14ac:dyDescent="0.2">
      <c r="C141" s="1" t="s">
        <v>1940</v>
      </c>
      <c r="D141" s="1" t="s">
        <v>1072</v>
      </c>
      <c r="E141" s="16">
        <v>878</v>
      </c>
      <c r="F141" s="34">
        <v>32.220183486238533</v>
      </c>
    </row>
    <row r="142" spans="1:8" ht="11.25" customHeight="1" x14ac:dyDescent="0.2">
      <c r="C142" s="1" t="s">
        <v>1941</v>
      </c>
      <c r="D142" s="1" t="s">
        <v>1239</v>
      </c>
      <c r="E142" s="16">
        <v>604</v>
      </c>
      <c r="F142" s="34">
        <v>22.165137614678898</v>
      </c>
    </row>
    <row r="143" spans="1:8" ht="11.25" customHeight="1" x14ac:dyDescent="0.2">
      <c r="E143" s="155" t="s">
        <v>147</v>
      </c>
      <c r="F143" s="156">
        <v>100</v>
      </c>
      <c r="G143" s="157">
        <v>3674</v>
      </c>
      <c r="H143" s="158">
        <v>77.3</v>
      </c>
    </row>
    <row r="144" spans="1:8" ht="11.25" customHeight="1" x14ac:dyDescent="0.2"/>
    <row r="145" spans="1:8" ht="11.25" customHeight="1" x14ac:dyDescent="0.2">
      <c r="B145" s="1">
        <v>2</v>
      </c>
      <c r="C145" s="2" t="s">
        <v>2299</v>
      </c>
      <c r="D145" s="1" t="s">
        <v>3173</v>
      </c>
      <c r="E145" s="16">
        <v>1362</v>
      </c>
    </row>
    <row r="146" spans="1:8" ht="11.25" customHeight="1" x14ac:dyDescent="0.2">
      <c r="C146" s="1" t="s">
        <v>1940</v>
      </c>
      <c r="D146" s="1" t="s">
        <v>1072</v>
      </c>
      <c r="E146" s="16">
        <v>1147</v>
      </c>
    </row>
    <row r="147" spans="1:8" ht="11.25" customHeight="1" x14ac:dyDescent="0.2"/>
    <row r="148" spans="1:8" ht="11.25" customHeight="1" x14ac:dyDescent="0.2">
      <c r="A148" s="1" t="s">
        <v>1744</v>
      </c>
      <c r="C148" s="1" t="s">
        <v>2307</v>
      </c>
      <c r="D148" s="1" t="s">
        <v>653</v>
      </c>
      <c r="E148" s="16">
        <v>1830</v>
      </c>
      <c r="F148" s="34">
        <v>48.644338118022326</v>
      </c>
    </row>
    <row r="149" spans="1:8" ht="11.25" customHeight="1" x14ac:dyDescent="0.2">
      <c r="C149" s="2" t="s">
        <v>1942</v>
      </c>
      <c r="D149" s="1" t="s">
        <v>3173</v>
      </c>
      <c r="E149" s="16">
        <v>1932</v>
      </c>
      <c r="F149" s="34">
        <v>51.355661881977674</v>
      </c>
    </row>
    <row r="150" spans="1:8" ht="11.25" customHeight="1" x14ac:dyDescent="0.2">
      <c r="E150" s="155" t="s">
        <v>175</v>
      </c>
      <c r="F150" s="156">
        <v>100</v>
      </c>
      <c r="G150" s="159">
        <v>5178</v>
      </c>
      <c r="H150" s="158">
        <v>75.400000000000006</v>
      </c>
    </row>
    <row r="151" spans="1:8" ht="11.25" customHeight="1" x14ac:dyDescent="0.2">
      <c r="G151" s="24"/>
    </row>
    <row r="152" spans="1:8" ht="11.25" customHeight="1" x14ac:dyDescent="0.2">
      <c r="A152" s="1" t="s">
        <v>1</v>
      </c>
      <c r="C152" s="2" t="s">
        <v>1729</v>
      </c>
      <c r="D152" s="1" t="s">
        <v>3173</v>
      </c>
      <c r="E152" s="155"/>
      <c r="F152" s="160" t="s">
        <v>1200</v>
      </c>
      <c r="G152" s="159"/>
      <c r="H152" s="158"/>
    </row>
    <row r="153" spans="1:8" ht="11.25" customHeight="1" x14ac:dyDescent="0.2"/>
    <row r="154" spans="1:8" ht="11.25" customHeight="1" x14ac:dyDescent="0.2">
      <c r="A154" s="1" t="s">
        <v>1931</v>
      </c>
      <c r="C154" s="1" t="s">
        <v>1943</v>
      </c>
      <c r="D154" s="1" t="s">
        <v>3173</v>
      </c>
      <c r="E154" s="16">
        <v>1408</v>
      </c>
      <c r="F154" s="34">
        <v>48.956884561891513</v>
      </c>
    </row>
    <row r="155" spans="1:8" ht="11.25" customHeight="1" x14ac:dyDescent="0.2">
      <c r="C155" s="2" t="s">
        <v>1731</v>
      </c>
      <c r="D155" s="1" t="s">
        <v>1072</v>
      </c>
      <c r="E155" s="16">
        <v>1468</v>
      </c>
      <c r="F155" s="34">
        <v>51.043115438108487</v>
      </c>
    </row>
    <row r="156" spans="1:8" ht="11.25" customHeight="1" x14ac:dyDescent="0.2">
      <c r="E156" s="155" t="s">
        <v>148</v>
      </c>
      <c r="F156" s="156">
        <v>100</v>
      </c>
      <c r="G156" s="159">
        <v>4623</v>
      </c>
      <c r="H156" s="158">
        <v>65.2</v>
      </c>
    </row>
    <row r="157" spans="1:8" ht="11.25" customHeight="1" x14ac:dyDescent="0.2">
      <c r="G157" s="24"/>
    </row>
    <row r="158" spans="1:8" ht="11.25" customHeight="1" x14ac:dyDescent="0.2">
      <c r="A158" s="1" t="s">
        <v>3</v>
      </c>
      <c r="B158" s="1">
        <v>1</v>
      </c>
      <c r="C158" s="1" t="s">
        <v>1733</v>
      </c>
      <c r="D158" s="1" t="s">
        <v>653</v>
      </c>
      <c r="E158" s="16">
        <v>1005</v>
      </c>
      <c r="F158" s="34">
        <v>21.664151756844149</v>
      </c>
      <c r="G158" s="24"/>
    </row>
    <row r="159" spans="1:8" ht="11.25" customHeight="1" x14ac:dyDescent="0.2">
      <c r="C159" s="1" t="s">
        <v>1944</v>
      </c>
      <c r="D159" s="1" t="s">
        <v>653</v>
      </c>
      <c r="E159" s="16">
        <v>1598</v>
      </c>
      <c r="F159" s="34">
        <v>34.447079111877557</v>
      </c>
    </row>
    <row r="160" spans="1:8" ht="11.25" customHeight="1" x14ac:dyDescent="0.2">
      <c r="C160" s="1" t="s">
        <v>1734</v>
      </c>
      <c r="D160" s="1" t="s">
        <v>1918</v>
      </c>
      <c r="E160" s="16">
        <v>2036</v>
      </c>
      <c r="F160" s="34">
        <v>43.888769131278295</v>
      </c>
    </row>
    <row r="161" spans="1:8" ht="11.25" customHeight="1" x14ac:dyDescent="0.2">
      <c r="E161" s="155" t="s">
        <v>149</v>
      </c>
      <c r="F161" s="156">
        <v>100</v>
      </c>
      <c r="G161" s="157">
        <v>7377</v>
      </c>
      <c r="H161" s="158">
        <v>67</v>
      </c>
    </row>
    <row r="162" spans="1:8" ht="11.25" customHeight="1" x14ac:dyDescent="0.2"/>
    <row r="163" spans="1:8" ht="11.25" customHeight="1" x14ac:dyDescent="0.2">
      <c r="B163" s="1">
        <v>2</v>
      </c>
      <c r="C163" s="1" t="s">
        <v>1944</v>
      </c>
      <c r="D163" s="1" t="s">
        <v>653</v>
      </c>
      <c r="E163" s="16">
        <v>1978</v>
      </c>
    </row>
    <row r="164" spans="1:8" ht="11.25" customHeight="1" x14ac:dyDescent="0.2">
      <c r="C164" s="2" t="s">
        <v>1734</v>
      </c>
      <c r="D164" s="1" t="s">
        <v>1918</v>
      </c>
      <c r="E164" s="16">
        <v>2238</v>
      </c>
    </row>
    <row r="165" spans="1:8" ht="11.25" customHeight="1" x14ac:dyDescent="0.2"/>
    <row r="166" spans="1:8" ht="11.25" customHeight="1" x14ac:dyDescent="0.2">
      <c r="A166" s="1" t="s">
        <v>3185</v>
      </c>
      <c r="C166" s="2" t="s">
        <v>1945</v>
      </c>
      <c r="D166" s="1" t="s">
        <v>3173</v>
      </c>
      <c r="E166" s="155"/>
      <c r="F166" s="160" t="s">
        <v>1200</v>
      </c>
      <c r="G166" s="157"/>
      <c r="H166" s="158"/>
    </row>
    <row r="167" spans="1:8" ht="11.25" customHeight="1" x14ac:dyDescent="0.2"/>
    <row r="168" spans="1:8" ht="11.25" customHeight="1" x14ac:dyDescent="0.2">
      <c r="A168" s="1" t="s">
        <v>1752</v>
      </c>
      <c r="C168" s="1" t="s">
        <v>1897</v>
      </c>
      <c r="D168" s="1" t="s">
        <v>1072</v>
      </c>
      <c r="E168" s="16">
        <v>800</v>
      </c>
      <c r="F168" s="34">
        <v>34.202650705429669</v>
      </c>
    </row>
    <row r="169" spans="1:8" ht="11.25" customHeight="1" x14ac:dyDescent="0.2">
      <c r="C169" s="2" t="s">
        <v>1896</v>
      </c>
      <c r="D169" s="1" t="s">
        <v>3173</v>
      </c>
      <c r="E169" s="16">
        <v>1539</v>
      </c>
      <c r="F169" s="34">
        <v>65.797349294570324</v>
      </c>
    </row>
    <row r="170" spans="1:8" ht="11.25" customHeight="1" x14ac:dyDescent="0.2">
      <c r="E170" s="155" t="s">
        <v>150</v>
      </c>
      <c r="F170" s="156">
        <v>100</v>
      </c>
      <c r="G170" s="157">
        <v>3179</v>
      </c>
      <c r="H170" s="158">
        <v>76.2</v>
      </c>
    </row>
    <row r="171" spans="1:8" ht="11.25" customHeight="1" x14ac:dyDescent="0.2"/>
    <row r="172" spans="1:8" ht="11.25" customHeight="1" x14ac:dyDescent="0.2">
      <c r="A172" s="1" t="s">
        <v>2300</v>
      </c>
      <c r="B172" s="1">
        <v>1</v>
      </c>
      <c r="C172" s="1" t="s">
        <v>1898</v>
      </c>
      <c r="D172" s="1" t="s">
        <v>1239</v>
      </c>
      <c r="E172" s="16">
        <v>1150</v>
      </c>
      <c r="F172" s="34">
        <v>29.80046644208344</v>
      </c>
    </row>
    <row r="173" spans="1:8" ht="11.25" customHeight="1" x14ac:dyDescent="0.2">
      <c r="C173" s="1" t="s">
        <v>2253</v>
      </c>
      <c r="D173" s="1" t="s">
        <v>653</v>
      </c>
      <c r="E173" s="16">
        <v>935</v>
      </c>
      <c r="F173" s="34">
        <v>24.229074889867842</v>
      </c>
    </row>
    <row r="174" spans="1:8" ht="11.25" customHeight="1" x14ac:dyDescent="0.2">
      <c r="C174" s="1" t="s">
        <v>2251</v>
      </c>
      <c r="D174" s="1" t="s">
        <v>1072</v>
      </c>
      <c r="E174" s="16">
        <v>1774</v>
      </c>
      <c r="F174" s="34">
        <v>45.970458668048714</v>
      </c>
    </row>
    <row r="175" spans="1:8" ht="11.25" customHeight="1" x14ac:dyDescent="0.2">
      <c r="E175" s="155" t="s">
        <v>151</v>
      </c>
      <c r="F175" s="156">
        <v>100</v>
      </c>
      <c r="G175" s="157">
        <v>5662</v>
      </c>
      <c r="H175" s="158">
        <v>74.599999999999994</v>
      </c>
    </row>
    <row r="176" spans="1:8" ht="11.25" customHeight="1" x14ac:dyDescent="0.2"/>
    <row r="177" spans="1:8" ht="11.25" customHeight="1" x14ac:dyDescent="0.2">
      <c r="B177" s="1">
        <v>2</v>
      </c>
      <c r="C177" s="1" t="s">
        <v>1898</v>
      </c>
      <c r="D177" s="1" t="s">
        <v>1239</v>
      </c>
      <c r="E177" s="16">
        <v>1365</v>
      </c>
    </row>
    <row r="178" spans="1:8" ht="11.25" customHeight="1" x14ac:dyDescent="0.2">
      <c r="C178" s="2" t="s">
        <v>2251</v>
      </c>
      <c r="D178" s="1" t="s">
        <v>1072</v>
      </c>
      <c r="E178" s="16">
        <v>2046</v>
      </c>
    </row>
    <row r="179" spans="1:8" ht="11.25" customHeight="1" x14ac:dyDescent="0.2"/>
    <row r="180" spans="1:8" ht="11.25" customHeight="1" x14ac:dyDescent="0.2">
      <c r="A180" s="1" t="s">
        <v>2254</v>
      </c>
      <c r="C180" s="1" t="s">
        <v>1899</v>
      </c>
      <c r="D180" s="1" t="s">
        <v>1239</v>
      </c>
      <c r="E180" s="16">
        <v>733</v>
      </c>
      <c r="F180" s="34">
        <v>34.124767225325883</v>
      </c>
    </row>
    <row r="181" spans="1:8" ht="11.25" customHeight="1" x14ac:dyDescent="0.2">
      <c r="C181" s="2" t="s">
        <v>2256</v>
      </c>
      <c r="D181" s="1" t="s">
        <v>3173</v>
      </c>
      <c r="E181" s="16">
        <v>1415</v>
      </c>
      <c r="F181" s="34">
        <v>65.875232774674117</v>
      </c>
    </row>
    <row r="182" spans="1:8" ht="11.25" customHeight="1" x14ac:dyDescent="0.2">
      <c r="E182" s="155" t="s">
        <v>152</v>
      </c>
      <c r="F182" s="156">
        <v>100</v>
      </c>
      <c r="G182" s="157">
        <v>3544</v>
      </c>
      <c r="H182" s="158">
        <v>65.400000000000006</v>
      </c>
    </row>
    <row r="183" spans="1:8" ht="11.25" customHeight="1" x14ac:dyDescent="0.2"/>
    <row r="184" spans="1:8" ht="11.25" customHeight="1" x14ac:dyDescent="0.2">
      <c r="A184" s="1" t="s">
        <v>716</v>
      </c>
      <c r="C184" s="2" t="s">
        <v>1769</v>
      </c>
      <c r="D184" s="1" t="s">
        <v>3173</v>
      </c>
      <c r="E184" s="16">
        <v>2834</v>
      </c>
      <c r="F184" s="34">
        <v>62.9498000888494</v>
      </c>
    </row>
    <row r="185" spans="1:8" ht="11.25" customHeight="1" x14ac:dyDescent="0.2">
      <c r="C185" s="1" t="s">
        <v>1900</v>
      </c>
      <c r="D185" s="1" t="s">
        <v>1072</v>
      </c>
      <c r="E185" s="16">
        <v>1668</v>
      </c>
      <c r="F185" s="34">
        <v>37.0501999111506</v>
      </c>
    </row>
    <row r="186" spans="1:8" ht="11.25" customHeight="1" x14ac:dyDescent="0.2">
      <c r="E186" s="155" t="s">
        <v>153</v>
      </c>
      <c r="F186" s="156">
        <v>100</v>
      </c>
      <c r="G186" s="159">
        <v>6499</v>
      </c>
      <c r="H186" s="158">
        <v>72.900000000000006</v>
      </c>
    </row>
    <row r="187" spans="1:8" ht="11.25" customHeight="1" x14ac:dyDescent="0.2">
      <c r="G187" s="24"/>
    </row>
    <row r="188" spans="1:8" ht="11.25" customHeight="1" x14ac:dyDescent="0.2">
      <c r="A188" s="1" t="s">
        <v>1241</v>
      </c>
      <c r="C188" s="1" t="s">
        <v>1901</v>
      </c>
      <c r="D188" s="1" t="s">
        <v>1072</v>
      </c>
      <c r="E188" s="16">
        <v>1577</v>
      </c>
      <c r="F188" s="34">
        <v>46.836946836946836</v>
      </c>
      <c r="G188" s="24"/>
    </row>
    <row r="189" spans="1:8" ht="11.25" customHeight="1" x14ac:dyDescent="0.2">
      <c r="C189" s="2" t="s">
        <v>1318</v>
      </c>
      <c r="D189" s="1" t="s">
        <v>3173</v>
      </c>
      <c r="E189" s="16">
        <v>1790</v>
      </c>
      <c r="F189" s="34">
        <v>53.163053163053164</v>
      </c>
    </row>
    <row r="190" spans="1:8" ht="11.25" customHeight="1" x14ac:dyDescent="0.2">
      <c r="E190" s="155" t="s">
        <v>154</v>
      </c>
      <c r="F190" s="156">
        <v>100</v>
      </c>
      <c r="G190" s="157">
        <v>4678</v>
      </c>
      <c r="H190" s="158">
        <v>74.2</v>
      </c>
    </row>
    <row r="191" spans="1:8" ht="11.25" customHeight="1" x14ac:dyDescent="0.2"/>
    <row r="192" spans="1:8" ht="11.25" customHeight="1" x14ac:dyDescent="0.2">
      <c r="A192" s="1" t="s">
        <v>415</v>
      </c>
      <c r="C192" s="2" t="s">
        <v>448</v>
      </c>
      <c r="D192" s="1" t="s">
        <v>3173</v>
      </c>
      <c r="E192" s="16">
        <v>1331</v>
      </c>
      <c r="F192" s="34">
        <v>62.605832549388523</v>
      </c>
    </row>
    <row r="193" spans="1:8" ht="11.25" customHeight="1" x14ac:dyDescent="0.2">
      <c r="C193" s="1" t="s">
        <v>7</v>
      </c>
      <c r="D193" s="1" t="s">
        <v>653</v>
      </c>
      <c r="E193" s="16">
        <v>795</v>
      </c>
      <c r="F193" s="34">
        <v>37.394167450611477</v>
      </c>
    </row>
    <row r="194" spans="1:8" ht="11.25" customHeight="1" x14ac:dyDescent="0.2">
      <c r="E194" s="155" t="s">
        <v>155</v>
      </c>
      <c r="F194" s="156">
        <v>100</v>
      </c>
      <c r="G194" s="159">
        <v>4695</v>
      </c>
      <c r="H194" s="158">
        <v>47.7</v>
      </c>
    </row>
    <row r="195" spans="1:8" ht="11.25" customHeight="1" x14ac:dyDescent="0.2">
      <c r="G195" s="24"/>
    </row>
    <row r="196" spans="1:8" ht="11.25" customHeight="1" x14ac:dyDescent="0.2">
      <c r="A196" s="1" t="s">
        <v>718</v>
      </c>
      <c r="C196" s="1" t="s">
        <v>1902</v>
      </c>
      <c r="D196" s="1" t="s">
        <v>653</v>
      </c>
      <c r="E196" s="16">
        <v>1160</v>
      </c>
      <c r="F196" s="34">
        <v>35.648432698217576</v>
      </c>
      <c r="G196" s="24"/>
    </row>
    <row r="197" spans="1:8" ht="11.25" customHeight="1" x14ac:dyDescent="0.2">
      <c r="C197" s="2" t="s">
        <v>1327</v>
      </c>
      <c r="D197" s="1" t="s">
        <v>3173</v>
      </c>
      <c r="E197" s="16">
        <v>2094</v>
      </c>
      <c r="F197" s="34">
        <v>64.351567301782424</v>
      </c>
    </row>
    <row r="198" spans="1:8" ht="11.25" customHeight="1" x14ac:dyDescent="0.2">
      <c r="E198" s="155" t="s">
        <v>156</v>
      </c>
      <c r="F198" s="156">
        <v>100</v>
      </c>
      <c r="G198" s="157">
        <v>4982</v>
      </c>
      <c r="H198" s="158">
        <v>67.7</v>
      </c>
    </row>
    <row r="199" spans="1:8" ht="11.25" customHeight="1" x14ac:dyDescent="0.2"/>
    <row r="200" spans="1:8" ht="11.25" customHeight="1" x14ac:dyDescent="0.2">
      <c r="A200" s="1" t="s">
        <v>794</v>
      </c>
      <c r="C200" s="2" t="s">
        <v>1903</v>
      </c>
      <c r="D200" s="1" t="s">
        <v>1072</v>
      </c>
      <c r="E200" s="16">
        <v>959</v>
      </c>
      <c r="F200" s="34">
        <v>51.037786056412983</v>
      </c>
    </row>
    <row r="201" spans="1:8" ht="11.25" customHeight="1" x14ac:dyDescent="0.2">
      <c r="C201" s="1" t="s">
        <v>798</v>
      </c>
      <c r="D201" s="1" t="s">
        <v>3173</v>
      </c>
      <c r="E201" s="16">
        <v>920</v>
      </c>
      <c r="F201" s="34">
        <v>48.962213943587017</v>
      </c>
    </row>
    <row r="202" spans="1:8" ht="11.25" customHeight="1" x14ac:dyDescent="0.2">
      <c r="E202" s="155" t="s">
        <v>157</v>
      </c>
      <c r="F202" s="156">
        <v>100</v>
      </c>
      <c r="G202" s="157">
        <v>2424</v>
      </c>
      <c r="H202" s="158">
        <v>79.099999999999994</v>
      </c>
    </row>
    <row r="203" spans="1:8" ht="11.25" customHeight="1" x14ac:dyDescent="0.2"/>
    <row r="204" spans="1:8" ht="11.25" customHeight="1" x14ac:dyDescent="0.2">
      <c r="A204" s="1" t="s">
        <v>2340</v>
      </c>
      <c r="C204" s="2" t="s">
        <v>1904</v>
      </c>
      <c r="D204" s="1" t="s">
        <v>3173</v>
      </c>
      <c r="E204" s="155"/>
      <c r="F204" s="160" t="s">
        <v>1200</v>
      </c>
      <c r="G204" s="157"/>
      <c r="H204" s="158"/>
    </row>
    <row r="205" spans="1:8" ht="11.25" customHeight="1" x14ac:dyDescent="0.2"/>
    <row r="206" spans="1:8" ht="11.25" customHeight="1" x14ac:dyDescent="0.2">
      <c r="A206" s="1" t="s">
        <v>2341</v>
      </c>
      <c r="C206" s="1" t="s">
        <v>1906</v>
      </c>
      <c r="D206" s="1" t="s">
        <v>1239</v>
      </c>
      <c r="E206" s="16">
        <v>2056</v>
      </c>
      <c r="F206" s="34">
        <v>48.952380952380949</v>
      </c>
    </row>
    <row r="207" spans="1:8" ht="11.25" customHeight="1" x14ac:dyDescent="0.2">
      <c r="C207" s="2" t="s">
        <v>1905</v>
      </c>
      <c r="D207" s="1" t="s">
        <v>3173</v>
      </c>
      <c r="E207" s="16">
        <v>2144</v>
      </c>
      <c r="F207" s="34">
        <v>51.047619047619051</v>
      </c>
    </row>
    <row r="208" spans="1:8" ht="11.25" customHeight="1" x14ac:dyDescent="0.2">
      <c r="E208" s="155" t="s">
        <v>158</v>
      </c>
      <c r="F208" s="156">
        <v>100</v>
      </c>
      <c r="G208" s="157">
        <v>5654</v>
      </c>
      <c r="H208" s="158">
        <v>76.400000000000006</v>
      </c>
    </row>
    <row r="209" spans="1:8" ht="11.25" customHeight="1" x14ac:dyDescent="0.2"/>
    <row r="210" spans="1:8" ht="11.25" customHeight="1" x14ac:dyDescent="0.2">
      <c r="A210" s="1" t="s">
        <v>807</v>
      </c>
      <c r="C210" s="2" t="s">
        <v>809</v>
      </c>
      <c r="D210" s="1" t="s">
        <v>3173</v>
      </c>
      <c r="E210" s="16">
        <v>1672</v>
      </c>
      <c r="F210" s="34">
        <v>60.143884892086334</v>
      </c>
    </row>
    <row r="211" spans="1:8" ht="11.25" customHeight="1" x14ac:dyDescent="0.2">
      <c r="C211" s="1" t="s">
        <v>1908</v>
      </c>
      <c r="D211" s="1" t="s">
        <v>1239</v>
      </c>
      <c r="E211" s="16">
        <v>271</v>
      </c>
      <c r="F211" s="34">
        <v>9.7482014388489215</v>
      </c>
    </row>
    <row r="212" spans="1:8" ht="11.25" customHeight="1" x14ac:dyDescent="0.2">
      <c r="C212" s="1" t="s">
        <v>1907</v>
      </c>
      <c r="D212" s="1" t="s">
        <v>1072</v>
      </c>
      <c r="E212" s="16">
        <v>837</v>
      </c>
      <c r="F212" s="34">
        <v>30.107913669064747</v>
      </c>
    </row>
    <row r="213" spans="1:8" ht="11.25" customHeight="1" x14ac:dyDescent="0.2">
      <c r="E213" s="155" t="s">
        <v>159</v>
      </c>
      <c r="F213" s="156">
        <v>100</v>
      </c>
      <c r="G213" s="157">
        <v>4093</v>
      </c>
      <c r="H213" s="158">
        <v>71.7</v>
      </c>
    </row>
    <row r="214" spans="1:8" ht="11.25" customHeight="1" x14ac:dyDescent="0.2"/>
    <row r="215" spans="1:8" ht="11.25" customHeight="1" x14ac:dyDescent="0.2">
      <c r="A215" s="1" t="s">
        <v>810</v>
      </c>
      <c r="C215" s="2" t="s">
        <v>1461</v>
      </c>
      <c r="D215" s="1" t="s">
        <v>653</v>
      </c>
      <c r="E215" s="16">
        <v>1604</v>
      </c>
      <c r="F215" s="34">
        <v>50.015590894917366</v>
      </c>
    </row>
    <row r="216" spans="1:8" ht="11.25" customHeight="1" x14ac:dyDescent="0.2">
      <c r="C216" s="1" t="s">
        <v>1909</v>
      </c>
      <c r="D216" s="1" t="s">
        <v>1918</v>
      </c>
      <c r="E216" s="16">
        <v>820</v>
      </c>
      <c r="F216" s="34">
        <v>25.569067664483942</v>
      </c>
    </row>
    <row r="217" spans="1:8" ht="11.25" customHeight="1" x14ac:dyDescent="0.2">
      <c r="C217" s="1" t="s">
        <v>1910</v>
      </c>
      <c r="D217" s="1" t="s">
        <v>653</v>
      </c>
      <c r="E217" s="16">
        <v>783</v>
      </c>
      <c r="F217" s="34">
        <v>24.415341440598691</v>
      </c>
    </row>
    <row r="218" spans="1:8" ht="11.25" customHeight="1" x14ac:dyDescent="0.2">
      <c r="E218" s="155" t="s">
        <v>160</v>
      </c>
      <c r="F218" s="156">
        <v>100</v>
      </c>
      <c r="G218" s="159">
        <v>5242</v>
      </c>
      <c r="H218" s="158">
        <v>66.5</v>
      </c>
    </row>
    <row r="219" spans="1:8" ht="11.25" customHeight="1" x14ac:dyDescent="0.2">
      <c r="G219" s="24"/>
    </row>
    <row r="220" spans="1:8" ht="11.25" customHeight="1" x14ac:dyDescent="0.2">
      <c r="A220" s="1" t="s">
        <v>446</v>
      </c>
      <c r="C220" s="1" t="s">
        <v>1463</v>
      </c>
      <c r="D220" s="1" t="s">
        <v>1072</v>
      </c>
      <c r="E220" s="16">
        <v>1161</v>
      </c>
      <c r="F220" s="34">
        <v>44.860896445131374</v>
      </c>
      <c r="G220" s="24"/>
    </row>
    <row r="221" spans="1:8" ht="11.25" customHeight="1" x14ac:dyDescent="0.2">
      <c r="C221" s="2" t="s">
        <v>720</v>
      </c>
      <c r="D221" s="1" t="s">
        <v>3173</v>
      </c>
      <c r="E221" s="16">
        <v>1427</v>
      </c>
      <c r="F221" s="34">
        <v>55.139103554868626</v>
      </c>
    </row>
    <row r="222" spans="1:8" ht="11.25" customHeight="1" x14ac:dyDescent="0.2">
      <c r="E222" s="155" t="s">
        <v>161</v>
      </c>
      <c r="F222" s="156">
        <v>100</v>
      </c>
      <c r="G222" s="157">
        <v>3348</v>
      </c>
      <c r="H222" s="158">
        <v>80</v>
      </c>
    </row>
    <row r="223" spans="1:8" ht="11.25" customHeight="1" x14ac:dyDescent="0.2"/>
    <row r="224" spans="1:8" ht="11.25" customHeight="1" x14ac:dyDescent="0.2">
      <c r="A224" s="1" t="s">
        <v>3262</v>
      </c>
      <c r="C224" s="2" t="s">
        <v>2272</v>
      </c>
      <c r="D224" s="1" t="s">
        <v>1072</v>
      </c>
      <c r="E224" s="16">
        <v>1653</v>
      </c>
      <c r="F224" s="34">
        <v>50.273722627737229</v>
      </c>
    </row>
    <row r="225" spans="1:8" ht="11.25" customHeight="1" x14ac:dyDescent="0.2">
      <c r="C225" s="1" t="s">
        <v>2273</v>
      </c>
      <c r="D225" s="1" t="s">
        <v>3173</v>
      </c>
      <c r="E225" s="16">
        <v>1635</v>
      </c>
      <c r="F225" s="34">
        <v>49.726277372262771</v>
      </c>
    </row>
    <row r="226" spans="1:8" ht="11.25" customHeight="1" x14ac:dyDescent="0.2">
      <c r="E226" s="155" t="s">
        <v>162</v>
      </c>
      <c r="F226" s="156">
        <v>100</v>
      </c>
      <c r="G226" s="157">
        <v>4776</v>
      </c>
      <c r="H226" s="158">
        <v>71.900000000000006</v>
      </c>
    </row>
    <row r="227" spans="1:8" ht="11.25" customHeight="1" x14ac:dyDescent="0.2"/>
    <row r="228" spans="1:8" ht="11.25" customHeight="1" x14ac:dyDescent="0.2">
      <c r="A228" s="1" t="s">
        <v>1385</v>
      </c>
      <c r="C228" s="2" t="s">
        <v>1462</v>
      </c>
      <c r="D228" s="1" t="s">
        <v>3173</v>
      </c>
      <c r="E228" s="16">
        <v>2265</v>
      </c>
      <c r="F228" s="34">
        <v>73.229873908826377</v>
      </c>
    </row>
    <row r="229" spans="1:8" ht="11.25" customHeight="1" x14ac:dyDescent="0.2">
      <c r="C229" s="1" t="s">
        <v>2276</v>
      </c>
      <c r="D229" s="1" t="s">
        <v>1239</v>
      </c>
      <c r="E229" s="16">
        <v>828</v>
      </c>
      <c r="F229" s="34">
        <v>26.770126091173619</v>
      </c>
    </row>
    <row r="230" spans="1:8" ht="11.25" customHeight="1" x14ac:dyDescent="0.2">
      <c r="E230" s="155" t="s">
        <v>163</v>
      </c>
      <c r="F230" s="156">
        <v>100</v>
      </c>
      <c r="G230" s="157">
        <v>5116</v>
      </c>
      <c r="H230" s="158">
        <v>62.6</v>
      </c>
    </row>
    <row r="231" spans="1:8" ht="11.25" customHeight="1" x14ac:dyDescent="0.2"/>
    <row r="232" spans="1:8" ht="11.25" customHeight="1" x14ac:dyDescent="0.2">
      <c r="A232" s="1" t="s">
        <v>1552</v>
      </c>
      <c r="C232" s="1" t="s">
        <v>2274</v>
      </c>
      <c r="D232" s="1" t="s">
        <v>1239</v>
      </c>
      <c r="E232" s="16">
        <v>1147</v>
      </c>
      <c r="F232" s="34">
        <v>29.854242581988547</v>
      </c>
    </row>
    <row r="233" spans="1:8" ht="11.25" customHeight="1" x14ac:dyDescent="0.2">
      <c r="C233" s="1" t="s">
        <v>2275</v>
      </c>
      <c r="D233" s="1" t="s">
        <v>1072</v>
      </c>
      <c r="E233" s="16">
        <v>761</v>
      </c>
      <c r="F233" s="34">
        <v>19.807391983342008</v>
      </c>
    </row>
    <row r="234" spans="1:8" ht="11.25" customHeight="1" x14ac:dyDescent="0.2">
      <c r="C234" s="2" t="s">
        <v>1468</v>
      </c>
      <c r="D234" s="1" t="s">
        <v>3173</v>
      </c>
      <c r="E234" s="16">
        <v>1934</v>
      </c>
      <c r="F234" s="34">
        <v>50.338365434669441</v>
      </c>
    </row>
    <row r="235" spans="1:8" ht="11.25" customHeight="1" x14ac:dyDescent="0.2">
      <c r="E235" s="155" t="s">
        <v>164</v>
      </c>
      <c r="F235" s="156">
        <v>100</v>
      </c>
      <c r="G235" s="157">
        <v>5743</v>
      </c>
      <c r="H235" s="158">
        <v>70.7</v>
      </c>
    </row>
    <row r="236" spans="1:8" ht="11.25" customHeight="1" x14ac:dyDescent="0.2"/>
    <row r="237" spans="1:8" ht="11.25" customHeight="1" x14ac:dyDescent="0.2">
      <c r="A237" s="1" t="s">
        <v>2545</v>
      </c>
      <c r="C237" s="1" t="s">
        <v>2278</v>
      </c>
      <c r="D237" s="1" t="s">
        <v>1072</v>
      </c>
      <c r="E237" s="16">
        <v>1247</v>
      </c>
      <c r="F237" s="34">
        <v>47.003392385978138</v>
      </c>
    </row>
    <row r="238" spans="1:8" ht="11.25" customHeight="1" x14ac:dyDescent="0.2">
      <c r="C238" s="2" t="s">
        <v>2277</v>
      </c>
      <c r="D238" s="1" t="s">
        <v>3173</v>
      </c>
      <c r="E238" s="16">
        <v>1406</v>
      </c>
      <c r="F238" s="34">
        <v>52.996607614021862</v>
      </c>
    </row>
    <row r="239" spans="1:8" ht="11.25" customHeight="1" x14ac:dyDescent="0.2">
      <c r="E239" s="155" t="s">
        <v>165</v>
      </c>
      <c r="F239" s="156">
        <v>100</v>
      </c>
      <c r="G239" s="157">
        <v>4150</v>
      </c>
      <c r="H239" s="158">
        <v>69.2</v>
      </c>
    </row>
    <row r="240" spans="1:8" ht="11.25" customHeight="1" x14ac:dyDescent="0.2"/>
    <row r="241" spans="1:8" ht="11.25" customHeight="1" x14ac:dyDescent="0.2">
      <c r="A241" s="1" t="s">
        <v>1470</v>
      </c>
      <c r="C241" s="2" t="s">
        <v>2279</v>
      </c>
      <c r="D241" s="1" t="s">
        <v>3173</v>
      </c>
      <c r="E241" s="16">
        <v>2556</v>
      </c>
      <c r="F241" s="34">
        <v>69.362279511533245</v>
      </c>
    </row>
    <row r="242" spans="1:8" ht="11.25" customHeight="1" x14ac:dyDescent="0.2">
      <c r="C242" s="1" t="s">
        <v>2280</v>
      </c>
      <c r="D242" s="1" t="s">
        <v>1072</v>
      </c>
      <c r="E242" s="16">
        <v>1129</v>
      </c>
      <c r="F242" s="34">
        <v>30.637720488466758</v>
      </c>
    </row>
    <row r="243" spans="1:8" ht="11.25" customHeight="1" x14ac:dyDescent="0.2">
      <c r="E243" s="155" t="s">
        <v>166</v>
      </c>
      <c r="F243" s="156">
        <v>100</v>
      </c>
      <c r="G243" s="159">
        <v>6099</v>
      </c>
      <c r="H243" s="158">
        <v>63</v>
      </c>
    </row>
    <row r="244" spans="1:8" ht="11.25" customHeight="1" x14ac:dyDescent="0.2">
      <c r="G244" s="24"/>
    </row>
    <row r="245" spans="1:8" ht="11.25" customHeight="1" x14ac:dyDescent="0.2">
      <c r="A245" s="1" t="s">
        <v>1198</v>
      </c>
      <c r="C245" s="1" t="s">
        <v>2282</v>
      </c>
      <c r="D245" s="1" t="s">
        <v>653</v>
      </c>
      <c r="E245" s="16">
        <v>1516</v>
      </c>
      <c r="F245" s="34">
        <v>45.065398335315102</v>
      </c>
      <c r="G245" s="24"/>
    </row>
    <row r="246" spans="1:8" ht="11.25" customHeight="1" x14ac:dyDescent="0.2">
      <c r="C246" s="2" t="s">
        <v>2281</v>
      </c>
      <c r="D246" s="1" t="s">
        <v>3173</v>
      </c>
      <c r="E246" s="16">
        <v>1848</v>
      </c>
      <c r="F246" s="34">
        <v>54.934601664684898</v>
      </c>
    </row>
    <row r="247" spans="1:8" ht="11.25" customHeight="1" x14ac:dyDescent="0.2">
      <c r="E247" s="155" t="s">
        <v>167</v>
      </c>
      <c r="F247" s="156">
        <v>100</v>
      </c>
      <c r="G247" s="157">
        <v>4829</v>
      </c>
      <c r="H247" s="158">
        <v>72.2</v>
      </c>
    </row>
    <row r="248" spans="1:8" ht="11.25" customHeight="1" x14ac:dyDescent="0.2"/>
    <row r="249" spans="1:8" ht="11.25" customHeight="1" x14ac:dyDescent="0.2">
      <c r="A249" s="1" t="s">
        <v>2283</v>
      </c>
      <c r="C249" s="2" t="s">
        <v>1323</v>
      </c>
      <c r="D249" s="1" t="s">
        <v>3173</v>
      </c>
      <c r="E249" s="16">
        <v>2364</v>
      </c>
      <c r="F249" s="34">
        <v>57.364717301625817</v>
      </c>
    </row>
    <row r="250" spans="1:8" ht="11.25" customHeight="1" x14ac:dyDescent="0.2">
      <c r="C250" s="1" t="s">
        <v>2284</v>
      </c>
      <c r="D250" s="1" t="s">
        <v>1072</v>
      </c>
      <c r="E250" s="16">
        <v>1757</v>
      </c>
      <c r="F250" s="34">
        <v>42.635282698374183</v>
      </c>
    </row>
    <row r="251" spans="1:8" ht="11.25" customHeight="1" x14ac:dyDescent="0.2">
      <c r="E251" s="155" t="s">
        <v>168</v>
      </c>
      <c r="F251" s="156">
        <v>100</v>
      </c>
      <c r="G251" s="159">
        <v>5919</v>
      </c>
      <c r="H251" s="158">
        <v>72.900000000000006</v>
      </c>
    </row>
    <row r="252" spans="1:8" ht="11.25" customHeight="1" x14ac:dyDescent="0.2">
      <c r="G252" s="24"/>
    </row>
    <row r="253" spans="1:8" ht="11.25" customHeight="1" x14ac:dyDescent="0.2">
      <c r="A253" s="1" t="s">
        <v>1309</v>
      </c>
      <c r="C253" s="1" t="s">
        <v>2285</v>
      </c>
      <c r="D253" s="1" t="s">
        <v>1072</v>
      </c>
      <c r="E253" s="16">
        <v>815</v>
      </c>
      <c r="F253" s="34">
        <v>24.212715389185977</v>
      </c>
      <c r="G253" s="24"/>
    </row>
    <row r="254" spans="1:8" ht="11.25" customHeight="1" x14ac:dyDescent="0.2">
      <c r="C254" s="2" t="s">
        <v>1489</v>
      </c>
      <c r="D254" s="1" t="s">
        <v>3173</v>
      </c>
      <c r="E254" s="16">
        <v>2551</v>
      </c>
      <c r="F254" s="34">
        <v>75.787284610814027</v>
      </c>
    </row>
    <row r="255" spans="1:8" ht="11.25" customHeight="1" x14ac:dyDescent="0.2">
      <c r="E255" s="155" t="s">
        <v>169</v>
      </c>
      <c r="F255" s="156">
        <v>100</v>
      </c>
      <c r="G255" s="157">
        <v>5624</v>
      </c>
      <c r="H255" s="158">
        <v>62.3</v>
      </c>
    </row>
    <row r="256" spans="1:8" ht="11.25" customHeight="1" x14ac:dyDescent="0.2"/>
    <row r="257" spans="1:8" ht="11.25" customHeight="1" x14ac:dyDescent="0.2">
      <c r="A257" s="1" t="s">
        <v>1492</v>
      </c>
      <c r="C257" s="1" t="s">
        <v>2287</v>
      </c>
      <c r="D257" s="1" t="s">
        <v>1072</v>
      </c>
      <c r="E257" s="16">
        <v>1522</v>
      </c>
      <c r="F257" s="34">
        <v>48.210326259106743</v>
      </c>
    </row>
    <row r="258" spans="1:8" ht="11.25" customHeight="1" x14ac:dyDescent="0.2">
      <c r="C258" s="2" t="s">
        <v>2286</v>
      </c>
      <c r="D258" s="1" t="s">
        <v>3173</v>
      </c>
      <c r="E258" s="16">
        <v>1588</v>
      </c>
      <c r="F258" s="34">
        <v>50.300918593601523</v>
      </c>
    </row>
    <row r="259" spans="1:8" ht="11.25" customHeight="1" x14ac:dyDescent="0.2">
      <c r="C259" s="1" t="s">
        <v>2288</v>
      </c>
      <c r="D259" s="1" t="s">
        <v>653</v>
      </c>
      <c r="E259" s="16">
        <v>47</v>
      </c>
      <c r="F259" s="34">
        <v>1.4887551472917326</v>
      </c>
    </row>
    <row r="260" spans="1:8" ht="11.25" customHeight="1" x14ac:dyDescent="0.2">
      <c r="E260" s="155" t="s">
        <v>170</v>
      </c>
      <c r="F260" s="156">
        <v>100</v>
      </c>
      <c r="G260" s="159">
        <v>4326</v>
      </c>
      <c r="H260" s="158">
        <v>77</v>
      </c>
    </row>
    <row r="261" spans="1:8" ht="11.25" customHeight="1" x14ac:dyDescent="0.2">
      <c r="G261" s="24"/>
    </row>
    <row r="262" spans="1:8" ht="11.25" customHeight="1" x14ac:dyDescent="0.2">
      <c r="A262" s="1" t="s">
        <v>2564</v>
      </c>
      <c r="B262" s="1">
        <v>1</v>
      </c>
      <c r="C262" s="1" t="s">
        <v>2290</v>
      </c>
      <c r="D262" s="1" t="s">
        <v>1072</v>
      </c>
      <c r="E262" s="16">
        <v>650</v>
      </c>
      <c r="F262" s="34">
        <v>20.960980328926151</v>
      </c>
      <c r="G262" s="24"/>
    </row>
    <row r="263" spans="1:8" ht="11.25" customHeight="1" x14ac:dyDescent="0.2">
      <c r="C263" s="1" t="s">
        <v>2301</v>
      </c>
      <c r="D263" s="1" t="s">
        <v>3173</v>
      </c>
      <c r="E263" s="16">
        <v>1446</v>
      </c>
      <c r="F263" s="34">
        <v>46.630119316349564</v>
      </c>
    </row>
    <row r="264" spans="1:8" ht="11.25" customHeight="1" x14ac:dyDescent="0.2">
      <c r="C264" s="1" t="s">
        <v>2289</v>
      </c>
      <c r="D264" s="1" t="s">
        <v>653</v>
      </c>
      <c r="E264" s="16">
        <v>1005</v>
      </c>
      <c r="F264" s="34">
        <v>32.408900354724281</v>
      </c>
    </row>
    <row r="265" spans="1:8" ht="11.25" customHeight="1" x14ac:dyDescent="0.2">
      <c r="E265" s="155" t="s">
        <v>171</v>
      </c>
      <c r="F265" s="156">
        <v>100</v>
      </c>
      <c r="G265" s="157">
        <v>4333</v>
      </c>
      <c r="H265" s="158">
        <v>74.900000000000006</v>
      </c>
    </row>
    <row r="266" spans="1:8" ht="11.25" customHeight="1" x14ac:dyDescent="0.2"/>
    <row r="267" spans="1:8" ht="11.25" customHeight="1" x14ac:dyDescent="0.2">
      <c r="B267" s="1">
        <v>2</v>
      </c>
      <c r="C267" s="2" t="s">
        <v>2302</v>
      </c>
      <c r="D267" s="1" t="s">
        <v>3173</v>
      </c>
      <c r="E267" s="16">
        <v>1564</v>
      </c>
    </row>
    <row r="268" spans="1:8" ht="11.25" customHeight="1" x14ac:dyDescent="0.2">
      <c r="C268" s="1" t="s">
        <v>2289</v>
      </c>
      <c r="D268" s="1" t="s">
        <v>653</v>
      </c>
      <c r="E268" s="16">
        <v>1254</v>
      </c>
    </row>
    <row r="269" spans="1:8" ht="11.25" customHeight="1" x14ac:dyDescent="0.2"/>
    <row r="270" spans="1:8" ht="11.25" customHeight="1" x14ac:dyDescent="0.2">
      <c r="A270" s="1" t="s">
        <v>1199</v>
      </c>
      <c r="C270" s="2" t="s">
        <v>2308</v>
      </c>
      <c r="D270" s="1" t="s">
        <v>3173</v>
      </c>
      <c r="E270" s="16">
        <v>1342</v>
      </c>
      <c r="F270" s="34">
        <v>65.43149683081424</v>
      </c>
    </row>
    <row r="271" spans="1:8" ht="11.25" customHeight="1" x14ac:dyDescent="0.2">
      <c r="C271" s="1" t="s">
        <v>2291</v>
      </c>
      <c r="D271" s="1" t="s">
        <v>1072</v>
      </c>
      <c r="E271" s="16">
        <v>709</v>
      </c>
      <c r="F271" s="34">
        <v>34.56850316918576</v>
      </c>
    </row>
    <row r="272" spans="1:8" ht="11.25" customHeight="1" x14ac:dyDescent="0.2">
      <c r="E272" s="155" t="s">
        <v>172</v>
      </c>
      <c r="F272" s="156">
        <v>100</v>
      </c>
      <c r="G272" s="157">
        <v>3010</v>
      </c>
      <c r="H272" s="158">
        <v>70.7</v>
      </c>
    </row>
    <row r="273" spans="1:8" ht="11.25" customHeight="1" x14ac:dyDescent="0.2"/>
    <row r="274" spans="1:8" ht="11.25" customHeight="1" x14ac:dyDescent="0.2">
      <c r="A274" s="1" t="s">
        <v>1311</v>
      </c>
      <c r="C274" s="2" t="s">
        <v>1026</v>
      </c>
      <c r="D274" s="1" t="s">
        <v>1072</v>
      </c>
      <c r="E274" s="16">
        <v>1713</v>
      </c>
      <c r="F274" s="34">
        <v>54.728434504792332</v>
      </c>
    </row>
    <row r="275" spans="1:8" ht="11.25" customHeight="1" x14ac:dyDescent="0.2">
      <c r="C275" s="1" t="s">
        <v>2311</v>
      </c>
      <c r="D275" s="1" t="s">
        <v>3173</v>
      </c>
      <c r="E275" s="16">
        <v>1417</v>
      </c>
      <c r="F275" s="34">
        <v>45.271565495207668</v>
      </c>
    </row>
    <row r="276" spans="1:8" ht="11.25" customHeight="1" x14ac:dyDescent="0.2">
      <c r="E276" s="155" t="s">
        <v>173</v>
      </c>
      <c r="F276" s="156">
        <v>100</v>
      </c>
      <c r="G276" s="157">
        <v>4040</v>
      </c>
      <c r="H276" s="158">
        <v>77.5</v>
      </c>
    </row>
    <row r="277" spans="1:8" ht="11.25" customHeight="1" x14ac:dyDescent="0.2"/>
    <row r="278" spans="1:8" ht="11.25" customHeight="1" x14ac:dyDescent="0.2">
      <c r="A278" s="1" t="s">
        <v>2292</v>
      </c>
      <c r="C278" s="2" t="s">
        <v>2293</v>
      </c>
      <c r="D278" s="1" t="s">
        <v>3173</v>
      </c>
      <c r="E278" s="16">
        <v>1799</v>
      </c>
      <c r="F278" s="34">
        <v>68.874425727411946</v>
      </c>
    </row>
    <row r="279" spans="1:8" ht="11.25" customHeight="1" x14ac:dyDescent="0.2">
      <c r="C279" s="1" t="s">
        <v>2295</v>
      </c>
      <c r="D279" s="1" t="s">
        <v>653</v>
      </c>
      <c r="E279" s="16">
        <v>47</v>
      </c>
      <c r="F279" s="34">
        <v>1.7993874425727412</v>
      </c>
    </row>
    <row r="280" spans="1:8" ht="11.25" customHeight="1" x14ac:dyDescent="0.2">
      <c r="C280" s="1" t="s">
        <v>2294</v>
      </c>
      <c r="D280" s="1" t="s">
        <v>1072</v>
      </c>
      <c r="E280" s="16">
        <v>766</v>
      </c>
      <c r="F280" s="34">
        <v>29.326186830015313</v>
      </c>
    </row>
    <row r="281" spans="1:8" ht="11.25" customHeight="1" x14ac:dyDescent="0.2">
      <c r="E281" s="155" t="s">
        <v>174</v>
      </c>
      <c r="F281" s="156">
        <v>100</v>
      </c>
      <c r="G281" s="159">
        <v>4468</v>
      </c>
      <c r="H281" s="158">
        <v>59.8</v>
      </c>
    </row>
    <row r="282" spans="1:8" ht="11.25" customHeight="1" x14ac:dyDescent="0.2">
      <c r="G282" s="24"/>
    </row>
    <row r="283" spans="1:8" ht="11.25" customHeight="1" x14ac:dyDescent="0.2">
      <c r="F283" s="35"/>
      <c r="G283" s="24"/>
    </row>
    <row r="284" spans="1:8" ht="11.25" customHeight="1" x14ac:dyDescent="0.2">
      <c r="A284" s="22" t="s">
        <v>1131</v>
      </c>
      <c r="B284" s="22"/>
      <c r="C284" s="22"/>
      <c r="D284" s="22"/>
      <c r="E284" s="33" t="s">
        <v>766</v>
      </c>
      <c r="F284" s="39"/>
      <c r="G284" s="23">
        <f>SUM(G5:G281)</f>
        <v>293798</v>
      </c>
      <c r="H284" s="120">
        <f>(188219+7707)/G284*100</f>
        <v>66.687315774784039</v>
      </c>
    </row>
    <row r="285" spans="1:8" ht="11.25" customHeight="1" x14ac:dyDescent="0.2"/>
    <row r="286" spans="1:8" s="5" customFormat="1" ht="11.25" customHeight="1" x14ac:dyDescent="0.2">
      <c r="A286" s="6" t="s">
        <v>1289</v>
      </c>
      <c r="B286" s="6"/>
      <c r="C286" s="8"/>
      <c r="D286" s="8"/>
      <c r="E286" s="137"/>
      <c r="F286" s="138"/>
      <c r="G286" s="139"/>
      <c r="H286" s="82"/>
    </row>
    <row r="287" spans="1:8" s="143" customFormat="1" ht="33.75" customHeight="1" x14ac:dyDescent="0.2">
      <c r="A287" s="272" t="s">
        <v>2651</v>
      </c>
      <c r="B287" s="272"/>
      <c r="C287" s="272"/>
      <c r="D287" s="272"/>
      <c r="E287" s="272"/>
      <c r="F287" s="272"/>
      <c r="G287" s="272"/>
      <c r="H287" s="272"/>
    </row>
    <row r="288" spans="1:8" s="26" customFormat="1" ht="11.25" customHeight="1" x14ac:dyDescent="0.2">
      <c r="A288" s="273" t="s">
        <v>1288</v>
      </c>
      <c r="B288" s="273"/>
      <c r="C288" s="273"/>
      <c r="D288" s="273"/>
      <c r="E288" s="273"/>
      <c r="F288" s="273"/>
      <c r="G288" s="273"/>
      <c r="H288" s="273"/>
    </row>
    <row r="289" spans="1:8" s="26" customFormat="1" ht="11.25" customHeight="1" x14ac:dyDescent="0.2">
      <c r="A289" s="274" t="s">
        <v>2654</v>
      </c>
      <c r="B289" s="274"/>
      <c r="C289" s="274"/>
      <c r="D289" s="274"/>
      <c r="E289" s="274"/>
      <c r="F289" s="274"/>
      <c r="G289" s="274"/>
      <c r="H289" s="274"/>
    </row>
    <row r="290" spans="1:8" s="26" customFormat="1" ht="11.25" customHeight="1" x14ac:dyDescent="0.2">
      <c r="A290" s="273" t="s">
        <v>2655</v>
      </c>
      <c r="B290" s="273"/>
      <c r="C290" s="273"/>
      <c r="D290" s="273"/>
      <c r="E290" s="273"/>
      <c r="F290" s="273"/>
      <c r="G290" s="273"/>
      <c r="H290" s="273"/>
    </row>
    <row r="291" spans="1:8" ht="11.25" customHeight="1" x14ac:dyDescent="0.2"/>
  </sheetData>
  <mergeCells count="6">
    <mergeCell ref="A290:H290"/>
    <mergeCell ref="A289:H289"/>
    <mergeCell ref="A1:H1"/>
    <mergeCell ref="A287:H287"/>
    <mergeCell ref="F2:H2"/>
    <mergeCell ref="A288:H288"/>
  </mergeCells>
  <phoneticPr fontId="0" type="noConversion"/>
  <pageMargins left="0.5" right="0.16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3"/>
  <sheetViews>
    <sheetView workbookViewId="0">
      <pane ySplit="3" topLeftCell="A362" activePane="bottomLeft" state="frozen"/>
      <selection activeCell="G3" sqref="G3"/>
      <selection pane="bottomLeft" activeCell="E397" sqref="E397"/>
    </sheetView>
  </sheetViews>
  <sheetFormatPr defaultRowHeight="11.25" x14ac:dyDescent="0.2"/>
  <cols>
    <col min="1" max="1" width="20.7109375" style="1" customWidth="1"/>
    <col min="2" max="2" width="2.7109375" style="1" customWidth="1"/>
    <col min="3" max="3" width="20.7109375" style="1" customWidth="1"/>
    <col min="4" max="4" width="18.7109375" style="1" customWidth="1"/>
    <col min="5" max="5" width="9.7109375" style="19" customWidth="1"/>
    <col min="6" max="6" width="9.7109375" style="25" customWidth="1"/>
    <col min="7" max="7" width="9" style="21" customWidth="1"/>
    <col min="8" max="8" width="7.7109375" style="25" customWidth="1"/>
    <col min="9" max="16384" width="9.140625" style="1"/>
  </cols>
  <sheetData>
    <row r="1" spans="1:8" s="71" customFormat="1" ht="24" customHeight="1" x14ac:dyDescent="0.2">
      <c r="A1" s="270" t="s">
        <v>2332</v>
      </c>
      <c r="B1" s="270"/>
      <c r="C1" s="270"/>
      <c r="D1" s="270"/>
      <c r="E1" s="270"/>
      <c r="F1" s="270"/>
      <c r="G1" s="270"/>
      <c r="H1" s="270"/>
    </row>
    <row r="2" spans="1:8" s="41" customFormat="1" ht="42" customHeight="1" thickBot="1" x14ac:dyDescent="0.25">
      <c r="A2" s="135" t="s">
        <v>972</v>
      </c>
      <c r="B2" s="135"/>
      <c r="C2" s="135"/>
      <c r="D2" s="75" t="s">
        <v>1312</v>
      </c>
      <c r="E2" s="136"/>
      <c r="F2" s="271" t="s">
        <v>1277</v>
      </c>
      <c r="G2" s="271"/>
      <c r="H2" s="271"/>
    </row>
    <row r="3" spans="1:8" s="57" customFormat="1" ht="52.5" customHeight="1" thickBot="1" x14ac:dyDescent="0.25">
      <c r="A3" s="58" t="s">
        <v>1284</v>
      </c>
      <c r="B3" s="59"/>
      <c r="C3" s="59" t="s">
        <v>1285</v>
      </c>
      <c r="D3" s="59" t="s">
        <v>2652</v>
      </c>
      <c r="E3" s="73" t="s">
        <v>2653</v>
      </c>
      <c r="F3" s="74" t="s">
        <v>1286</v>
      </c>
      <c r="G3" s="73" t="s">
        <v>1287</v>
      </c>
      <c r="H3" s="74" t="s">
        <v>2656</v>
      </c>
    </row>
    <row r="4" spans="1:8" s="40" customFormat="1" ht="11.25" customHeight="1" x14ac:dyDescent="0.2">
      <c r="A4" s="62"/>
      <c r="B4" s="63"/>
      <c r="F4" s="131"/>
      <c r="G4" s="64"/>
      <c r="H4" s="129"/>
    </row>
    <row r="5" spans="1:8" ht="11.25" customHeight="1" x14ac:dyDescent="0.2">
      <c r="A5" s="1" t="s">
        <v>3172</v>
      </c>
      <c r="C5" s="1" t="s">
        <v>3174</v>
      </c>
      <c r="D5" s="1" t="s">
        <v>1072</v>
      </c>
      <c r="E5" s="19">
        <v>289</v>
      </c>
      <c r="F5" s="25">
        <v>10.505270810614322</v>
      </c>
    </row>
    <row r="6" spans="1:8" ht="11.25" customHeight="1" x14ac:dyDescent="0.2">
      <c r="C6" s="2" t="s">
        <v>3083</v>
      </c>
      <c r="D6" s="1" t="s">
        <v>1071</v>
      </c>
      <c r="E6" s="19">
        <v>1834</v>
      </c>
      <c r="F6" s="25">
        <v>66.666666666666671</v>
      </c>
    </row>
    <row r="7" spans="1:8" ht="11.25" customHeight="1" x14ac:dyDescent="0.2">
      <c r="C7" s="1" t="s">
        <v>1771</v>
      </c>
      <c r="D7" s="1" t="s">
        <v>3173</v>
      </c>
      <c r="E7" s="19">
        <v>628</v>
      </c>
      <c r="F7" s="25">
        <v>22.828062522719012</v>
      </c>
    </row>
    <row r="8" spans="1:8" ht="11.25" customHeight="1" x14ac:dyDescent="0.2">
      <c r="E8" s="162" t="s">
        <v>721</v>
      </c>
      <c r="F8" s="163">
        <v>100</v>
      </c>
      <c r="G8" s="157">
        <v>3142</v>
      </c>
      <c r="H8" s="163">
        <v>90.3</v>
      </c>
    </row>
    <row r="9" spans="1:8" ht="11.25" customHeight="1" x14ac:dyDescent="0.2"/>
    <row r="10" spans="1:8" ht="11.25" customHeight="1" x14ac:dyDescent="0.2">
      <c r="A10" s="1" t="s">
        <v>3267</v>
      </c>
      <c r="C10" s="2" t="s">
        <v>1166</v>
      </c>
      <c r="D10" s="1" t="s">
        <v>1071</v>
      </c>
      <c r="E10" s="19">
        <v>2479</v>
      </c>
      <c r="F10" s="25">
        <v>56.818702727481089</v>
      </c>
    </row>
    <row r="11" spans="1:8" ht="11.25" customHeight="1" x14ac:dyDescent="0.2">
      <c r="C11" s="1" t="s">
        <v>3175</v>
      </c>
      <c r="D11" s="1" t="s">
        <v>3173</v>
      </c>
      <c r="E11" s="19">
        <v>924</v>
      </c>
      <c r="F11" s="25">
        <v>21.178088471235387</v>
      </c>
    </row>
    <row r="12" spans="1:8" ht="11.25" customHeight="1" x14ac:dyDescent="0.2">
      <c r="C12" s="1" t="s">
        <v>1983</v>
      </c>
      <c r="D12" s="1" t="s">
        <v>1239</v>
      </c>
      <c r="E12" s="19">
        <v>202</v>
      </c>
      <c r="F12" s="25">
        <v>4.6298418519367406</v>
      </c>
    </row>
    <row r="13" spans="1:8" ht="11.25" customHeight="1" x14ac:dyDescent="0.2">
      <c r="C13" s="1" t="s">
        <v>3176</v>
      </c>
      <c r="D13" s="1" t="s">
        <v>1072</v>
      </c>
      <c r="E13" s="19">
        <v>561</v>
      </c>
      <c r="F13" s="25">
        <v>12.858125143250057</v>
      </c>
    </row>
    <row r="14" spans="1:8" ht="11.25" customHeight="1" x14ac:dyDescent="0.2">
      <c r="C14" s="1" t="s">
        <v>3082</v>
      </c>
      <c r="D14" s="1" t="s">
        <v>1547</v>
      </c>
      <c r="E14" s="19">
        <v>197</v>
      </c>
      <c r="F14" s="25">
        <v>4.5152418060967223</v>
      </c>
    </row>
    <row r="15" spans="1:8" ht="11.25" customHeight="1" x14ac:dyDescent="0.2">
      <c r="E15" s="162" t="s">
        <v>722</v>
      </c>
      <c r="F15" s="163">
        <v>100</v>
      </c>
      <c r="G15" s="157">
        <v>5800</v>
      </c>
      <c r="H15" s="163">
        <v>78.3</v>
      </c>
    </row>
    <row r="16" spans="1:8" ht="11.25" customHeight="1" x14ac:dyDescent="0.2"/>
    <row r="17" spans="1:8" ht="11.25" customHeight="1" x14ac:dyDescent="0.2">
      <c r="A17" s="1" t="s">
        <v>2266</v>
      </c>
      <c r="C17" s="1" t="s">
        <v>1985</v>
      </c>
      <c r="D17" s="1" t="s">
        <v>1072</v>
      </c>
      <c r="E17" s="19">
        <v>950</v>
      </c>
      <c r="F17" s="25">
        <v>31.363486299108615</v>
      </c>
    </row>
    <row r="18" spans="1:8" ht="11.25" customHeight="1" x14ac:dyDescent="0.2">
      <c r="C18" s="1" t="s">
        <v>1986</v>
      </c>
      <c r="D18" s="1" t="s">
        <v>1239</v>
      </c>
      <c r="E18" s="19">
        <v>315</v>
      </c>
      <c r="F18" s="25">
        <v>10.399471772862331</v>
      </c>
    </row>
    <row r="19" spans="1:8" ht="11.25" customHeight="1" x14ac:dyDescent="0.2">
      <c r="C19" s="2" t="s">
        <v>1984</v>
      </c>
      <c r="D19" s="1" t="s">
        <v>1071</v>
      </c>
      <c r="E19" s="16">
        <v>1764</v>
      </c>
      <c r="F19" s="34">
        <v>58.237041928029051</v>
      </c>
    </row>
    <row r="20" spans="1:8" ht="11.25" customHeight="1" x14ac:dyDescent="0.2">
      <c r="E20" s="162" t="s">
        <v>1952</v>
      </c>
      <c r="F20" s="163">
        <v>100</v>
      </c>
      <c r="G20" s="157">
        <v>4264</v>
      </c>
      <c r="H20" s="163">
        <v>71</v>
      </c>
    </row>
    <row r="21" spans="1:8" ht="11.25" customHeight="1" x14ac:dyDescent="0.2"/>
    <row r="22" spans="1:8" ht="11.25" customHeight="1" x14ac:dyDescent="0.2">
      <c r="A22" s="1" t="s">
        <v>1923</v>
      </c>
      <c r="C22" s="1" t="s">
        <v>1988</v>
      </c>
      <c r="D22" s="1" t="s">
        <v>1239</v>
      </c>
      <c r="E22" s="19">
        <v>147</v>
      </c>
      <c r="F22" s="25">
        <v>4.5300462249614792</v>
      </c>
    </row>
    <row r="23" spans="1:8" ht="11.25" customHeight="1" x14ac:dyDescent="0.2">
      <c r="C23" s="1" t="s">
        <v>1782</v>
      </c>
      <c r="D23" s="1" t="s">
        <v>1072</v>
      </c>
      <c r="E23" s="19">
        <v>775</v>
      </c>
      <c r="F23" s="25">
        <v>23.882896764252695</v>
      </c>
    </row>
    <row r="24" spans="1:8" ht="11.25" customHeight="1" x14ac:dyDescent="0.2">
      <c r="C24" s="1" t="s">
        <v>1763</v>
      </c>
      <c r="D24" s="1" t="s">
        <v>3173</v>
      </c>
      <c r="E24" s="19">
        <v>572</v>
      </c>
      <c r="F24" s="25">
        <v>17.627118644067796</v>
      </c>
    </row>
    <row r="25" spans="1:8" ht="11.25" customHeight="1" x14ac:dyDescent="0.2">
      <c r="C25" s="2" t="s">
        <v>1987</v>
      </c>
      <c r="D25" s="1" t="s">
        <v>1071</v>
      </c>
      <c r="E25" s="19">
        <v>1751</v>
      </c>
      <c r="F25" s="25">
        <v>53.959938366718028</v>
      </c>
    </row>
    <row r="26" spans="1:8" ht="11.25" customHeight="1" x14ac:dyDescent="0.2">
      <c r="E26" s="162" t="s">
        <v>1953</v>
      </c>
      <c r="F26" s="163">
        <v>100</v>
      </c>
      <c r="G26" s="157">
        <v>4857</v>
      </c>
      <c r="H26" s="163">
        <v>66.8</v>
      </c>
    </row>
    <row r="27" spans="1:8" ht="11.25" customHeight="1" x14ac:dyDescent="0.2"/>
    <row r="28" spans="1:8" ht="11.25" customHeight="1" x14ac:dyDescent="0.2">
      <c r="A28" s="1" t="s">
        <v>1975</v>
      </c>
      <c r="C28" s="2" t="s">
        <v>1085</v>
      </c>
      <c r="D28" s="1" t="s">
        <v>1071</v>
      </c>
      <c r="E28" s="19">
        <v>1776</v>
      </c>
      <c r="F28" s="25">
        <v>59.757738896366085</v>
      </c>
    </row>
    <row r="29" spans="1:8" ht="11.25" customHeight="1" x14ac:dyDescent="0.2">
      <c r="C29" s="1" t="s">
        <v>1991</v>
      </c>
      <c r="D29" s="1" t="s">
        <v>653</v>
      </c>
      <c r="E29" s="19">
        <v>204</v>
      </c>
      <c r="F29" s="25">
        <v>6.8640646029609691</v>
      </c>
    </row>
    <row r="30" spans="1:8" ht="11.25" customHeight="1" x14ac:dyDescent="0.2">
      <c r="C30" s="1" t="s">
        <v>1989</v>
      </c>
      <c r="D30" s="1" t="s">
        <v>1072</v>
      </c>
      <c r="E30" s="19">
        <v>591</v>
      </c>
      <c r="F30" s="25">
        <v>19.885598923283982</v>
      </c>
    </row>
    <row r="31" spans="1:8" ht="11.25" customHeight="1" x14ac:dyDescent="0.2">
      <c r="C31" s="1" t="s">
        <v>1990</v>
      </c>
      <c r="D31" s="1" t="s">
        <v>3173</v>
      </c>
      <c r="E31" s="19">
        <v>401</v>
      </c>
      <c r="F31" s="25">
        <v>13.492597577388963</v>
      </c>
    </row>
    <row r="32" spans="1:8" ht="11.25" customHeight="1" x14ac:dyDescent="0.2">
      <c r="E32" s="162" t="s">
        <v>1954</v>
      </c>
      <c r="F32" s="163">
        <v>100</v>
      </c>
      <c r="G32" s="157">
        <v>3606</v>
      </c>
      <c r="H32" s="163">
        <v>85.9</v>
      </c>
    </row>
    <row r="33" spans="1:6" ht="11.25" customHeight="1" x14ac:dyDescent="0.2"/>
    <row r="34" spans="1:6" ht="11.25" customHeight="1" x14ac:dyDescent="0.2">
      <c r="A34" s="1" t="s">
        <v>1086</v>
      </c>
      <c r="B34" s="1">
        <v>1</v>
      </c>
      <c r="C34" s="1" t="s">
        <v>1992</v>
      </c>
      <c r="D34" s="1" t="s">
        <v>1071</v>
      </c>
      <c r="E34" s="19">
        <v>5058</v>
      </c>
      <c r="F34" s="25">
        <v>12.278785230500327</v>
      </c>
    </row>
    <row r="35" spans="1:6" ht="11.25" customHeight="1" x14ac:dyDescent="0.2">
      <c r="C35" s="1" t="s">
        <v>755</v>
      </c>
      <c r="D35" s="1" t="s">
        <v>1072</v>
      </c>
      <c r="E35" s="19">
        <v>3874</v>
      </c>
      <c r="F35" s="25">
        <v>9.404510475080718</v>
      </c>
    </row>
    <row r="36" spans="1:6" ht="11.25" customHeight="1" x14ac:dyDescent="0.2">
      <c r="C36" s="1" t="s">
        <v>1994</v>
      </c>
      <c r="D36" s="1" t="s">
        <v>1071</v>
      </c>
      <c r="E36" s="19">
        <v>3032</v>
      </c>
      <c r="F36" s="25">
        <v>7.3604738669191372</v>
      </c>
    </row>
    <row r="37" spans="1:6" ht="11.25" customHeight="1" x14ac:dyDescent="0.2">
      <c r="C37" s="1" t="s">
        <v>1997</v>
      </c>
      <c r="D37" s="1" t="s">
        <v>1239</v>
      </c>
      <c r="E37" s="19">
        <v>2090</v>
      </c>
      <c r="F37" s="25">
        <v>5.0736775665768459</v>
      </c>
    </row>
    <row r="38" spans="1:6" ht="11.25" customHeight="1" x14ac:dyDescent="0.2">
      <c r="C38" s="1" t="s">
        <v>1772</v>
      </c>
      <c r="D38" s="1" t="s">
        <v>1239</v>
      </c>
      <c r="E38" s="19">
        <v>886</v>
      </c>
      <c r="F38" s="25">
        <v>2.1508508727210933</v>
      </c>
    </row>
    <row r="39" spans="1:6" ht="11.25" customHeight="1" x14ac:dyDescent="0.2">
      <c r="C39" s="1" t="s">
        <v>1993</v>
      </c>
      <c r="D39" s="1" t="s">
        <v>1071</v>
      </c>
      <c r="E39" s="19">
        <v>3787</v>
      </c>
      <c r="F39" s="25">
        <v>9.1933095428834992</v>
      </c>
    </row>
    <row r="40" spans="1:6" ht="11.25" customHeight="1" x14ac:dyDescent="0.2">
      <c r="C40" s="1" t="s">
        <v>1764</v>
      </c>
      <c r="D40" s="1" t="s">
        <v>1071</v>
      </c>
      <c r="E40" s="19">
        <v>3152</v>
      </c>
      <c r="F40" s="25">
        <v>7.6517854975359887</v>
      </c>
    </row>
    <row r="41" spans="1:6" ht="11.25" customHeight="1" x14ac:dyDescent="0.2">
      <c r="C41" s="1" t="s">
        <v>1996</v>
      </c>
      <c r="D41" s="1" t="s">
        <v>1239</v>
      </c>
      <c r="E41" s="19">
        <v>2529</v>
      </c>
      <c r="F41" s="25">
        <v>6.1393926152501637</v>
      </c>
    </row>
    <row r="42" spans="1:6" ht="11.25" customHeight="1" x14ac:dyDescent="0.2">
      <c r="C42" s="1" t="s">
        <v>2001</v>
      </c>
      <c r="D42" s="1" t="s">
        <v>653</v>
      </c>
      <c r="E42" s="19">
        <v>469</v>
      </c>
      <c r="F42" s="25">
        <v>1.1385429563275313</v>
      </c>
    </row>
    <row r="43" spans="1:6" ht="11.25" customHeight="1" x14ac:dyDescent="0.2">
      <c r="C43" s="1" t="s">
        <v>1999</v>
      </c>
      <c r="D43" s="1" t="s">
        <v>1547</v>
      </c>
      <c r="E43" s="19">
        <v>820</v>
      </c>
      <c r="F43" s="25">
        <v>1.9906294758818246</v>
      </c>
    </row>
    <row r="44" spans="1:6" ht="11.25" customHeight="1" x14ac:dyDescent="0.2">
      <c r="C44" s="1" t="s">
        <v>2037</v>
      </c>
      <c r="D44" s="1" t="s">
        <v>1918</v>
      </c>
      <c r="E44" s="19">
        <v>449</v>
      </c>
      <c r="F44" s="25">
        <v>1.0899910178913894</v>
      </c>
    </row>
    <row r="45" spans="1:6" ht="11.25" customHeight="1" x14ac:dyDescent="0.2">
      <c r="C45" s="1" t="s">
        <v>1995</v>
      </c>
      <c r="D45" s="1" t="s">
        <v>1071</v>
      </c>
      <c r="E45" s="19">
        <v>2963</v>
      </c>
      <c r="F45" s="25">
        <v>7.1929696793144462</v>
      </c>
    </row>
    <row r="46" spans="1:6" ht="11.25" customHeight="1" x14ac:dyDescent="0.2">
      <c r="C46" s="1" t="s">
        <v>969</v>
      </c>
      <c r="D46" s="1" t="s">
        <v>1071</v>
      </c>
      <c r="E46" s="16">
        <v>6087</v>
      </c>
      <c r="F46" s="34">
        <v>14.776782463039837</v>
      </c>
    </row>
    <row r="47" spans="1:6" ht="11.25" customHeight="1" x14ac:dyDescent="0.2">
      <c r="C47" s="1" t="s">
        <v>8</v>
      </c>
      <c r="D47" s="1" t="s">
        <v>1072</v>
      </c>
      <c r="E47" s="19">
        <v>1566</v>
      </c>
      <c r="F47" s="25">
        <v>3.8016167795499234</v>
      </c>
    </row>
    <row r="48" spans="1:6" ht="11.25" customHeight="1" x14ac:dyDescent="0.2">
      <c r="C48" s="1" t="s">
        <v>1773</v>
      </c>
      <c r="D48" s="1" t="s">
        <v>1239</v>
      </c>
      <c r="E48" s="19">
        <v>451</v>
      </c>
      <c r="F48" s="25">
        <v>1.0948462117350035</v>
      </c>
    </row>
    <row r="49" spans="1:8" ht="11.25" customHeight="1" x14ac:dyDescent="0.2">
      <c r="C49" s="1" t="s">
        <v>2002</v>
      </c>
      <c r="D49" s="1" t="s">
        <v>757</v>
      </c>
      <c r="E49" s="19">
        <v>224</v>
      </c>
      <c r="F49" s="25">
        <v>0.54378171048479107</v>
      </c>
    </row>
    <row r="50" spans="1:8" ht="11.25" customHeight="1" x14ac:dyDescent="0.2">
      <c r="C50" s="1" t="s">
        <v>1948</v>
      </c>
      <c r="D50" s="1" t="s">
        <v>1918</v>
      </c>
      <c r="E50" s="19">
        <v>172</v>
      </c>
      <c r="F50" s="25">
        <v>0.41754667055082173</v>
      </c>
    </row>
    <row r="51" spans="1:8" ht="11.25" customHeight="1" x14ac:dyDescent="0.2">
      <c r="C51" s="1" t="s">
        <v>2000</v>
      </c>
      <c r="D51" s="1" t="s">
        <v>1072</v>
      </c>
      <c r="E51" s="19">
        <v>786</v>
      </c>
      <c r="F51" s="25">
        <v>1.9080911805403831</v>
      </c>
    </row>
    <row r="52" spans="1:8" ht="11.25" customHeight="1" x14ac:dyDescent="0.2">
      <c r="C52" s="1" t="s">
        <v>1998</v>
      </c>
      <c r="D52" s="1" t="s">
        <v>1072</v>
      </c>
      <c r="E52" s="19">
        <v>1774</v>
      </c>
      <c r="F52" s="25">
        <v>4.3065569392858007</v>
      </c>
    </row>
    <row r="53" spans="1:8" ht="11.25" customHeight="1" x14ac:dyDescent="0.2">
      <c r="C53" s="1" t="s">
        <v>756</v>
      </c>
      <c r="D53" s="1" t="s">
        <v>1918</v>
      </c>
      <c r="E53" s="19">
        <v>1024</v>
      </c>
      <c r="F53" s="25">
        <v>2.4858592479304735</v>
      </c>
    </row>
    <row r="54" spans="1:8" ht="11.25" customHeight="1" x14ac:dyDescent="0.2">
      <c r="E54" s="162" t="s">
        <v>723</v>
      </c>
      <c r="F54" s="163">
        <v>100</v>
      </c>
      <c r="G54" s="157">
        <v>52244</v>
      </c>
      <c r="H54" s="163">
        <v>80.400000000000006</v>
      </c>
    </row>
    <row r="55" spans="1:8" ht="11.25" customHeight="1" x14ac:dyDescent="0.2"/>
    <row r="56" spans="1:8" ht="11.25" customHeight="1" x14ac:dyDescent="0.2">
      <c r="B56" s="1">
        <v>2</v>
      </c>
      <c r="C56" s="2" t="s">
        <v>1992</v>
      </c>
      <c r="D56" s="1" t="s">
        <v>1071</v>
      </c>
      <c r="E56" s="19">
        <v>5885</v>
      </c>
    </row>
    <row r="57" spans="1:8" ht="11.25" customHeight="1" x14ac:dyDescent="0.2">
      <c r="C57" s="2" t="s">
        <v>755</v>
      </c>
      <c r="D57" s="1" t="s">
        <v>1072</v>
      </c>
      <c r="E57" s="19">
        <v>5885</v>
      </c>
    </row>
    <row r="58" spans="1:8" ht="11.25" customHeight="1" x14ac:dyDescent="0.2">
      <c r="C58" s="2" t="s">
        <v>2004</v>
      </c>
      <c r="D58" s="1" t="s">
        <v>1071</v>
      </c>
      <c r="E58" s="19">
        <v>5886</v>
      </c>
    </row>
    <row r="59" spans="1:8" ht="11.25" customHeight="1" x14ac:dyDescent="0.2">
      <c r="C59" s="2" t="s">
        <v>2005</v>
      </c>
      <c r="D59" s="1" t="s">
        <v>1071</v>
      </c>
      <c r="E59" s="19">
        <v>4399</v>
      </c>
    </row>
    <row r="60" spans="1:8" ht="11.25" customHeight="1" x14ac:dyDescent="0.2">
      <c r="C60" s="2" t="s">
        <v>2003</v>
      </c>
      <c r="D60" s="1" t="s">
        <v>1239</v>
      </c>
      <c r="E60" s="19">
        <v>5885</v>
      </c>
    </row>
    <row r="61" spans="1:8" ht="11.25" customHeight="1" x14ac:dyDescent="0.2">
      <c r="C61" s="2" t="s">
        <v>969</v>
      </c>
      <c r="D61" s="1" t="s">
        <v>1071</v>
      </c>
      <c r="E61" s="19">
        <v>5885</v>
      </c>
    </row>
    <row r="62" spans="1:8" ht="11.25" customHeight="1" x14ac:dyDescent="0.2">
      <c r="C62" s="2"/>
    </row>
    <row r="63" spans="1:8" ht="11.25" customHeight="1" x14ac:dyDescent="0.2">
      <c r="A63" s="1" t="s">
        <v>1125</v>
      </c>
      <c r="C63" s="2" t="s">
        <v>2006</v>
      </c>
      <c r="D63" s="1" t="s">
        <v>1071</v>
      </c>
      <c r="E63" s="19">
        <v>4335</v>
      </c>
      <c r="F63" s="25">
        <v>64.041955975771899</v>
      </c>
    </row>
    <row r="64" spans="1:8" ht="11.25" customHeight="1" x14ac:dyDescent="0.2">
      <c r="C64" s="1" t="s">
        <v>9</v>
      </c>
      <c r="D64" s="1" t="s">
        <v>1072</v>
      </c>
      <c r="E64" s="16">
        <v>1395</v>
      </c>
      <c r="F64" s="34">
        <v>20.608657113310681</v>
      </c>
    </row>
    <row r="65" spans="1:8" ht="11.25" customHeight="1" x14ac:dyDescent="0.2">
      <c r="C65" s="1" t="s">
        <v>758</v>
      </c>
      <c r="D65" s="1" t="s">
        <v>3173</v>
      </c>
      <c r="E65" s="19">
        <v>1039</v>
      </c>
      <c r="F65" s="25">
        <v>15.349386910917417</v>
      </c>
    </row>
    <row r="66" spans="1:8" ht="11.25" customHeight="1" x14ac:dyDescent="0.2">
      <c r="E66" s="162" t="s">
        <v>724</v>
      </c>
      <c r="F66" s="163">
        <v>100</v>
      </c>
      <c r="G66" s="157">
        <v>7966</v>
      </c>
      <c r="H66" s="163">
        <v>86.7</v>
      </c>
    </row>
    <row r="67" spans="1:8" ht="11.25" customHeight="1" x14ac:dyDescent="0.2"/>
    <row r="68" spans="1:8" ht="11.25" customHeight="1" x14ac:dyDescent="0.2">
      <c r="A68" s="1" t="s">
        <v>1427</v>
      </c>
      <c r="C68" s="1" t="s">
        <v>2010</v>
      </c>
      <c r="D68" s="1" t="s">
        <v>3173</v>
      </c>
      <c r="E68" s="19">
        <v>565</v>
      </c>
      <c r="F68" s="25">
        <v>18.445968005223637</v>
      </c>
    </row>
    <row r="69" spans="1:8" ht="11.25" customHeight="1" x14ac:dyDescent="0.2">
      <c r="C69" s="2" t="s">
        <v>2009</v>
      </c>
      <c r="D69" s="1" t="s">
        <v>1071</v>
      </c>
      <c r="E69" s="19">
        <v>2027</v>
      </c>
      <c r="F69" s="25">
        <v>66.176950701926216</v>
      </c>
    </row>
    <row r="70" spans="1:8" ht="11.25" customHeight="1" x14ac:dyDescent="0.2">
      <c r="C70" s="1" t="s">
        <v>2011</v>
      </c>
      <c r="D70" s="1" t="s">
        <v>1072</v>
      </c>
      <c r="E70" s="19">
        <v>471</v>
      </c>
      <c r="F70" s="25">
        <v>15.377081292850146</v>
      </c>
    </row>
    <row r="71" spans="1:8" ht="11.25" customHeight="1" x14ac:dyDescent="0.2">
      <c r="E71" s="162" t="s">
        <v>725</v>
      </c>
      <c r="F71" s="163">
        <v>100</v>
      </c>
      <c r="G71" s="157">
        <v>3344</v>
      </c>
      <c r="H71" s="163">
        <v>95.4</v>
      </c>
    </row>
    <row r="72" spans="1:8" ht="11.25" customHeight="1" x14ac:dyDescent="0.2"/>
    <row r="73" spans="1:8" ht="11.25" customHeight="1" x14ac:dyDescent="0.2">
      <c r="A73" s="1" t="s">
        <v>1430</v>
      </c>
      <c r="C73" s="2" t="s">
        <v>3089</v>
      </c>
      <c r="D73" s="1" t="s">
        <v>1071</v>
      </c>
      <c r="E73" s="19">
        <v>2503</v>
      </c>
      <c r="F73" s="25">
        <v>53.074639525021205</v>
      </c>
    </row>
    <row r="74" spans="1:8" ht="11.25" customHeight="1" x14ac:dyDescent="0.2">
      <c r="C74" s="1" t="s">
        <v>2007</v>
      </c>
      <c r="D74" s="1" t="s">
        <v>1072</v>
      </c>
      <c r="E74" s="19">
        <v>1105</v>
      </c>
      <c r="F74" s="25">
        <v>23.430873621713317</v>
      </c>
    </row>
    <row r="75" spans="1:8" ht="11.25" customHeight="1" x14ac:dyDescent="0.2">
      <c r="C75" s="1" t="s">
        <v>2330</v>
      </c>
      <c r="D75" s="1" t="s">
        <v>3173</v>
      </c>
      <c r="E75" s="19">
        <v>844</v>
      </c>
      <c r="F75" s="25">
        <v>17.896522476675148</v>
      </c>
    </row>
    <row r="76" spans="1:8" ht="11.25" customHeight="1" x14ac:dyDescent="0.2">
      <c r="C76" s="1" t="s">
        <v>2008</v>
      </c>
      <c r="D76" s="1" t="s">
        <v>1239</v>
      </c>
      <c r="E76" s="19">
        <v>264</v>
      </c>
      <c r="F76" s="25">
        <v>5.5979643765903306</v>
      </c>
    </row>
    <row r="77" spans="1:8" ht="11.25" customHeight="1" x14ac:dyDescent="0.2">
      <c r="E77" s="162" t="s">
        <v>726</v>
      </c>
      <c r="F77" s="163">
        <v>100</v>
      </c>
      <c r="G77" s="157">
        <v>5636</v>
      </c>
      <c r="H77" s="163">
        <v>86</v>
      </c>
    </row>
    <row r="78" spans="1:8" ht="11.25" customHeight="1" x14ac:dyDescent="0.2"/>
    <row r="79" spans="1:8" ht="11.25" customHeight="1" x14ac:dyDescent="0.2">
      <c r="A79" s="1" t="s">
        <v>2012</v>
      </c>
      <c r="C79" s="2" t="s">
        <v>3170</v>
      </c>
      <c r="D79" s="1" t="s">
        <v>1071</v>
      </c>
      <c r="E79" s="19">
        <v>1880</v>
      </c>
      <c r="F79" s="25">
        <v>54.714784633294528</v>
      </c>
    </row>
    <row r="80" spans="1:8" ht="11.25" customHeight="1" x14ac:dyDescent="0.2">
      <c r="C80" s="1" t="s">
        <v>2013</v>
      </c>
      <c r="D80" s="1" t="s">
        <v>1072</v>
      </c>
      <c r="E80" s="19">
        <v>628</v>
      </c>
      <c r="F80" s="25">
        <v>18.277066356228172</v>
      </c>
    </row>
    <row r="81" spans="1:8" ht="11.25" customHeight="1" x14ac:dyDescent="0.2">
      <c r="C81" s="1" t="s">
        <v>2014</v>
      </c>
      <c r="D81" s="1" t="s">
        <v>3173</v>
      </c>
      <c r="E81" s="19">
        <v>591</v>
      </c>
      <c r="F81" s="25">
        <v>17.200232828870782</v>
      </c>
    </row>
    <row r="82" spans="1:8" ht="11.25" customHeight="1" x14ac:dyDescent="0.2">
      <c r="C82" s="1" t="s">
        <v>2015</v>
      </c>
      <c r="D82" s="1" t="s">
        <v>1239</v>
      </c>
      <c r="E82" s="19">
        <v>337</v>
      </c>
      <c r="F82" s="25">
        <v>9.8079161816065188</v>
      </c>
    </row>
    <row r="83" spans="1:8" ht="11.25" customHeight="1" x14ac:dyDescent="0.2">
      <c r="E83" s="162" t="s">
        <v>727</v>
      </c>
      <c r="F83" s="163">
        <v>100</v>
      </c>
      <c r="G83" s="157">
        <v>4007</v>
      </c>
      <c r="H83" s="163">
        <v>87.9</v>
      </c>
    </row>
    <row r="84" spans="1:8" ht="11.25" customHeight="1" x14ac:dyDescent="0.2"/>
    <row r="85" spans="1:8" ht="11.25" customHeight="1" x14ac:dyDescent="0.2">
      <c r="A85" s="1" t="s">
        <v>2016</v>
      </c>
      <c r="C85" s="1" t="s">
        <v>2019</v>
      </c>
      <c r="D85" s="1" t="s">
        <v>1072</v>
      </c>
      <c r="E85" s="19">
        <v>625</v>
      </c>
      <c r="F85" s="25">
        <v>15.085686700458606</v>
      </c>
    </row>
    <row r="86" spans="1:8" ht="11.25" customHeight="1" x14ac:dyDescent="0.2">
      <c r="C86" s="2" t="s">
        <v>2017</v>
      </c>
      <c r="D86" s="1" t="s">
        <v>1071</v>
      </c>
      <c r="E86" s="19">
        <v>2674</v>
      </c>
      <c r="F86" s="25">
        <v>64.542601979242093</v>
      </c>
    </row>
    <row r="87" spans="1:8" ht="11.25" customHeight="1" x14ac:dyDescent="0.2">
      <c r="C87" s="1" t="s">
        <v>2018</v>
      </c>
      <c r="D87" s="1" t="s">
        <v>3173</v>
      </c>
      <c r="E87" s="19">
        <v>844</v>
      </c>
      <c r="F87" s="25">
        <v>20.371711320299301</v>
      </c>
    </row>
    <row r="88" spans="1:8" ht="11.25" customHeight="1" x14ac:dyDescent="0.2">
      <c r="E88" s="162" t="s">
        <v>728</v>
      </c>
      <c r="F88" s="163">
        <v>100</v>
      </c>
      <c r="G88" s="157">
        <v>4876</v>
      </c>
      <c r="H88" s="163">
        <v>87.4</v>
      </c>
    </row>
    <row r="89" spans="1:8" ht="11.25" customHeight="1" x14ac:dyDescent="0.2"/>
    <row r="90" spans="1:8" ht="11.25" customHeight="1" x14ac:dyDescent="0.2">
      <c r="A90" s="1" t="s">
        <v>2268</v>
      </c>
      <c r="C90" s="1" t="s">
        <v>2022</v>
      </c>
      <c r="D90" s="1" t="s">
        <v>3173</v>
      </c>
      <c r="E90" s="19">
        <v>587</v>
      </c>
      <c r="F90" s="25">
        <v>18.783999999999999</v>
      </c>
    </row>
    <row r="91" spans="1:8" ht="11.25" customHeight="1" x14ac:dyDescent="0.2">
      <c r="C91" s="1" t="s">
        <v>2021</v>
      </c>
      <c r="D91" s="1" t="s">
        <v>1072</v>
      </c>
      <c r="E91" s="19">
        <v>798</v>
      </c>
      <c r="F91" s="25">
        <v>25.536000000000001</v>
      </c>
    </row>
    <row r="92" spans="1:8" ht="11.25" customHeight="1" x14ac:dyDescent="0.2">
      <c r="C92" s="1" t="s">
        <v>2023</v>
      </c>
      <c r="D92" s="1" t="s">
        <v>653</v>
      </c>
      <c r="E92" s="19">
        <v>51</v>
      </c>
      <c r="F92" s="25">
        <v>1.6319999999999999</v>
      </c>
    </row>
    <row r="93" spans="1:8" ht="11.25" customHeight="1" x14ac:dyDescent="0.2">
      <c r="C93" s="2" t="s">
        <v>2020</v>
      </c>
      <c r="D93" s="1" t="s">
        <v>1071</v>
      </c>
      <c r="E93" s="19">
        <v>1689</v>
      </c>
      <c r="F93" s="25">
        <v>54.048000000000002</v>
      </c>
    </row>
    <row r="94" spans="1:8" ht="11.25" customHeight="1" x14ac:dyDescent="0.2">
      <c r="E94" s="162" t="s">
        <v>729</v>
      </c>
      <c r="F94" s="163">
        <v>100</v>
      </c>
      <c r="G94" s="157">
        <v>3909</v>
      </c>
      <c r="H94" s="163">
        <v>83</v>
      </c>
    </row>
    <row r="95" spans="1:8" ht="11.25" customHeight="1" x14ac:dyDescent="0.2"/>
    <row r="96" spans="1:8" ht="11.25" customHeight="1" x14ac:dyDescent="0.2">
      <c r="A96" s="1" t="s">
        <v>369</v>
      </c>
      <c r="C96" s="1" t="s">
        <v>2024</v>
      </c>
      <c r="D96" s="1" t="s">
        <v>3173</v>
      </c>
      <c r="E96" s="19">
        <v>610</v>
      </c>
      <c r="F96" s="25">
        <v>14.349564808280405</v>
      </c>
    </row>
    <row r="97" spans="1:8" ht="11.25" customHeight="1" x14ac:dyDescent="0.2">
      <c r="C97" s="2" t="s">
        <v>2331</v>
      </c>
      <c r="D97" s="1" t="s">
        <v>1071</v>
      </c>
      <c r="E97" s="19">
        <v>2731</v>
      </c>
      <c r="F97" s="25">
        <v>64.243707362973424</v>
      </c>
    </row>
    <row r="98" spans="1:8" ht="11.25" customHeight="1" x14ac:dyDescent="0.2">
      <c r="C98" s="1" t="s">
        <v>2026</v>
      </c>
      <c r="D98" s="1" t="s">
        <v>1239</v>
      </c>
      <c r="E98" s="19">
        <v>303</v>
      </c>
      <c r="F98" s="25">
        <v>7.1277346506704307</v>
      </c>
    </row>
    <row r="99" spans="1:8" ht="11.25" customHeight="1" x14ac:dyDescent="0.2">
      <c r="C99" s="1" t="s">
        <v>2025</v>
      </c>
      <c r="D99" s="1" t="s">
        <v>1072</v>
      </c>
      <c r="E99" s="19">
        <v>607</v>
      </c>
      <c r="F99" s="25">
        <v>14.278993178075748</v>
      </c>
    </row>
    <row r="100" spans="1:8" ht="11.25" customHeight="1" x14ac:dyDescent="0.2">
      <c r="E100" s="162" t="s">
        <v>730</v>
      </c>
      <c r="F100" s="163">
        <v>100</v>
      </c>
      <c r="G100" s="157">
        <v>5136</v>
      </c>
      <c r="H100" s="163">
        <v>85</v>
      </c>
    </row>
    <row r="101" spans="1:8" ht="11.25" customHeight="1" x14ac:dyDescent="0.2"/>
    <row r="102" spans="1:8" ht="11.25" customHeight="1" x14ac:dyDescent="0.2">
      <c r="A102" s="1" t="s">
        <v>1977</v>
      </c>
      <c r="C102" s="1" t="s">
        <v>2028</v>
      </c>
      <c r="D102" s="1" t="s">
        <v>1547</v>
      </c>
      <c r="E102" s="19">
        <v>342</v>
      </c>
      <c r="F102" s="25">
        <v>9.4501243437413649</v>
      </c>
    </row>
    <row r="103" spans="1:8" ht="11.25" customHeight="1" x14ac:dyDescent="0.2">
      <c r="C103" s="2" t="s">
        <v>2027</v>
      </c>
      <c r="D103" s="1" t="s">
        <v>1071</v>
      </c>
      <c r="E103" s="19">
        <v>2158</v>
      </c>
      <c r="F103" s="25">
        <v>59.629731970157501</v>
      </c>
    </row>
    <row r="104" spans="1:8" ht="11.25" customHeight="1" x14ac:dyDescent="0.2">
      <c r="C104" s="1" t="s">
        <v>2029</v>
      </c>
      <c r="D104" s="1" t="s">
        <v>1072</v>
      </c>
      <c r="E104" s="19">
        <v>341</v>
      </c>
      <c r="F104" s="25">
        <v>9.4224924012158056</v>
      </c>
    </row>
    <row r="105" spans="1:8" ht="11.25" customHeight="1" x14ac:dyDescent="0.2">
      <c r="C105" s="1" t="s">
        <v>1947</v>
      </c>
      <c r="D105" s="1" t="s">
        <v>653</v>
      </c>
      <c r="E105" s="19">
        <v>778</v>
      </c>
      <c r="F105" s="25">
        <v>21.497651284885329</v>
      </c>
    </row>
    <row r="106" spans="1:8" ht="11.25" customHeight="1" x14ac:dyDescent="0.2">
      <c r="E106" s="162" t="s">
        <v>731</v>
      </c>
      <c r="F106" s="163">
        <v>100</v>
      </c>
      <c r="G106" s="157">
        <v>4433</v>
      </c>
      <c r="H106" s="163">
        <v>84.4</v>
      </c>
    </row>
    <row r="107" spans="1:8" ht="11.25" customHeight="1" x14ac:dyDescent="0.2"/>
    <row r="108" spans="1:8" ht="11.25" customHeight="1" x14ac:dyDescent="0.2">
      <c r="A108" s="1" t="s">
        <v>1919</v>
      </c>
      <c r="B108" s="1">
        <v>1</v>
      </c>
      <c r="C108" s="1" t="s">
        <v>1692</v>
      </c>
      <c r="D108" s="1" t="s">
        <v>1239</v>
      </c>
      <c r="E108" s="19">
        <v>1220</v>
      </c>
      <c r="F108" s="25">
        <v>3.2736737596264791</v>
      </c>
    </row>
    <row r="109" spans="1:8" ht="11.25" customHeight="1" x14ac:dyDescent="0.2">
      <c r="C109" s="1" t="s">
        <v>1951</v>
      </c>
      <c r="D109" s="1" t="s">
        <v>1071</v>
      </c>
      <c r="E109" s="19">
        <v>4476</v>
      </c>
      <c r="F109" s="25">
        <v>12.01062602302305</v>
      </c>
    </row>
    <row r="110" spans="1:8" ht="11.25" customHeight="1" x14ac:dyDescent="0.2">
      <c r="C110" s="1" t="s">
        <v>1775</v>
      </c>
      <c r="D110" s="1" t="s">
        <v>1239</v>
      </c>
      <c r="E110" s="19">
        <v>671</v>
      </c>
      <c r="F110" s="25">
        <v>1.8005205677945635</v>
      </c>
    </row>
    <row r="111" spans="1:8" ht="11.25" customHeight="1" x14ac:dyDescent="0.2">
      <c r="C111" s="1" t="s">
        <v>1703</v>
      </c>
      <c r="D111" s="1" t="s">
        <v>1918</v>
      </c>
      <c r="E111" s="19">
        <v>192</v>
      </c>
      <c r="F111" s="25">
        <v>0.51520111626908527</v>
      </c>
    </row>
    <row r="112" spans="1:8" ht="11.25" customHeight="1" x14ac:dyDescent="0.2">
      <c r="C112" s="1" t="s">
        <v>1704</v>
      </c>
      <c r="D112" s="1" t="s">
        <v>1918</v>
      </c>
      <c r="E112" s="19">
        <v>166</v>
      </c>
      <c r="F112" s="25">
        <v>0.44543429844097998</v>
      </c>
    </row>
    <row r="113" spans="3:6" ht="11.25" customHeight="1" x14ac:dyDescent="0.2">
      <c r="C113" s="1" t="s">
        <v>1691</v>
      </c>
      <c r="D113" s="1" t="s">
        <v>1072</v>
      </c>
      <c r="E113" s="19">
        <v>1238</v>
      </c>
      <c r="F113" s="25">
        <v>3.321973864276706</v>
      </c>
    </row>
    <row r="114" spans="3:6" ht="11.25" customHeight="1" x14ac:dyDescent="0.2">
      <c r="C114" s="1" t="s">
        <v>1950</v>
      </c>
      <c r="D114" s="1" t="s">
        <v>1239</v>
      </c>
      <c r="E114" s="19">
        <v>1466</v>
      </c>
      <c r="F114" s="25">
        <v>3.9337751898462447</v>
      </c>
    </row>
    <row r="115" spans="3:6" ht="11.25" customHeight="1" x14ac:dyDescent="0.2">
      <c r="C115" s="1" t="s">
        <v>1698</v>
      </c>
      <c r="D115" s="1" t="s">
        <v>1918</v>
      </c>
      <c r="E115" s="19">
        <v>505</v>
      </c>
      <c r="F115" s="25">
        <v>1.3550862693535837</v>
      </c>
    </row>
    <row r="116" spans="3:6" ht="11.25" customHeight="1" x14ac:dyDescent="0.2">
      <c r="C116" s="1" t="s">
        <v>1705</v>
      </c>
      <c r="D116" s="1" t="s">
        <v>1918</v>
      </c>
      <c r="E116" s="19">
        <v>127</v>
      </c>
      <c r="F116" s="25">
        <v>0.34078407169882202</v>
      </c>
    </row>
    <row r="117" spans="3:6" ht="11.25" customHeight="1" x14ac:dyDescent="0.2">
      <c r="C117" s="1" t="s">
        <v>1700</v>
      </c>
      <c r="D117" s="1" t="s">
        <v>1918</v>
      </c>
      <c r="E117" s="19">
        <v>331</v>
      </c>
      <c r="F117" s="25">
        <v>0.88818525773472512</v>
      </c>
    </row>
    <row r="118" spans="3:6" ht="11.25" customHeight="1" x14ac:dyDescent="0.2">
      <c r="C118" s="1" t="s">
        <v>1699</v>
      </c>
      <c r="D118" s="1" t="s">
        <v>1239</v>
      </c>
      <c r="E118" s="19">
        <v>363</v>
      </c>
      <c r="F118" s="25">
        <v>0.97405211044623929</v>
      </c>
    </row>
    <row r="119" spans="3:6" ht="11.25" customHeight="1" x14ac:dyDescent="0.2">
      <c r="C119" s="1" t="s">
        <v>2031</v>
      </c>
      <c r="D119" s="1" t="s">
        <v>1071</v>
      </c>
      <c r="E119" s="19">
        <v>2818</v>
      </c>
      <c r="F119" s="25">
        <v>7.5616497169077199</v>
      </c>
    </row>
    <row r="120" spans="3:6" ht="11.25" customHeight="1" x14ac:dyDescent="0.2">
      <c r="C120" s="1" t="s">
        <v>2030</v>
      </c>
      <c r="D120" s="1" t="s">
        <v>1072</v>
      </c>
      <c r="E120" s="19">
        <v>9139</v>
      </c>
      <c r="F120" s="25">
        <v>24.523036466579011</v>
      </c>
    </row>
    <row r="121" spans="3:6" ht="11.25" customHeight="1" x14ac:dyDescent="0.2">
      <c r="C121" s="1" t="s">
        <v>1694</v>
      </c>
      <c r="D121" s="1" t="s">
        <v>1239</v>
      </c>
      <c r="E121" s="19">
        <v>1029</v>
      </c>
      <c r="F121" s="25">
        <v>2.7611559825046288</v>
      </c>
    </row>
    <row r="122" spans="3:6" ht="11.25" customHeight="1" x14ac:dyDescent="0.2">
      <c r="C122" s="1" t="s">
        <v>2034</v>
      </c>
      <c r="D122" s="1" t="s">
        <v>1071</v>
      </c>
      <c r="E122" s="19">
        <v>1781</v>
      </c>
      <c r="F122" s="25">
        <v>4.7790270212252128</v>
      </c>
    </row>
    <row r="123" spans="3:6" ht="11.25" customHeight="1" x14ac:dyDescent="0.2">
      <c r="C123" s="1" t="s">
        <v>1695</v>
      </c>
      <c r="D123" s="1" t="s">
        <v>1071</v>
      </c>
      <c r="E123" s="19">
        <v>843</v>
      </c>
      <c r="F123" s="25">
        <v>2.2620549011189524</v>
      </c>
    </row>
    <row r="124" spans="3:6" ht="11.25" customHeight="1" x14ac:dyDescent="0.2">
      <c r="C124" s="1" t="s">
        <v>1693</v>
      </c>
      <c r="D124" s="1" t="s">
        <v>1547</v>
      </c>
      <c r="E124" s="19">
        <v>1096</v>
      </c>
      <c r="F124" s="25">
        <v>2.9409397053693618</v>
      </c>
    </row>
    <row r="125" spans="3:6" ht="11.25" customHeight="1" x14ac:dyDescent="0.2">
      <c r="C125" s="1" t="s">
        <v>2033</v>
      </c>
      <c r="D125" s="1" t="s">
        <v>3173</v>
      </c>
      <c r="E125" s="19">
        <v>2092</v>
      </c>
      <c r="F125" s="25">
        <v>5.6135454960152416</v>
      </c>
    </row>
    <row r="126" spans="3:6" ht="11.25" customHeight="1" x14ac:dyDescent="0.2">
      <c r="C126" s="1" t="s">
        <v>1696</v>
      </c>
      <c r="D126" s="1" t="s">
        <v>1072</v>
      </c>
      <c r="E126" s="19">
        <v>673</v>
      </c>
      <c r="F126" s="25">
        <v>1.8058872460890332</v>
      </c>
    </row>
    <row r="127" spans="3:6" ht="11.25" customHeight="1" x14ac:dyDescent="0.2">
      <c r="C127" s="1" t="s">
        <v>1697</v>
      </c>
      <c r="D127" s="1" t="s">
        <v>1072</v>
      </c>
      <c r="E127" s="19">
        <v>612</v>
      </c>
      <c r="F127" s="25">
        <v>1.6422035581077092</v>
      </c>
    </row>
    <row r="128" spans="3:6" ht="11.25" customHeight="1" x14ac:dyDescent="0.2">
      <c r="C128" s="1" t="s">
        <v>2032</v>
      </c>
      <c r="D128" s="1" t="s">
        <v>1071</v>
      </c>
      <c r="E128" s="19">
        <v>2500</v>
      </c>
      <c r="F128" s="25">
        <v>6.7083478680870474</v>
      </c>
    </row>
    <row r="129" spans="1:8" ht="11.25" customHeight="1" x14ac:dyDescent="0.2">
      <c r="C129" s="1" t="s">
        <v>1949</v>
      </c>
      <c r="D129" s="1" t="s">
        <v>1072</v>
      </c>
      <c r="E129" s="19">
        <v>1116</v>
      </c>
      <c r="F129" s="25">
        <v>2.9946064883140582</v>
      </c>
    </row>
    <row r="130" spans="1:8" ht="11.25" customHeight="1" x14ac:dyDescent="0.2">
      <c r="C130" s="1" t="s">
        <v>1707</v>
      </c>
      <c r="D130" s="1" t="s">
        <v>1918</v>
      </c>
      <c r="E130" s="19">
        <v>52</v>
      </c>
      <c r="F130" s="25">
        <v>0.13953363565621058</v>
      </c>
    </row>
    <row r="131" spans="1:8" ht="11.25" customHeight="1" x14ac:dyDescent="0.2">
      <c r="C131" s="1" t="s">
        <v>1706</v>
      </c>
      <c r="D131" s="1" t="s">
        <v>1239</v>
      </c>
      <c r="E131" s="19">
        <v>71</v>
      </c>
      <c r="F131" s="25">
        <v>0.19051707945367216</v>
      </c>
    </row>
    <row r="132" spans="1:8" ht="11.25" customHeight="1" x14ac:dyDescent="0.2">
      <c r="C132" s="1" t="s">
        <v>10</v>
      </c>
      <c r="D132" s="1" t="s">
        <v>1071</v>
      </c>
      <c r="E132" s="19">
        <v>1243</v>
      </c>
      <c r="F132" s="25">
        <v>3.3353905600128799</v>
      </c>
    </row>
    <row r="133" spans="1:8" ht="11.25" customHeight="1" x14ac:dyDescent="0.2">
      <c r="C133" s="1" t="s">
        <v>1708</v>
      </c>
      <c r="D133" s="1" t="s">
        <v>1072</v>
      </c>
      <c r="E133" s="19">
        <v>1255</v>
      </c>
      <c r="F133" s="25">
        <v>3.367590629779698</v>
      </c>
    </row>
    <row r="134" spans="1:8" ht="11.25" customHeight="1" x14ac:dyDescent="0.2">
      <c r="C134" s="1" t="s">
        <v>1701</v>
      </c>
      <c r="D134" s="1" t="s">
        <v>1702</v>
      </c>
      <c r="E134" s="19">
        <v>192</v>
      </c>
      <c r="F134" s="25">
        <v>0.51520111626908527</v>
      </c>
    </row>
    <row r="135" spans="1:8" ht="11.25" customHeight="1" x14ac:dyDescent="0.2">
      <c r="E135" s="162" t="s">
        <v>732</v>
      </c>
      <c r="F135" s="163">
        <v>100</v>
      </c>
      <c r="G135" s="157">
        <v>49212</v>
      </c>
      <c r="H135" s="163">
        <v>77.3</v>
      </c>
    </row>
    <row r="136" spans="1:8" ht="11.25" customHeight="1" x14ac:dyDescent="0.2"/>
    <row r="137" spans="1:8" ht="11.25" customHeight="1" x14ac:dyDescent="0.2">
      <c r="B137" s="1">
        <v>2</v>
      </c>
      <c r="C137" s="2" t="s">
        <v>1951</v>
      </c>
      <c r="D137" s="1" t="s">
        <v>1071</v>
      </c>
      <c r="E137" s="19">
        <v>5324</v>
      </c>
    </row>
    <row r="138" spans="1:8" ht="11.25" customHeight="1" x14ac:dyDescent="0.2">
      <c r="C138" s="2" t="s">
        <v>1950</v>
      </c>
      <c r="D138" s="1" t="s">
        <v>1239</v>
      </c>
      <c r="E138" s="19">
        <v>5078</v>
      </c>
    </row>
    <row r="139" spans="1:8" ht="11.25" customHeight="1" x14ac:dyDescent="0.2">
      <c r="C139" s="2" t="s">
        <v>2030</v>
      </c>
      <c r="D139" s="1" t="s">
        <v>1072</v>
      </c>
      <c r="E139" s="19">
        <v>5324</v>
      </c>
    </row>
    <row r="140" spans="1:8" ht="11.25" customHeight="1" x14ac:dyDescent="0.2">
      <c r="C140" s="2" t="s">
        <v>2032</v>
      </c>
      <c r="D140" s="1" t="s">
        <v>1071</v>
      </c>
      <c r="E140" s="19">
        <v>4932</v>
      </c>
    </row>
    <row r="141" spans="1:8" ht="11.25" customHeight="1" x14ac:dyDescent="0.2">
      <c r="C141" s="2" t="s">
        <v>1949</v>
      </c>
      <c r="D141" s="1" t="s">
        <v>1072</v>
      </c>
      <c r="E141" s="19">
        <v>4922</v>
      </c>
    </row>
    <row r="142" spans="1:8" ht="11.25" customHeight="1" x14ac:dyDescent="0.2">
      <c r="C142" s="2" t="s">
        <v>1708</v>
      </c>
      <c r="D142" s="1" t="s">
        <v>1072</v>
      </c>
      <c r="E142" s="19">
        <v>5324</v>
      </c>
    </row>
    <row r="143" spans="1:8" ht="11.25" customHeight="1" x14ac:dyDescent="0.2"/>
    <row r="144" spans="1:8" ht="11.25" customHeight="1" x14ac:dyDescent="0.2">
      <c r="A144" s="1" t="s">
        <v>2269</v>
      </c>
      <c r="B144" s="1">
        <v>1</v>
      </c>
      <c r="C144" s="1" t="s">
        <v>1709</v>
      </c>
      <c r="D144" s="1" t="s">
        <v>1072</v>
      </c>
      <c r="E144" s="19">
        <v>1620</v>
      </c>
      <c r="F144" s="25">
        <v>31.225905936777178</v>
      </c>
    </row>
    <row r="145" spans="1:8" ht="11.25" customHeight="1" x14ac:dyDescent="0.2">
      <c r="C145" s="1" t="s">
        <v>1710</v>
      </c>
      <c r="D145" s="1" t="s">
        <v>1918</v>
      </c>
      <c r="E145" s="19">
        <v>1414</v>
      </c>
      <c r="F145" s="25">
        <v>27.25520431765613</v>
      </c>
    </row>
    <row r="146" spans="1:8" ht="11.25" customHeight="1" x14ac:dyDescent="0.2">
      <c r="C146" s="1" t="s">
        <v>1412</v>
      </c>
      <c r="D146" s="1" t="s">
        <v>1071</v>
      </c>
      <c r="E146" s="19">
        <v>2154</v>
      </c>
      <c r="F146" s="25">
        <v>41.518889745566689</v>
      </c>
    </row>
    <row r="147" spans="1:8" ht="11.25" customHeight="1" x14ac:dyDescent="0.2">
      <c r="E147" s="162" t="s">
        <v>733</v>
      </c>
      <c r="F147" s="163">
        <v>100</v>
      </c>
      <c r="G147" s="157">
        <v>7192</v>
      </c>
      <c r="H147" s="163">
        <v>76</v>
      </c>
    </row>
    <row r="148" spans="1:8" ht="11.25" customHeight="1" x14ac:dyDescent="0.2"/>
    <row r="149" spans="1:8" ht="11.25" customHeight="1" x14ac:dyDescent="0.2">
      <c r="B149" s="1">
        <v>2</v>
      </c>
      <c r="C149" s="1" t="s">
        <v>1709</v>
      </c>
      <c r="D149" s="1" t="s">
        <v>1072</v>
      </c>
      <c r="E149" s="19">
        <v>2068</v>
      </c>
    </row>
    <row r="150" spans="1:8" ht="11.25" customHeight="1" x14ac:dyDescent="0.2">
      <c r="C150" s="2" t="s">
        <v>1412</v>
      </c>
      <c r="D150" s="1" t="s">
        <v>1071</v>
      </c>
      <c r="E150" s="19">
        <v>2443</v>
      </c>
    </row>
    <row r="151" spans="1:8" ht="11.25" customHeight="1" x14ac:dyDescent="0.2"/>
    <row r="152" spans="1:8" ht="11.25" customHeight="1" x14ac:dyDescent="0.2">
      <c r="A152" s="1" t="s">
        <v>1711</v>
      </c>
      <c r="C152" s="2" t="s">
        <v>1712</v>
      </c>
      <c r="D152" s="1" t="s">
        <v>1071</v>
      </c>
      <c r="E152" s="19">
        <v>1453</v>
      </c>
      <c r="F152" s="25">
        <v>72.073412698412696</v>
      </c>
    </row>
    <row r="153" spans="1:8" ht="11.25" customHeight="1" x14ac:dyDescent="0.2">
      <c r="C153" s="1" t="s">
        <v>1714</v>
      </c>
      <c r="D153" s="1" t="s">
        <v>1072</v>
      </c>
      <c r="E153" s="19">
        <v>239</v>
      </c>
      <c r="F153" s="25">
        <v>11.855158730158729</v>
      </c>
    </row>
    <row r="154" spans="1:8" ht="11.25" customHeight="1" x14ac:dyDescent="0.2">
      <c r="C154" s="1" t="s">
        <v>1713</v>
      </c>
      <c r="D154" s="1" t="s">
        <v>3173</v>
      </c>
      <c r="E154" s="19">
        <v>324</v>
      </c>
      <c r="F154" s="25">
        <v>16.071428571428573</v>
      </c>
    </row>
    <row r="155" spans="1:8" ht="11.25" customHeight="1" x14ac:dyDescent="0.2">
      <c r="E155" s="162" t="s">
        <v>734</v>
      </c>
      <c r="F155" s="163">
        <v>100</v>
      </c>
      <c r="G155" s="157">
        <v>2440</v>
      </c>
      <c r="H155" s="163">
        <v>84.5</v>
      </c>
    </row>
    <row r="156" spans="1:8" ht="11.25" customHeight="1" x14ac:dyDescent="0.2"/>
    <row r="157" spans="1:8" ht="11.25" customHeight="1" x14ac:dyDescent="0.2">
      <c r="A157" s="1" t="s">
        <v>3265</v>
      </c>
      <c r="C157" s="1" t="s">
        <v>1715</v>
      </c>
      <c r="D157" s="1" t="s">
        <v>3173</v>
      </c>
      <c r="E157" s="19">
        <v>895</v>
      </c>
      <c r="F157" s="25">
        <v>22.397397397397398</v>
      </c>
    </row>
    <row r="158" spans="1:8" ht="11.25" customHeight="1" x14ac:dyDescent="0.2">
      <c r="C158" s="1" t="s">
        <v>1717</v>
      </c>
      <c r="D158" s="1" t="s">
        <v>1239</v>
      </c>
      <c r="E158" s="19">
        <v>439</v>
      </c>
      <c r="F158" s="25">
        <v>10.985985985985986</v>
      </c>
    </row>
    <row r="159" spans="1:8" ht="11.25" customHeight="1" x14ac:dyDescent="0.2">
      <c r="C159" s="1" t="s">
        <v>1716</v>
      </c>
      <c r="D159" s="1" t="s">
        <v>1072</v>
      </c>
      <c r="E159" s="19">
        <v>569</v>
      </c>
      <c r="F159" s="25">
        <v>14.23923923923924</v>
      </c>
    </row>
    <row r="160" spans="1:8" ht="11.25" customHeight="1" x14ac:dyDescent="0.2">
      <c r="C160" s="2" t="s">
        <v>3171</v>
      </c>
      <c r="D160" s="1" t="s">
        <v>1071</v>
      </c>
      <c r="E160" s="19">
        <v>2093</v>
      </c>
      <c r="F160" s="25">
        <v>52.377377377377378</v>
      </c>
    </row>
    <row r="161" spans="1:8" ht="11.25" customHeight="1" x14ac:dyDescent="0.2">
      <c r="E161" s="162" t="s">
        <v>735</v>
      </c>
      <c r="F161" s="163">
        <v>100</v>
      </c>
      <c r="G161" s="157">
        <v>4908</v>
      </c>
      <c r="H161" s="163">
        <v>84.3</v>
      </c>
    </row>
    <row r="162" spans="1:8" ht="11.25" customHeight="1" x14ac:dyDescent="0.2"/>
    <row r="163" spans="1:8" s="42" customFormat="1" ht="11.25" customHeight="1" x14ac:dyDescent="0.2">
      <c r="A163" s="42" t="s">
        <v>1920</v>
      </c>
      <c r="B163" s="125">
        <v>1</v>
      </c>
      <c r="C163" s="1" t="s">
        <v>1774</v>
      </c>
      <c r="D163" s="1" t="s">
        <v>3173</v>
      </c>
      <c r="E163" s="19">
        <v>1809</v>
      </c>
      <c r="F163" s="25">
        <v>24.442642886096472</v>
      </c>
      <c r="G163" s="43"/>
      <c r="H163" s="134"/>
    </row>
    <row r="164" spans="1:8" ht="11.25" customHeight="1" x14ac:dyDescent="0.2">
      <c r="C164" s="1" t="s">
        <v>1718</v>
      </c>
      <c r="D164" s="1" t="s">
        <v>1239</v>
      </c>
      <c r="E164" s="19">
        <v>464</v>
      </c>
      <c r="F164" s="25">
        <v>6.2694230509390625</v>
      </c>
    </row>
    <row r="165" spans="1:8" ht="11.25" customHeight="1" x14ac:dyDescent="0.2">
      <c r="C165" s="42" t="s">
        <v>2347</v>
      </c>
      <c r="D165" s="42" t="s">
        <v>1071</v>
      </c>
      <c r="E165" s="44">
        <v>2741</v>
      </c>
      <c r="F165" s="132">
        <v>37.035535738413728</v>
      </c>
    </row>
    <row r="166" spans="1:8" ht="11.25" customHeight="1" x14ac:dyDescent="0.2">
      <c r="C166" s="1" t="s">
        <v>1719</v>
      </c>
      <c r="D166" s="1" t="s">
        <v>1072</v>
      </c>
      <c r="E166" s="19">
        <v>2387</v>
      </c>
      <c r="F166" s="25">
        <v>32.25239832455074</v>
      </c>
    </row>
    <row r="167" spans="1:8" ht="11.25" customHeight="1" x14ac:dyDescent="0.2">
      <c r="E167" s="162" t="s">
        <v>95</v>
      </c>
      <c r="F167" s="163">
        <v>100</v>
      </c>
      <c r="G167" s="157">
        <v>10317</v>
      </c>
      <c r="H167" s="163">
        <v>75.599999999999994</v>
      </c>
    </row>
    <row r="168" spans="1:8" ht="11.25" customHeight="1" x14ac:dyDescent="0.2"/>
    <row r="169" spans="1:8" ht="11.25" customHeight="1" x14ac:dyDescent="0.2">
      <c r="B169" s="1">
        <v>2</v>
      </c>
      <c r="C169" s="2" t="s">
        <v>2347</v>
      </c>
      <c r="D169" s="1" t="s">
        <v>1071</v>
      </c>
      <c r="E169" s="19">
        <v>3142</v>
      </c>
    </row>
    <row r="170" spans="1:8" ht="11.25" customHeight="1" x14ac:dyDescent="0.2">
      <c r="C170" s="1" t="s">
        <v>1719</v>
      </c>
      <c r="D170" s="1" t="s">
        <v>1072</v>
      </c>
      <c r="E170" s="19">
        <v>3061</v>
      </c>
    </row>
    <row r="171" spans="1:8" ht="11.25" customHeight="1" x14ac:dyDescent="0.2"/>
    <row r="172" spans="1:8" ht="11.25" customHeight="1" x14ac:dyDescent="0.2">
      <c r="A172" s="1" t="s">
        <v>0</v>
      </c>
      <c r="C172" s="2" t="s">
        <v>1720</v>
      </c>
      <c r="D172" s="1" t="s">
        <v>1072</v>
      </c>
      <c r="E172" s="19">
        <v>2272</v>
      </c>
      <c r="F172" s="25">
        <v>55.891758917589179</v>
      </c>
    </row>
    <row r="173" spans="1:8" ht="11.25" customHeight="1" x14ac:dyDescent="0.2">
      <c r="C173" s="1" t="s">
        <v>1721</v>
      </c>
      <c r="D173" s="1" t="s">
        <v>1071</v>
      </c>
      <c r="E173" s="19">
        <v>1447</v>
      </c>
      <c r="F173" s="25">
        <v>35.596555965559652</v>
      </c>
    </row>
    <row r="174" spans="1:8" ht="11.25" customHeight="1" x14ac:dyDescent="0.2">
      <c r="C174" s="1" t="s">
        <v>1722</v>
      </c>
      <c r="D174" s="1" t="s">
        <v>3173</v>
      </c>
      <c r="E174" s="19">
        <v>346</v>
      </c>
      <c r="F174" s="25">
        <v>8.5116851168511687</v>
      </c>
    </row>
    <row r="175" spans="1:8" ht="11.25" customHeight="1" x14ac:dyDescent="0.2">
      <c r="E175" s="162" t="s">
        <v>96</v>
      </c>
      <c r="F175" s="163">
        <v>100</v>
      </c>
      <c r="G175" s="157">
        <v>5378</v>
      </c>
      <c r="H175" s="163">
        <v>78.099999999999994</v>
      </c>
    </row>
    <row r="176" spans="1:8" ht="11.25" customHeight="1" x14ac:dyDescent="0.2"/>
    <row r="177" spans="1:8" ht="11.25" customHeight="1" x14ac:dyDescent="0.2">
      <c r="A177" s="1" t="s">
        <v>370</v>
      </c>
      <c r="C177" s="2" t="s">
        <v>1723</v>
      </c>
      <c r="D177" s="1" t="s">
        <v>1071</v>
      </c>
      <c r="E177" s="19">
        <v>3270</v>
      </c>
      <c r="F177" s="25">
        <v>72.201368955619344</v>
      </c>
    </row>
    <row r="178" spans="1:8" ht="11.25" customHeight="1" x14ac:dyDescent="0.2">
      <c r="C178" s="1" t="s">
        <v>1766</v>
      </c>
      <c r="D178" s="1" t="s">
        <v>1072</v>
      </c>
      <c r="E178" s="19">
        <v>552</v>
      </c>
      <c r="F178" s="25">
        <v>12.188120998012806</v>
      </c>
    </row>
    <row r="179" spans="1:8" ht="11.25" customHeight="1" x14ac:dyDescent="0.2">
      <c r="C179" s="1" t="s">
        <v>1765</v>
      </c>
      <c r="D179" s="1" t="s">
        <v>3173</v>
      </c>
      <c r="E179" s="19">
        <v>707</v>
      </c>
      <c r="F179" s="25">
        <v>15.610510046367851</v>
      </c>
    </row>
    <row r="180" spans="1:8" ht="11.25" customHeight="1" x14ac:dyDescent="0.2">
      <c r="E180" s="162" t="s">
        <v>97</v>
      </c>
      <c r="F180" s="163">
        <v>100</v>
      </c>
      <c r="G180" s="157">
        <v>5352</v>
      </c>
      <c r="H180" s="163">
        <v>86.5</v>
      </c>
    </row>
    <row r="181" spans="1:8" ht="11.25" customHeight="1" x14ac:dyDescent="0.2"/>
    <row r="182" spans="1:8" ht="11.25" customHeight="1" x14ac:dyDescent="0.2">
      <c r="A182" s="1" t="s">
        <v>1742</v>
      </c>
      <c r="C182" s="2" t="s">
        <v>1321</v>
      </c>
      <c r="D182" s="1" t="s">
        <v>1071</v>
      </c>
      <c r="E182" s="19">
        <v>2805</v>
      </c>
      <c r="F182" s="25">
        <v>68.548387096774192</v>
      </c>
    </row>
    <row r="183" spans="1:8" ht="11.25" customHeight="1" x14ac:dyDescent="0.2">
      <c r="C183" s="1" t="s">
        <v>1725</v>
      </c>
      <c r="D183" s="1" t="s">
        <v>3173</v>
      </c>
      <c r="E183" s="19">
        <v>386</v>
      </c>
      <c r="F183" s="25">
        <v>9.433040078201369</v>
      </c>
    </row>
    <row r="184" spans="1:8" ht="11.25" customHeight="1" x14ac:dyDescent="0.2">
      <c r="C184" s="1" t="s">
        <v>1726</v>
      </c>
      <c r="D184" s="1" t="s">
        <v>1239</v>
      </c>
      <c r="E184" s="19">
        <v>318</v>
      </c>
      <c r="F184" s="25">
        <v>7.7712609970674489</v>
      </c>
    </row>
    <row r="185" spans="1:8" ht="11.25" customHeight="1" x14ac:dyDescent="0.2">
      <c r="C185" s="1" t="s">
        <v>1724</v>
      </c>
      <c r="D185" s="1" t="s">
        <v>1072</v>
      </c>
      <c r="E185" s="19">
        <v>583</v>
      </c>
      <c r="F185" s="25">
        <v>14.24731182795699</v>
      </c>
    </row>
    <row r="186" spans="1:8" ht="11.25" customHeight="1" x14ac:dyDescent="0.2">
      <c r="E186" s="162" t="s">
        <v>98</v>
      </c>
      <c r="F186" s="163">
        <v>100</v>
      </c>
      <c r="G186" s="157">
        <v>4805</v>
      </c>
      <c r="H186" s="163">
        <v>87.5</v>
      </c>
    </row>
    <row r="187" spans="1:8" ht="11.25" customHeight="1" x14ac:dyDescent="0.2"/>
    <row r="188" spans="1:8" ht="11.25" customHeight="1" x14ac:dyDescent="0.2">
      <c r="A188" s="1" t="s">
        <v>1744</v>
      </c>
      <c r="C188" s="1" t="s">
        <v>1316</v>
      </c>
      <c r="D188" s="1" t="s">
        <v>3173</v>
      </c>
      <c r="E188" s="19">
        <v>721</v>
      </c>
      <c r="F188" s="25">
        <v>12.965294011868369</v>
      </c>
    </row>
    <row r="189" spans="1:8" ht="11.25" customHeight="1" x14ac:dyDescent="0.2">
      <c r="C189" s="2" t="s">
        <v>1325</v>
      </c>
      <c r="D189" s="1" t="s">
        <v>1071</v>
      </c>
      <c r="E189" s="19">
        <v>3483</v>
      </c>
      <c r="F189" s="25">
        <v>62.63262003236828</v>
      </c>
    </row>
    <row r="190" spans="1:8" ht="11.25" customHeight="1" x14ac:dyDescent="0.2">
      <c r="C190" s="1" t="s">
        <v>1728</v>
      </c>
      <c r="D190" s="1" t="s">
        <v>1239</v>
      </c>
      <c r="E190" s="19">
        <v>519</v>
      </c>
      <c r="F190" s="25">
        <v>9.3328538032727923</v>
      </c>
    </row>
    <row r="191" spans="1:8" ht="11.25" customHeight="1" x14ac:dyDescent="0.2">
      <c r="C191" s="1" t="s">
        <v>1727</v>
      </c>
      <c r="D191" s="1" t="s">
        <v>1072</v>
      </c>
      <c r="E191" s="19">
        <v>838</v>
      </c>
      <c r="F191" s="25">
        <v>15.06923215249056</v>
      </c>
    </row>
    <row r="192" spans="1:8" ht="11.25" customHeight="1" x14ac:dyDescent="0.2">
      <c r="E192" s="162" t="s">
        <v>99</v>
      </c>
      <c r="F192" s="163">
        <v>100</v>
      </c>
      <c r="G192" s="157">
        <v>6566</v>
      </c>
      <c r="H192" s="163">
        <v>86.6</v>
      </c>
    </row>
    <row r="193" spans="1:8" ht="11.25" customHeight="1" x14ac:dyDescent="0.2"/>
    <row r="194" spans="1:8" ht="11.25" customHeight="1" x14ac:dyDescent="0.2">
      <c r="A194" s="1" t="s">
        <v>1</v>
      </c>
      <c r="B194" s="1">
        <v>1</v>
      </c>
      <c r="C194" s="1" t="s">
        <v>1326</v>
      </c>
      <c r="D194" s="1" t="s">
        <v>1071</v>
      </c>
      <c r="E194" s="19">
        <v>1668</v>
      </c>
      <c r="F194" s="25">
        <v>44.150344097406034</v>
      </c>
    </row>
    <row r="195" spans="1:8" ht="11.25" customHeight="1" x14ac:dyDescent="0.2">
      <c r="C195" s="1" t="s">
        <v>1767</v>
      </c>
      <c r="D195" s="1" t="s">
        <v>1072</v>
      </c>
      <c r="E195" s="19">
        <v>897</v>
      </c>
      <c r="F195" s="25">
        <v>23.742721016410801</v>
      </c>
    </row>
    <row r="196" spans="1:8" ht="11.25" customHeight="1" x14ac:dyDescent="0.2">
      <c r="C196" s="1" t="s">
        <v>1730</v>
      </c>
      <c r="D196" s="1" t="s">
        <v>1239</v>
      </c>
      <c r="E196" s="19">
        <v>133</v>
      </c>
      <c r="F196" s="25">
        <v>3.5203811540497618</v>
      </c>
    </row>
    <row r="197" spans="1:8" ht="11.25" customHeight="1" x14ac:dyDescent="0.2">
      <c r="C197" s="1" t="s">
        <v>1729</v>
      </c>
      <c r="D197" s="1" t="s">
        <v>3173</v>
      </c>
      <c r="E197" s="19">
        <v>1080</v>
      </c>
      <c r="F197" s="25">
        <v>28.586553732133403</v>
      </c>
    </row>
    <row r="198" spans="1:8" ht="11.25" customHeight="1" x14ac:dyDescent="0.2">
      <c r="E198" s="162" t="s">
        <v>100</v>
      </c>
      <c r="F198" s="163">
        <v>100</v>
      </c>
      <c r="G198" s="157">
        <v>5201</v>
      </c>
      <c r="H198" s="163">
        <v>75.599999999999994</v>
      </c>
    </row>
    <row r="199" spans="1:8" ht="11.25" customHeight="1" x14ac:dyDescent="0.2"/>
    <row r="200" spans="1:8" ht="11.25" customHeight="1" x14ac:dyDescent="0.2">
      <c r="B200" s="1">
        <v>2</v>
      </c>
      <c r="C200" s="2" t="s">
        <v>1326</v>
      </c>
      <c r="D200" s="1" t="s">
        <v>1071</v>
      </c>
      <c r="E200" s="19">
        <v>1791</v>
      </c>
    </row>
    <row r="201" spans="1:8" ht="11.25" customHeight="1" x14ac:dyDescent="0.2">
      <c r="C201" s="1" t="s">
        <v>1729</v>
      </c>
      <c r="D201" s="1" t="s">
        <v>3173</v>
      </c>
      <c r="E201" s="19">
        <v>1518</v>
      </c>
    </row>
    <row r="202" spans="1:8" ht="11.25" customHeight="1" x14ac:dyDescent="0.2"/>
    <row r="203" spans="1:8" ht="11.25" customHeight="1" x14ac:dyDescent="0.2">
      <c r="A203" s="1" t="s">
        <v>1931</v>
      </c>
      <c r="C203" s="2" t="s">
        <v>1925</v>
      </c>
      <c r="D203" s="1" t="s">
        <v>1071</v>
      </c>
      <c r="E203" s="19">
        <v>2940</v>
      </c>
      <c r="F203" s="25">
        <v>61.661073825503358</v>
      </c>
    </row>
    <row r="204" spans="1:8" ht="11.25" customHeight="1" x14ac:dyDescent="0.2">
      <c r="C204" s="1" t="s">
        <v>1924</v>
      </c>
      <c r="D204" s="1" t="s">
        <v>3173</v>
      </c>
      <c r="E204" s="19">
        <v>357</v>
      </c>
      <c r="F204" s="25">
        <v>7.4874161073825505</v>
      </c>
    </row>
    <row r="205" spans="1:8" ht="11.25" customHeight="1" x14ac:dyDescent="0.2">
      <c r="C205" s="1" t="s">
        <v>1731</v>
      </c>
      <c r="D205" s="1" t="s">
        <v>1072</v>
      </c>
      <c r="E205" s="19">
        <v>1305</v>
      </c>
      <c r="F205" s="25">
        <v>27.369966442953022</v>
      </c>
    </row>
    <row r="206" spans="1:8" ht="11.25" customHeight="1" x14ac:dyDescent="0.2">
      <c r="C206" s="1" t="s">
        <v>1768</v>
      </c>
      <c r="D206" s="1" t="s">
        <v>1239</v>
      </c>
      <c r="E206" s="19">
        <v>166</v>
      </c>
      <c r="F206" s="25">
        <v>3.4815436241610738</v>
      </c>
    </row>
    <row r="207" spans="1:8" ht="11.25" customHeight="1" x14ac:dyDescent="0.2">
      <c r="E207" s="162" t="s">
        <v>101</v>
      </c>
      <c r="F207" s="163">
        <v>100</v>
      </c>
      <c r="G207" s="157">
        <v>5978</v>
      </c>
      <c r="H207" s="163">
        <v>82</v>
      </c>
    </row>
    <row r="208" spans="1:8" ht="11.25" customHeight="1" x14ac:dyDescent="0.2"/>
    <row r="209" spans="1:8" ht="11.25" customHeight="1" x14ac:dyDescent="0.2">
      <c r="A209" s="1" t="s">
        <v>3</v>
      </c>
      <c r="C209" s="1" t="s">
        <v>1733</v>
      </c>
      <c r="D209" s="1" t="s">
        <v>1072</v>
      </c>
      <c r="E209" s="19">
        <v>1946</v>
      </c>
      <c r="F209" s="25">
        <v>29.302815840987805</v>
      </c>
    </row>
    <row r="210" spans="1:8" ht="11.25" customHeight="1" x14ac:dyDescent="0.2">
      <c r="C210" s="1" t="s">
        <v>1735</v>
      </c>
      <c r="D210" s="1" t="s">
        <v>1239</v>
      </c>
      <c r="E210" s="19">
        <v>341</v>
      </c>
      <c r="F210" s="25">
        <v>5.1347688601114294</v>
      </c>
    </row>
    <row r="211" spans="1:8" ht="11.25" customHeight="1" x14ac:dyDescent="0.2">
      <c r="C211" s="1" t="s">
        <v>1734</v>
      </c>
      <c r="D211" s="1" t="s">
        <v>1918</v>
      </c>
      <c r="E211" s="19">
        <v>654</v>
      </c>
      <c r="F211" s="25">
        <v>9.8479144707122419</v>
      </c>
    </row>
    <row r="212" spans="1:8" ht="11.25" customHeight="1" x14ac:dyDescent="0.2">
      <c r="C212" s="2" t="s">
        <v>1732</v>
      </c>
      <c r="D212" s="1" t="s">
        <v>1071</v>
      </c>
      <c r="E212" s="19">
        <v>3700</v>
      </c>
      <c r="F212" s="25">
        <v>55.714500828188527</v>
      </c>
    </row>
    <row r="213" spans="1:8" ht="11.25" customHeight="1" x14ac:dyDescent="0.2">
      <c r="E213" s="162" t="s">
        <v>102</v>
      </c>
      <c r="F213" s="163">
        <v>100</v>
      </c>
      <c r="G213" s="157">
        <v>8360</v>
      </c>
      <c r="H213" s="163">
        <v>81.599999999999994</v>
      </c>
    </row>
    <row r="214" spans="1:8" ht="11.25" customHeight="1" x14ac:dyDescent="0.2"/>
    <row r="215" spans="1:8" ht="11.25" customHeight="1" x14ac:dyDescent="0.2">
      <c r="A215" s="1" t="s">
        <v>3185</v>
      </c>
      <c r="C215" s="2" t="s">
        <v>1240</v>
      </c>
      <c r="D215" s="1" t="s">
        <v>1071</v>
      </c>
      <c r="E215" s="19">
        <v>2322</v>
      </c>
      <c r="F215" s="25">
        <v>80.068965517241381</v>
      </c>
    </row>
    <row r="216" spans="1:8" ht="11.25" customHeight="1" x14ac:dyDescent="0.2">
      <c r="C216" s="1" t="s">
        <v>2246</v>
      </c>
      <c r="D216" s="1" t="s">
        <v>3173</v>
      </c>
      <c r="E216" s="19">
        <v>704</v>
      </c>
      <c r="F216" s="25">
        <v>3.5862068965517242</v>
      </c>
    </row>
    <row r="217" spans="1:8" ht="11.25" customHeight="1" x14ac:dyDescent="0.2">
      <c r="C217" s="1" t="s">
        <v>2247</v>
      </c>
      <c r="D217" s="1" t="s">
        <v>1072</v>
      </c>
      <c r="E217" s="19">
        <v>474</v>
      </c>
      <c r="F217" s="25">
        <v>16.344827586206897</v>
      </c>
    </row>
    <row r="218" spans="1:8" ht="11.25" customHeight="1" x14ac:dyDescent="0.2">
      <c r="E218" s="162" t="s">
        <v>1956</v>
      </c>
      <c r="F218" s="163">
        <v>100</v>
      </c>
      <c r="G218" s="157">
        <v>4110</v>
      </c>
      <c r="H218" s="163">
        <v>87.9</v>
      </c>
    </row>
    <row r="219" spans="1:8" ht="11.25" customHeight="1" x14ac:dyDescent="0.2"/>
    <row r="220" spans="1:8" ht="11.25" customHeight="1" x14ac:dyDescent="0.2">
      <c r="A220" s="1" t="s">
        <v>1752</v>
      </c>
      <c r="C220" s="2" t="s">
        <v>2248</v>
      </c>
      <c r="D220" s="1" t="s">
        <v>1071</v>
      </c>
      <c r="E220" s="19">
        <v>1680</v>
      </c>
      <c r="F220" s="25">
        <v>61.8329039381671</v>
      </c>
    </row>
    <row r="221" spans="1:8" ht="11.25" customHeight="1" x14ac:dyDescent="0.2">
      <c r="C221" s="1" t="s">
        <v>2250</v>
      </c>
      <c r="D221" s="1" t="s">
        <v>1072</v>
      </c>
      <c r="E221" s="19">
        <v>387</v>
      </c>
      <c r="F221" s="25">
        <v>14.243651085756349</v>
      </c>
    </row>
    <row r="222" spans="1:8" ht="11.25" customHeight="1" x14ac:dyDescent="0.2">
      <c r="C222" s="1" t="s">
        <v>2249</v>
      </c>
      <c r="D222" s="1" t="s">
        <v>3173</v>
      </c>
      <c r="E222" s="19">
        <v>650</v>
      </c>
      <c r="F222" s="25">
        <v>23.923444976076556</v>
      </c>
    </row>
    <row r="223" spans="1:8" ht="11.25" customHeight="1" x14ac:dyDescent="0.2">
      <c r="E223" s="162" t="s">
        <v>103</v>
      </c>
      <c r="F223" s="163">
        <v>100</v>
      </c>
      <c r="G223" s="157">
        <v>3260</v>
      </c>
      <c r="H223" s="163">
        <v>86.1</v>
      </c>
    </row>
    <row r="224" spans="1:8" ht="11.25" customHeight="1" x14ac:dyDescent="0.2"/>
    <row r="225" spans="1:8" ht="11.25" customHeight="1" x14ac:dyDescent="0.2">
      <c r="A225" s="1" t="s">
        <v>3195</v>
      </c>
      <c r="C225" s="1" t="s">
        <v>2253</v>
      </c>
      <c r="D225" s="1" t="s">
        <v>1239</v>
      </c>
      <c r="E225" s="19">
        <v>653</v>
      </c>
      <c r="F225" s="25">
        <v>12.701808986578486</v>
      </c>
    </row>
    <row r="226" spans="1:8" ht="11.25" customHeight="1" x14ac:dyDescent="0.2">
      <c r="C226" s="1" t="s">
        <v>2251</v>
      </c>
      <c r="D226" s="1" t="s">
        <v>1072</v>
      </c>
      <c r="E226" s="19">
        <v>1252</v>
      </c>
      <c r="F226" s="25">
        <v>24.353238669519548</v>
      </c>
    </row>
    <row r="227" spans="1:8" ht="11.25" customHeight="1" x14ac:dyDescent="0.2">
      <c r="C227" s="2" t="s">
        <v>2252</v>
      </c>
      <c r="D227" s="1" t="s">
        <v>1071</v>
      </c>
      <c r="E227" s="19">
        <v>3236</v>
      </c>
      <c r="F227" s="25">
        <v>62.944952343901967</v>
      </c>
    </row>
    <row r="228" spans="1:8" ht="11.25" customHeight="1" x14ac:dyDescent="0.2">
      <c r="E228" s="162" t="s">
        <v>104</v>
      </c>
      <c r="F228" s="163">
        <v>100</v>
      </c>
      <c r="G228" s="157">
        <v>6315</v>
      </c>
      <c r="H228" s="163">
        <v>83.3</v>
      </c>
    </row>
    <row r="229" spans="1:8" ht="11.25" customHeight="1" x14ac:dyDescent="0.2"/>
    <row r="230" spans="1:8" ht="11.25" customHeight="1" x14ac:dyDescent="0.2">
      <c r="A230" s="1" t="s">
        <v>2254</v>
      </c>
      <c r="C230" s="2" t="s">
        <v>2255</v>
      </c>
      <c r="D230" s="1" t="s">
        <v>1071</v>
      </c>
      <c r="E230" s="19">
        <v>1767</v>
      </c>
      <c r="F230" s="25">
        <v>55.829383886255926</v>
      </c>
    </row>
    <row r="231" spans="1:8" ht="11.25" customHeight="1" x14ac:dyDescent="0.2">
      <c r="C231" s="1" t="s">
        <v>2257</v>
      </c>
      <c r="D231" s="1" t="s">
        <v>1072</v>
      </c>
      <c r="E231" s="19">
        <v>517</v>
      </c>
      <c r="F231" s="25">
        <v>16.334913112164298</v>
      </c>
    </row>
    <row r="232" spans="1:8" ht="11.25" customHeight="1" x14ac:dyDescent="0.2">
      <c r="C232" s="1" t="s">
        <v>2256</v>
      </c>
      <c r="D232" s="1" t="s">
        <v>3173</v>
      </c>
      <c r="E232" s="19">
        <v>612</v>
      </c>
      <c r="F232" s="25">
        <v>19.33649289099526</v>
      </c>
    </row>
    <row r="233" spans="1:8" ht="11.25" customHeight="1" x14ac:dyDescent="0.2">
      <c r="C233" s="1" t="s">
        <v>2258</v>
      </c>
      <c r="D233" s="1" t="s">
        <v>1239</v>
      </c>
      <c r="E233" s="19">
        <v>269</v>
      </c>
      <c r="F233" s="25">
        <v>8.499210110584519</v>
      </c>
    </row>
    <row r="234" spans="1:8" ht="11.25" customHeight="1" x14ac:dyDescent="0.2">
      <c r="E234" s="162" t="s">
        <v>105</v>
      </c>
      <c r="F234" s="163">
        <v>100</v>
      </c>
      <c r="G234" s="157">
        <v>3760</v>
      </c>
      <c r="H234" s="163">
        <v>86.3</v>
      </c>
    </row>
    <row r="235" spans="1:8" ht="11.25" customHeight="1" x14ac:dyDescent="0.2"/>
    <row r="236" spans="1:8" ht="11.25" customHeight="1" x14ac:dyDescent="0.2">
      <c r="A236" s="1" t="s">
        <v>716</v>
      </c>
      <c r="C236" s="1" t="s">
        <v>2260</v>
      </c>
      <c r="D236" s="1" t="s">
        <v>1072</v>
      </c>
      <c r="E236" s="19">
        <v>970</v>
      </c>
      <c r="F236" s="25">
        <v>17.671707050464565</v>
      </c>
    </row>
    <row r="237" spans="1:8" ht="11.25" customHeight="1" x14ac:dyDescent="0.2">
      <c r="C237" s="1" t="s">
        <v>2261</v>
      </c>
      <c r="D237" s="1" t="s">
        <v>1239</v>
      </c>
      <c r="E237" s="19">
        <v>452</v>
      </c>
      <c r="F237" s="25">
        <v>8.2346511204226633</v>
      </c>
    </row>
    <row r="238" spans="1:8" ht="11.25" customHeight="1" x14ac:dyDescent="0.2">
      <c r="C238" s="1" t="s">
        <v>1769</v>
      </c>
      <c r="D238" s="1" t="s">
        <v>3173</v>
      </c>
      <c r="E238" s="19">
        <v>1005</v>
      </c>
      <c r="F238" s="25">
        <v>18.309345964656586</v>
      </c>
    </row>
    <row r="239" spans="1:8" ht="11.25" customHeight="1" x14ac:dyDescent="0.2">
      <c r="C239" s="2" t="s">
        <v>2259</v>
      </c>
      <c r="D239" s="1" t="s">
        <v>1071</v>
      </c>
      <c r="E239" s="19">
        <v>3062</v>
      </c>
      <c r="F239" s="25">
        <v>55.784295864456183</v>
      </c>
    </row>
    <row r="240" spans="1:8" ht="11.25" customHeight="1" x14ac:dyDescent="0.2">
      <c r="E240" s="162" t="s">
        <v>106</v>
      </c>
      <c r="F240" s="163">
        <v>100</v>
      </c>
      <c r="G240" s="157">
        <v>6590</v>
      </c>
      <c r="H240" s="163">
        <v>85.8</v>
      </c>
    </row>
    <row r="241" spans="1:8" ht="11.25" customHeight="1" x14ac:dyDescent="0.2"/>
    <row r="242" spans="1:8" ht="11.25" customHeight="1" x14ac:dyDescent="0.2">
      <c r="A242" s="1" t="s">
        <v>1241</v>
      </c>
      <c r="C242" s="2" t="s">
        <v>1317</v>
      </c>
      <c r="D242" s="1" t="s">
        <v>1071</v>
      </c>
      <c r="E242" s="19">
        <v>3538</v>
      </c>
      <c r="F242" s="25">
        <v>66.081434441539031</v>
      </c>
    </row>
    <row r="243" spans="1:8" ht="11.25" customHeight="1" x14ac:dyDescent="0.2">
      <c r="C243" s="1" t="s">
        <v>2263</v>
      </c>
      <c r="D243" s="1" t="s">
        <v>3173</v>
      </c>
      <c r="E243" s="19">
        <v>694</v>
      </c>
      <c r="F243" s="25">
        <v>12.962271199103474</v>
      </c>
    </row>
    <row r="244" spans="1:8" ht="11.25" customHeight="1" x14ac:dyDescent="0.2">
      <c r="C244" s="1" t="s">
        <v>2262</v>
      </c>
      <c r="D244" s="1" t="s">
        <v>1072</v>
      </c>
      <c r="E244" s="19">
        <v>955</v>
      </c>
      <c r="F244" s="25">
        <v>17.837131116921928</v>
      </c>
    </row>
    <row r="245" spans="1:8" ht="11.25" customHeight="1" x14ac:dyDescent="0.2">
      <c r="C245" s="1" t="s">
        <v>2264</v>
      </c>
      <c r="D245" s="1" t="s">
        <v>1239</v>
      </c>
      <c r="E245" s="19">
        <v>167</v>
      </c>
      <c r="F245" s="25">
        <v>3.1191632424355622</v>
      </c>
    </row>
    <row r="246" spans="1:8" ht="11.25" customHeight="1" x14ac:dyDescent="0.2">
      <c r="E246" s="162" t="s">
        <v>107</v>
      </c>
      <c r="F246" s="163">
        <v>100</v>
      </c>
      <c r="G246" s="157">
        <v>5993</v>
      </c>
      <c r="H246" s="163">
        <v>91.6</v>
      </c>
    </row>
    <row r="247" spans="1:8" ht="11.25" customHeight="1" x14ac:dyDescent="0.2"/>
    <row r="248" spans="1:8" ht="11.25" customHeight="1" x14ac:dyDescent="0.2">
      <c r="A248" s="1" t="s">
        <v>415</v>
      </c>
      <c r="B248" s="1">
        <v>1</v>
      </c>
      <c r="C248" s="1" t="s">
        <v>448</v>
      </c>
      <c r="D248" s="1" t="s">
        <v>3173</v>
      </c>
      <c r="E248" s="19">
        <v>994</v>
      </c>
      <c r="F248" s="25">
        <v>20.04032258064516</v>
      </c>
    </row>
    <row r="249" spans="1:8" ht="11.25" customHeight="1" x14ac:dyDescent="0.2">
      <c r="C249" s="1" t="s">
        <v>449</v>
      </c>
      <c r="D249" s="1" t="s">
        <v>1239</v>
      </c>
      <c r="E249" s="19">
        <v>308</v>
      </c>
      <c r="F249" s="25">
        <v>6.209677419354839</v>
      </c>
    </row>
    <row r="250" spans="1:8" ht="11.25" customHeight="1" x14ac:dyDescent="0.2">
      <c r="C250" s="1" t="s">
        <v>447</v>
      </c>
      <c r="D250" s="1" t="s">
        <v>1072</v>
      </c>
      <c r="E250" s="19">
        <v>1389</v>
      </c>
      <c r="F250" s="25">
        <v>28.004032258064516</v>
      </c>
    </row>
    <row r="251" spans="1:8" ht="11.25" customHeight="1" x14ac:dyDescent="0.2">
      <c r="C251" s="1" t="s">
        <v>1319</v>
      </c>
      <c r="D251" s="1" t="s">
        <v>1071</v>
      </c>
      <c r="E251" s="19">
        <v>2474</v>
      </c>
      <c r="F251" s="25">
        <v>45.74596774193548</v>
      </c>
    </row>
    <row r="252" spans="1:8" ht="11.25" customHeight="1" x14ac:dyDescent="0.2">
      <c r="E252" s="162" t="s">
        <v>1957</v>
      </c>
      <c r="F252" s="163">
        <v>100</v>
      </c>
      <c r="G252" s="157">
        <v>7508</v>
      </c>
      <c r="H252" s="163">
        <v>69.599999999999994</v>
      </c>
    </row>
    <row r="253" spans="1:8" ht="11.25" customHeight="1" x14ac:dyDescent="0.2"/>
    <row r="254" spans="1:8" ht="11.25" customHeight="1" x14ac:dyDescent="0.2">
      <c r="B254" s="1">
        <v>2</v>
      </c>
      <c r="C254" s="1" t="s">
        <v>447</v>
      </c>
      <c r="D254" s="1" t="s">
        <v>1072</v>
      </c>
      <c r="E254" s="19">
        <v>1898</v>
      </c>
    </row>
    <row r="255" spans="1:8" ht="11.25" customHeight="1" x14ac:dyDescent="0.2">
      <c r="C255" s="2" t="s">
        <v>1319</v>
      </c>
      <c r="D255" s="1" t="s">
        <v>1071</v>
      </c>
      <c r="E255" s="19">
        <v>2269</v>
      </c>
    </row>
    <row r="256" spans="1:8" ht="11.25" customHeight="1" x14ac:dyDescent="0.2"/>
    <row r="257" spans="1:8" ht="11.25" customHeight="1" x14ac:dyDescent="0.2">
      <c r="A257" s="1" t="s">
        <v>718</v>
      </c>
      <c r="C257" s="2" t="s">
        <v>450</v>
      </c>
      <c r="D257" s="1" t="s">
        <v>1071</v>
      </c>
      <c r="E257" s="19">
        <v>3133</v>
      </c>
      <c r="F257" s="25">
        <v>57.057002367510471</v>
      </c>
    </row>
    <row r="258" spans="1:8" ht="11.25" customHeight="1" x14ac:dyDescent="0.2">
      <c r="C258" s="1" t="s">
        <v>793</v>
      </c>
      <c r="D258" s="1" t="s">
        <v>1239</v>
      </c>
      <c r="E258" s="19">
        <v>183</v>
      </c>
      <c r="F258" s="25">
        <v>3.3327262793662356</v>
      </c>
    </row>
    <row r="259" spans="1:8" ht="11.25" customHeight="1" x14ac:dyDescent="0.2">
      <c r="C259" s="1" t="s">
        <v>792</v>
      </c>
      <c r="D259" s="1" t="s">
        <v>1072</v>
      </c>
      <c r="E259" s="19">
        <v>1145</v>
      </c>
      <c r="F259" s="25">
        <v>20.852303769805136</v>
      </c>
    </row>
    <row r="260" spans="1:8" ht="11.25" customHeight="1" x14ac:dyDescent="0.2">
      <c r="C260" s="1" t="s">
        <v>1327</v>
      </c>
      <c r="D260" s="1" t="s">
        <v>3173</v>
      </c>
      <c r="E260" s="19">
        <v>1030</v>
      </c>
      <c r="F260" s="25">
        <v>18.757967583318155</v>
      </c>
    </row>
    <row r="261" spans="1:8" ht="11.25" customHeight="1" x14ac:dyDescent="0.2">
      <c r="E261" s="162" t="s">
        <v>108</v>
      </c>
      <c r="F261" s="163">
        <v>100</v>
      </c>
      <c r="G261" s="159">
        <v>7140</v>
      </c>
      <c r="H261" s="163">
        <v>80.099999999999994</v>
      </c>
    </row>
    <row r="262" spans="1:8" ht="11.25" customHeight="1" x14ac:dyDescent="0.2">
      <c r="G262" s="24"/>
    </row>
    <row r="263" spans="1:8" ht="11.25" customHeight="1" x14ac:dyDescent="0.2">
      <c r="A263" s="1" t="s">
        <v>794</v>
      </c>
      <c r="C263" s="1" t="s">
        <v>797</v>
      </c>
      <c r="D263" s="1" t="s">
        <v>1239</v>
      </c>
      <c r="E263" s="19">
        <v>312</v>
      </c>
      <c r="F263" s="25">
        <v>13.276595744680851</v>
      </c>
      <c r="G263" s="24"/>
    </row>
    <row r="264" spans="1:8" ht="11.25" customHeight="1" x14ac:dyDescent="0.2">
      <c r="C264" s="1" t="s">
        <v>796</v>
      </c>
      <c r="D264" s="1" t="s">
        <v>1072</v>
      </c>
      <c r="E264" s="19">
        <v>528</v>
      </c>
      <c r="F264" s="25">
        <v>22.468085106382979</v>
      </c>
    </row>
    <row r="265" spans="1:8" ht="11.25" customHeight="1" x14ac:dyDescent="0.2">
      <c r="C265" s="1" t="s">
        <v>798</v>
      </c>
      <c r="D265" s="1" t="s">
        <v>3173</v>
      </c>
      <c r="E265" s="19">
        <v>296</v>
      </c>
      <c r="F265" s="25">
        <v>12.595744680851064</v>
      </c>
    </row>
    <row r="266" spans="1:8" ht="11.25" customHeight="1" x14ac:dyDescent="0.2">
      <c r="C266" s="2" t="s">
        <v>795</v>
      </c>
      <c r="D266" s="1" t="s">
        <v>1071</v>
      </c>
      <c r="E266" s="19">
        <v>1214</v>
      </c>
      <c r="F266" s="25">
        <v>51.659574468085104</v>
      </c>
    </row>
    <row r="267" spans="1:8" ht="11.25" customHeight="1" x14ac:dyDescent="0.2">
      <c r="E267" s="162" t="s">
        <v>109</v>
      </c>
      <c r="F267" s="163">
        <v>100</v>
      </c>
      <c r="G267" s="157">
        <v>2731</v>
      </c>
      <c r="H267" s="163">
        <v>88.4</v>
      </c>
    </row>
    <row r="268" spans="1:8" ht="11.25" customHeight="1" x14ac:dyDescent="0.2"/>
    <row r="269" spans="1:8" ht="11.25" customHeight="1" x14ac:dyDescent="0.2">
      <c r="A269" s="1" t="s">
        <v>801</v>
      </c>
      <c r="C269" s="1" t="s">
        <v>799</v>
      </c>
      <c r="D269" s="1" t="s">
        <v>3173</v>
      </c>
      <c r="E269" s="19">
        <v>879</v>
      </c>
      <c r="F269" s="25">
        <v>22.713178294573645</v>
      </c>
    </row>
    <row r="270" spans="1:8" ht="11.25" customHeight="1" x14ac:dyDescent="0.2">
      <c r="C270" s="1" t="s">
        <v>800</v>
      </c>
      <c r="D270" s="1" t="s">
        <v>1072</v>
      </c>
      <c r="E270" s="19">
        <v>696</v>
      </c>
      <c r="F270" s="25">
        <v>17.984496124031008</v>
      </c>
    </row>
    <row r="271" spans="1:8" ht="11.25" customHeight="1" x14ac:dyDescent="0.2">
      <c r="C271" s="2" t="s">
        <v>802</v>
      </c>
      <c r="D271" s="1" t="s">
        <v>1071</v>
      </c>
      <c r="E271" s="19">
        <v>2295</v>
      </c>
      <c r="F271" s="25">
        <v>59.302325581395351</v>
      </c>
    </row>
    <row r="272" spans="1:8" ht="11.25" customHeight="1" x14ac:dyDescent="0.2">
      <c r="E272" s="162" t="s">
        <v>111</v>
      </c>
      <c r="F272" s="163">
        <v>100</v>
      </c>
      <c r="G272" s="157">
        <v>4559</v>
      </c>
      <c r="H272" s="163">
        <v>84.8</v>
      </c>
    </row>
    <row r="273" spans="1:8" ht="11.25" customHeight="1" x14ac:dyDescent="0.2"/>
    <row r="274" spans="1:8" ht="11.25" customHeight="1" x14ac:dyDescent="0.2">
      <c r="A274" s="1" t="s">
        <v>2341</v>
      </c>
      <c r="C274" s="1" t="s">
        <v>803</v>
      </c>
      <c r="D274" s="1" t="s">
        <v>1072</v>
      </c>
      <c r="E274" s="19">
        <v>788</v>
      </c>
      <c r="F274" s="25">
        <v>13.405920381082002</v>
      </c>
    </row>
    <row r="275" spans="1:8" ht="11.25" customHeight="1" x14ac:dyDescent="0.2">
      <c r="C275" s="2" t="s">
        <v>3251</v>
      </c>
      <c r="D275" s="1" t="s">
        <v>1071</v>
      </c>
      <c r="E275" s="19">
        <v>3565</v>
      </c>
      <c r="F275" s="25">
        <v>60.649880911874789</v>
      </c>
    </row>
    <row r="276" spans="1:8" ht="11.25" customHeight="1" x14ac:dyDescent="0.2">
      <c r="C276" s="1" t="s">
        <v>804</v>
      </c>
      <c r="D276" s="1" t="s">
        <v>653</v>
      </c>
      <c r="E276" s="19">
        <v>622</v>
      </c>
      <c r="F276" s="25">
        <v>10.581830554610411</v>
      </c>
    </row>
    <row r="277" spans="1:8" ht="11.25" customHeight="1" x14ac:dyDescent="0.2">
      <c r="C277" s="1" t="s">
        <v>806</v>
      </c>
      <c r="D277" s="1" t="s">
        <v>1547</v>
      </c>
      <c r="E277" s="19">
        <v>291</v>
      </c>
      <c r="F277" s="25">
        <v>4.9506634909833274</v>
      </c>
    </row>
    <row r="278" spans="1:8" ht="11.25" customHeight="1" x14ac:dyDescent="0.2">
      <c r="C278" s="1" t="s">
        <v>805</v>
      </c>
      <c r="D278" s="1" t="s">
        <v>1239</v>
      </c>
      <c r="E278" s="19">
        <v>612</v>
      </c>
      <c r="F278" s="25">
        <v>10.411704661449473</v>
      </c>
    </row>
    <row r="279" spans="1:8" ht="11.25" customHeight="1" x14ac:dyDescent="0.2">
      <c r="E279" s="162" t="s">
        <v>110</v>
      </c>
      <c r="F279" s="163">
        <v>100</v>
      </c>
      <c r="G279" s="157">
        <v>7049</v>
      </c>
      <c r="H279" s="163">
        <v>85.6</v>
      </c>
    </row>
    <row r="280" spans="1:8" ht="11.25" customHeight="1" x14ac:dyDescent="0.2"/>
    <row r="281" spans="1:8" ht="11.25" customHeight="1" x14ac:dyDescent="0.2">
      <c r="A281" s="1" t="s">
        <v>807</v>
      </c>
      <c r="C281" s="2" t="s">
        <v>1324</v>
      </c>
      <c r="D281" s="1" t="s">
        <v>1071</v>
      </c>
      <c r="E281" s="19">
        <v>2684</v>
      </c>
      <c r="F281" s="25">
        <v>71.155885471898202</v>
      </c>
    </row>
    <row r="282" spans="1:8" ht="11.25" customHeight="1" x14ac:dyDescent="0.2">
      <c r="C282" s="1" t="s">
        <v>809</v>
      </c>
      <c r="D282" s="1" t="s">
        <v>3173</v>
      </c>
      <c r="E282" s="19">
        <v>499</v>
      </c>
      <c r="F282" s="25">
        <v>13.229056203605515</v>
      </c>
    </row>
    <row r="283" spans="1:8" ht="11.25" customHeight="1" x14ac:dyDescent="0.2">
      <c r="C283" s="1" t="s">
        <v>808</v>
      </c>
      <c r="D283" s="1" t="s">
        <v>1072</v>
      </c>
      <c r="E283" s="19">
        <v>589</v>
      </c>
      <c r="F283" s="25">
        <v>15.615058324496289</v>
      </c>
    </row>
    <row r="284" spans="1:8" ht="11.25" customHeight="1" x14ac:dyDescent="0.2">
      <c r="E284" s="162" t="s">
        <v>112</v>
      </c>
      <c r="F284" s="163">
        <v>100</v>
      </c>
      <c r="G284" s="157">
        <v>4455</v>
      </c>
      <c r="H284" s="163">
        <v>87.3</v>
      </c>
    </row>
    <row r="285" spans="1:8" ht="11.25" customHeight="1" x14ac:dyDescent="0.2"/>
    <row r="286" spans="1:8" ht="11.25" customHeight="1" x14ac:dyDescent="0.2">
      <c r="A286" s="1" t="s">
        <v>810</v>
      </c>
      <c r="C286" s="1" t="s">
        <v>1461</v>
      </c>
      <c r="D286" s="1" t="s">
        <v>653</v>
      </c>
      <c r="E286" s="19">
        <v>389</v>
      </c>
      <c r="F286" s="25">
        <v>7.0753001091305929</v>
      </c>
    </row>
    <row r="287" spans="1:8" ht="11.25" customHeight="1" x14ac:dyDescent="0.2">
      <c r="C287" s="2" t="s">
        <v>1027</v>
      </c>
      <c r="D287" s="1" t="s">
        <v>1071</v>
      </c>
      <c r="E287" s="19">
        <v>2996</v>
      </c>
      <c r="F287" s="25">
        <v>54.492542742815566</v>
      </c>
    </row>
    <row r="288" spans="1:8" ht="11.25" customHeight="1" x14ac:dyDescent="0.2">
      <c r="C288" s="1" t="s">
        <v>1460</v>
      </c>
      <c r="D288" s="1" t="s">
        <v>1072</v>
      </c>
      <c r="E288" s="19">
        <v>1033</v>
      </c>
      <c r="F288" s="25">
        <v>18.78865041833394</v>
      </c>
    </row>
    <row r="289" spans="1:8" ht="11.25" customHeight="1" x14ac:dyDescent="0.2">
      <c r="C289" s="1" t="s">
        <v>1459</v>
      </c>
      <c r="D289" s="1" t="s">
        <v>1547</v>
      </c>
      <c r="E289" s="19">
        <v>1080</v>
      </c>
      <c r="F289" s="25">
        <v>19.643506729719899</v>
      </c>
    </row>
    <row r="290" spans="1:8" ht="11.25" customHeight="1" x14ac:dyDescent="0.2">
      <c r="E290" s="162" t="s">
        <v>113</v>
      </c>
      <c r="F290" s="163">
        <v>100</v>
      </c>
      <c r="G290" s="157">
        <v>6888</v>
      </c>
      <c r="H290" s="163">
        <v>82</v>
      </c>
    </row>
    <row r="291" spans="1:8" ht="11.25" customHeight="1" x14ac:dyDescent="0.2"/>
    <row r="292" spans="1:8" ht="11.25" customHeight="1" x14ac:dyDescent="0.2">
      <c r="A292" s="1" t="s">
        <v>1385</v>
      </c>
      <c r="C292" s="1" t="s">
        <v>1462</v>
      </c>
      <c r="D292" s="1" t="s">
        <v>3173</v>
      </c>
      <c r="E292" s="19">
        <v>833</v>
      </c>
      <c r="F292" s="25">
        <v>16.310945760720578</v>
      </c>
    </row>
    <row r="293" spans="1:8" ht="11.25" customHeight="1" x14ac:dyDescent="0.2">
      <c r="C293" s="2" t="s">
        <v>1322</v>
      </c>
      <c r="D293" s="1" t="s">
        <v>1071</v>
      </c>
      <c r="E293" s="19">
        <v>3642</v>
      </c>
      <c r="F293" s="25">
        <v>71.313882905815547</v>
      </c>
    </row>
    <row r="294" spans="1:8" ht="11.25" customHeight="1" x14ac:dyDescent="0.2">
      <c r="C294" s="1" t="s">
        <v>1776</v>
      </c>
      <c r="D294" s="1" t="s">
        <v>1072</v>
      </c>
      <c r="E294" s="19">
        <v>632</v>
      </c>
      <c r="F294" s="25">
        <v>12.375171333463873</v>
      </c>
    </row>
    <row r="295" spans="1:8" ht="11.25" customHeight="1" x14ac:dyDescent="0.2">
      <c r="E295" s="162" t="s">
        <v>126</v>
      </c>
      <c r="F295" s="163">
        <v>100</v>
      </c>
      <c r="G295" s="157">
        <v>4787</v>
      </c>
      <c r="H295" s="163">
        <v>87.8</v>
      </c>
    </row>
    <row r="296" spans="1:8" ht="11.25" customHeight="1" x14ac:dyDescent="0.2"/>
    <row r="297" spans="1:8" ht="11.25" customHeight="1" x14ac:dyDescent="0.2">
      <c r="A297" s="1" t="s">
        <v>446</v>
      </c>
      <c r="B297" s="1">
        <v>1</v>
      </c>
      <c r="C297" s="1" t="s">
        <v>1463</v>
      </c>
      <c r="D297" s="1" t="s">
        <v>1548</v>
      </c>
      <c r="E297" s="19">
        <v>955</v>
      </c>
      <c r="F297" s="25">
        <v>29.787897691827823</v>
      </c>
    </row>
    <row r="298" spans="1:8" ht="11.25" customHeight="1" x14ac:dyDescent="0.2">
      <c r="C298" s="1" t="s">
        <v>970</v>
      </c>
      <c r="D298" s="1" t="s">
        <v>1071</v>
      </c>
      <c r="E298" s="19">
        <v>1431</v>
      </c>
      <c r="F298" s="25">
        <v>44.635059263880223</v>
      </c>
    </row>
    <row r="299" spans="1:8" ht="11.25" customHeight="1" x14ac:dyDescent="0.2">
      <c r="C299" s="1" t="s">
        <v>1464</v>
      </c>
      <c r="D299" s="1" t="s">
        <v>1072</v>
      </c>
      <c r="E299" s="19">
        <v>446</v>
      </c>
      <c r="F299" s="25">
        <v>13.911416094822208</v>
      </c>
    </row>
    <row r="300" spans="1:8" ht="11.25" customHeight="1" x14ac:dyDescent="0.2">
      <c r="C300" s="1" t="s">
        <v>1465</v>
      </c>
      <c r="D300" s="1" t="s">
        <v>717</v>
      </c>
      <c r="E300" s="19">
        <v>258</v>
      </c>
      <c r="F300" s="25">
        <v>8.0474111041796625</v>
      </c>
    </row>
    <row r="301" spans="1:8" ht="11.25" customHeight="1" x14ac:dyDescent="0.2">
      <c r="C301" s="1" t="s">
        <v>1466</v>
      </c>
      <c r="D301" s="1" t="s">
        <v>3173</v>
      </c>
      <c r="E301" s="19">
        <v>116</v>
      </c>
      <c r="F301" s="25">
        <v>3.6182158452900812</v>
      </c>
    </row>
    <row r="302" spans="1:8" ht="11.25" customHeight="1" x14ac:dyDescent="0.2">
      <c r="E302" s="162" t="s">
        <v>114</v>
      </c>
      <c r="F302" s="163">
        <v>100</v>
      </c>
      <c r="G302" s="157">
        <v>3811</v>
      </c>
      <c r="H302" s="163">
        <v>86.4</v>
      </c>
    </row>
    <row r="303" spans="1:8" ht="11.25" customHeight="1" x14ac:dyDescent="0.2"/>
    <row r="304" spans="1:8" ht="11.25" customHeight="1" x14ac:dyDescent="0.2">
      <c r="B304" s="1">
        <v>2</v>
      </c>
      <c r="C304" s="1" t="s">
        <v>1463</v>
      </c>
      <c r="D304" s="1" t="s">
        <v>1548</v>
      </c>
      <c r="E304" s="19">
        <v>1445</v>
      </c>
    </row>
    <row r="305" spans="1:8" ht="11.25" customHeight="1" x14ac:dyDescent="0.2">
      <c r="C305" s="2" t="s">
        <v>970</v>
      </c>
      <c r="D305" s="1" t="s">
        <v>1071</v>
      </c>
      <c r="E305" s="19">
        <v>1619</v>
      </c>
    </row>
    <row r="306" spans="1:8" ht="11.25" customHeight="1" x14ac:dyDescent="0.2"/>
    <row r="307" spans="1:8" ht="11.25" customHeight="1" x14ac:dyDescent="0.2">
      <c r="A307" s="1" t="s">
        <v>3262</v>
      </c>
      <c r="B307" s="1">
        <v>1</v>
      </c>
      <c r="C307" s="1" t="s">
        <v>1028</v>
      </c>
      <c r="D307" s="1" t="s">
        <v>1071</v>
      </c>
      <c r="E307" s="19">
        <v>2567</v>
      </c>
      <c r="F307" s="25">
        <v>46.877282688093501</v>
      </c>
    </row>
    <row r="308" spans="1:8" ht="11.25" customHeight="1" x14ac:dyDescent="0.2">
      <c r="C308" s="1" t="s">
        <v>1479</v>
      </c>
      <c r="D308" s="1" t="s">
        <v>1072</v>
      </c>
      <c r="E308" s="19">
        <v>1963</v>
      </c>
      <c r="F308" s="25">
        <v>35.847333820306794</v>
      </c>
    </row>
    <row r="309" spans="1:8" ht="11.25" customHeight="1" x14ac:dyDescent="0.2">
      <c r="C309" s="1" t="s">
        <v>1084</v>
      </c>
      <c r="D309" s="1" t="s">
        <v>3173</v>
      </c>
      <c r="E309" s="19">
        <v>946</v>
      </c>
      <c r="F309" s="25">
        <v>17.275383491599708</v>
      </c>
    </row>
    <row r="310" spans="1:8" ht="11.25" customHeight="1" x14ac:dyDescent="0.2">
      <c r="E310" s="162" t="s">
        <v>115</v>
      </c>
      <c r="F310" s="163">
        <v>100</v>
      </c>
      <c r="G310" s="157">
        <v>6876</v>
      </c>
      <c r="H310" s="163">
        <v>82.2</v>
      </c>
    </row>
    <row r="311" spans="1:8" ht="11.25" customHeight="1" x14ac:dyDescent="0.2"/>
    <row r="312" spans="1:8" ht="11.25" customHeight="1" x14ac:dyDescent="0.2">
      <c r="B312" s="1">
        <v>2</v>
      </c>
      <c r="C312" s="2" t="s">
        <v>1028</v>
      </c>
      <c r="D312" s="1" t="s">
        <v>1071</v>
      </c>
      <c r="E312" s="19">
        <v>2679</v>
      </c>
    </row>
    <row r="313" spans="1:8" ht="11.25" customHeight="1" x14ac:dyDescent="0.2">
      <c r="C313" s="1" t="s">
        <v>1479</v>
      </c>
      <c r="D313" s="1" t="s">
        <v>1072</v>
      </c>
      <c r="E313" s="19">
        <v>2364</v>
      </c>
    </row>
    <row r="314" spans="1:8" ht="11.25" customHeight="1" x14ac:dyDescent="0.2"/>
    <row r="315" spans="1:8" ht="11.25" customHeight="1" x14ac:dyDescent="0.2">
      <c r="A315" s="1" t="s">
        <v>1552</v>
      </c>
      <c r="C315" s="1" t="s">
        <v>1469</v>
      </c>
      <c r="D315" s="1" t="s">
        <v>1239</v>
      </c>
      <c r="E315" s="19">
        <v>271</v>
      </c>
      <c r="F315" s="25">
        <v>5.1345206517620312</v>
      </c>
    </row>
    <row r="316" spans="1:8" ht="11.25" customHeight="1" x14ac:dyDescent="0.2">
      <c r="C316" s="1" t="s">
        <v>1481</v>
      </c>
      <c r="D316" s="1" t="s">
        <v>1072</v>
      </c>
      <c r="E316" s="19">
        <v>882</v>
      </c>
      <c r="F316" s="25">
        <v>16.710875331564988</v>
      </c>
    </row>
    <row r="317" spans="1:8" ht="11.25" customHeight="1" x14ac:dyDescent="0.2">
      <c r="C317" s="2" t="s">
        <v>1467</v>
      </c>
      <c r="D317" s="1" t="s">
        <v>1071</v>
      </c>
      <c r="E317" s="19">
        <v>3603</v>
      </c>
      <c r="F317" s="25">
        <v>68.264494126563093</v>
      </c>
    </row>
    <row r="318" spans="1:8" ht="11.25" customHeight="1" x14ac:dyDescent="0.2">
      <c r="C318" s="1" t="s">
        <v>1468</v>
      </c>
      <c r="D318" s="1" t="s">
        <v>3173</v>
      </c>
      <c r="E318" s="19">
        <v>522</v>
      </c>
      <c r="F318" s="25">
        <v>9.8901098901098905</v>
      </c>
    </row>
    <row r="319" spans="1:8" ht="11.25" customHeight="1" x14ac:dyDescent="0.2">
      <c r="E319" s="162" t="s">
        <v>116</v>
      </c>
      <c r="F319" s="163">
        <v>100</v>
      </c>
      <c r="G319" s="157">
        <v>6000</v>
      </c>
      <c r="H319" s="163">
        <v>89.9</v>
      </c>
    </row>
    <row r="320" spans="1:8" ht="11.25" customHeight="1" x14ac:dyDescent="0.2"/>
    <row r="321" spans="1:8" ht="11.25" customHeight="1" x14ac:dyDescent="0.2">
      <c r="A321" s="1" t="s">
        <v>2545</v>
      </c>
      <c r="C321" s="1" t="s">
        <v>1480</v>
      </c>
      <c r="D321" s="1" t="s">
        <v>1072</v>
      </c>
      <c r="E321" s="19">
        <v>1472</v>
      </c>
      <c r="F321" s="25">
        <v>30.749947775224566</v>
      </c>
    </row>
    <row r="322" spans="1:8" ht="11.25" customHeight="1" x14ac:dyDescent="0.2">
      <c r="C322" s="2" t="s">
        <v>1475</v>
      </c>
      <c r="D322" s="1" t="s">
        <v>1071</v>
      </c>
      <c r="E322" s="19">
        <v>2832</v>
      </c>
      <c r="F322" s="25">
        <v>59.160225611029873</v>
      </c>
    </row>
    <row r="323" spans="1:8" ht="11.25" customHeight="1" x14ac:dyDescent="0.2">
      <c r="C323" s="1" t="s">
        <v>1477</v>
      </c>
      <c r="D323" s="1" t="s">
        <v>1239</v>
      </c>
      <c r="E323" s="19">
        <v>171</v>
      </c>
      <c r="F323" s="25">
        <v>3.5721746396490497</v>
      </c>
    </row>
    <row r="324" spans="1:8" ht="11.25" customHeight="1" x14ac:dyDescent="0.2">
      <c r="C324" s="1" t="s">
        <v>1476</v>
      </c>
      <c r="D324" s="1" t="s">
        <v>3173</v>
      </c>
      <c r="E324" s="19">
        <v>312</v>
      </c>
      <c r="F324" s="25">
        <v>6.5176519740965118</v>
      </c>
    </row>
    <row r="325" spans="1:8" ht="11.25" customHeight="1" x14ac:dyDescent="0.2">
      <c r="E325" s="162" t="s">
        <v>117</v>
      </c>
      <c r="F325" s="163">
        <v>100</v>
      </c>
      <c r="G325" s="157">
        <v>5993</v>
      </c>
      <c r="H325" s="163">
        <v>82.8</v>
      </c>
    </row>
    <row r="326" spans="1:8" ht="11.25" customHeight="1" x14ac:dyDescent="0.2"/>
    <row r="327" spans="1:8" ht="11.25" customHeight="1" x14ac:dyDescent="0.2">
      <c r="A327" s="1" t="s">
        <v>1470</v>
      </c>
      <c r="B327" s="1">
        <v>1</v>
      </c>
      <c r="C327" s="1" t="s">
        <v>1474</v>
      </c>
      <c r="D327" s="1" t="s">
        <v>1239</v>
      </c>
      <c r="E327" s="19">
        <v>361</v>
      </c>
      <c r="F327" s="25">
        <v>6.25</v>
      </c>
    </row>
    <row r="328" spans="1:8" ht="11.25" customHeight="1" x14ac:dyDescent="0.2">
      <c r="C328" s="1" t="s">
        <v>1478</v>
      </c>
      <c r="D328" s="1" t="s">
        <v>1072</v>
      </c>
      <c r="E328" s="19">
        <v>1533</v>
      </c>
      <c r="F328" s="25">
        <v>26.540858725761773</v>
      </c>
    </row>
    <row r="329" spans="1:8" ht="11.25" customHeight="1" x14ac:dyDescent="0.2">
      <c r="C329" s="1" t="s">
        <v>1471</v>
      </c>
      <c r="D329" s="1" t="s">
        <v>3173</v>
      </c>
      <c r="E329" s="19">
        <v>857</v>
      </c>
      <c r="F329" s="25">
        <v>14.837257617728532</v>
      </c>
    </row>
    <row r="330" spans="1:8" ht="11.25" customHeight="1" x14ac:dyDescent="0.2">
      <c r="C330" s="1" t="s">
        <v>1320</v>
      </c>
      <c r="D330" s="1" t="s">
        <v>1071</v>
      </c>
      <c r="E330" s="19">
        <v>2465</v>
      </c>
      <c r="F330" s="25">
        <v>42.676592797783933</v>
      </c>
    </row>
    <row r="331" spans="1:8" ht="11.25" customHeight="1" x14ac:dyDescent="0.2">
      <c r="C331" s="1" t="s">
        <v>1472</v>
      </c>
      <c r="D331" s="1" t="s">
        <v>1473</v>
      </c>
      <c r="E331" s="19">
        <v>560</v>
      </c>
      <c r="F331" s="25">
        <v>9.6952908587257625</v>
      </c>
    </row>
    <row r="332" spans="1:8" ht="11.25" customHeight="1" x14ac:dyDescent="0.2">
      <c r="E332" s="162" t="s">
        <v>1958</v>
      </c>
      <c r="F332" s="163">
        <v>100</v>
      </c>
      <c r="G332" s="157">
        <v>7425</v>
      </c>
      <c r="H332" s="163">
        <v>80.8</v>
      </c>
    </row>
    <row r="333" spans="1:8" ht="11.25" customHeight="1" x14ac:dyDescent="0.2"/>
    <row r="334" spans="1:8" ht="11.25" customHeight="1" x14ac:dyDescent="0.2">
      <c r="B334" s="1">
        <v>2</v>
      </c>
      <c r="C334" s="1" t="s">
        <v>1478</v>
      </c>
      <c r="D334" s="1" t="s">
        <v>1072</v>
      </c>
      <c r="E334" s="19">
        <v>2053</v>
      </c>
    </row>
    <row r="335" spans="1:8" ht="11.25" customHeight="1" x14ac:dyDescent="0.2">
      <c r="C335" s="2" t="s">
        <v>1320</v>
      </c>
      <c r="D335" s="1" t="s">
        <v>1071</v>
      </c>
      <c r="E335" s="19">
        <v>2729</v>
      </c>
    </row>
    <row r="336" spans="1:8" ht="11.25" customHeight="1" x14ac:dyDescent="0.2"/>
    <row r="337" spans="1:8" ht="11.25" customHeight="1" x14ac:dyDescent="0.2">
      <c r="A337" s="1" t="s">
        <v>1198</v>
      </c>
      <c r="C337" s="1" t="s">
        <v>1484</v>
      </c>
      <c r="D337" s="1" t="s">
        <v>1072</v>
      </c>
      <c r="E337" s="19">
        <v>642</v>
      </c>
      <c r="F337" s="25">
        <v>15.007012622720898</v>
      </c>
    </row>
    <row r="338" spans="1:8" ht="11.25" customHeight="1" x14ac:dyDescent="0.2">
      <c r="C338" s="2" t="s">
        <v>1482</v>
      </c>
      <c r="D338" s="1" t="s">
        <v>1071</v>
      </c>
      <c r="E338" s="19">
        <v>2879</v>
      </c>
      <c r="F338" s="25">
        <v>67.297802711547448</v>
      </c>
    </row>
    <row r="339" spans="1:8" ht="11.25" customHeight="1" x14ac:dyDescent="0.2">
      <c r="C339" s="1" t="s">
        <v>1483</v>
      </c>
      <c r="D339" s="1" t="s">
        <v>3173</v>
      </c>
      <c r="E339" s="19">
        <v>757</v>
      </c>
      <c r="F339" s="25">
        <v>17.695184665731649</v>
      </c>
    </row>
    <row r="340" spans="1:8" ht="11.25" customHeight="1" x14ac:dyDescent="0.2">
      <c r="E340" s="162" t="s">
        <v>118</v>
      </c>
      <c r="F340" s="163">
        <v>100</v>
      </c>
      <c r="G340" s="157">
        <v>5589</v>
      </c>
      <c r="H340" s="163">
        <v>79.900000000000006</v>
      </c>
    </row>
    <row r="341" spans="1:8" ht="11.25" customHeight="1" x14ac:dyDescent="0.2"/>
    <row r="342" spans="1:8" ht="11.25" customHeight="1" x14ac:dyDescent="0.2">
      <c r="A342" s="1" t="s">
        <v>1557</v>
      </c>
      <c r="B342" s="1">
        <v>1</v>
      </c>
      <c r="C342" s="1" t="s">
        <v>1485</v>
      </c>
      <c r="D342" s="1" t="s">
        <v>1072</v>
      </c>
      <c r="E342" s="19">
        <v>1681</v>
      </c>
      <c r="F342" s="25">
        <v>30.007140307033204</v>
      </c>
    </row>
    <row r="343" spans="1:8" ht="11.25" customHeight="1" x14ac:dyDescent="0.2">
      <c r="C343" s="1" t="s">
        <v>1323</v>
      </c>
      <c r="D343" s="1" t="s">
        <v>3173</v>
      </c>
      <c r="E343" s="19">
        <v>995</v>
      </c>
      <c r="F343" s="25">
        <v>17.76151374509104</v>
      </c>
    </row>
    <row r="344" spans="1:8" ht="11.25" customHeight="1" x14ac:dyDescent="0.2">
      <c r="C344" s="1" t="s">
        <v>1487</v>
      </c>
      <c r="D344" s="1" t="s">
        <v>1071</v>
      </c>
      <c r="E344" s="19">
        <v>2817</v>
      </c>
      <c r="F344" s="25">
        <v>50.285612281328099</v>
      </c>
    </row>
    <row r="345" spans="1:8" ht="11.25" customHeight="1" x14ac:dyDescent="0.2">
      <c r="C345" s="1" t="s">
        <v>1486</v>
      </c>
      <c r="D345" s="1" t="s">
        <v>1239</v>
      </c>
      <c r="E345" s="19">
        <v>109</v>
      </c>
      <c r="F345" s="25">
        <v>1.9457336665476614</v>
      </c>
    </row>
    <row r="346" spans="1:8" ht="11.25" customHeight="1" x14ac:dyDescent="0.2">
      <c r="E346" s="162" t="s">
        <v>119</v>
      </c>
      <c r="F346" s="163">
        <v>100</v>
      </c>
      <c r="G346" s="157">
        <v>6973</v>
      </c>
      <c r="H346" s="163">
        <v>82.5</v>
      </c>
    </row>
    <row r="347" spans="1:8" ht="11.25" customHeight="1" x14ac:dyDescent="0.2"/>
    <row r="348" spans="1:8" ht="11.25" customHeight="1" x14ac:dyDescent="0.2">
      <c r="B348" s="1">
        <v>2</v>
      </c>
      <c r="C348" s="1" t="s">
        <v>1485</v>
      </c>
      <c r="D348" s="1" t="s">
        <v>1072</v>
      </c>
      <c r="E348" s="19">
        <v>2065</v>
      </c>
    </row>
    <row r="349" spans="1:8" ht="11.25" customHeight="1" x14ac:dyDescent="0.2">
      <c r="C349" s="2" t="s">
        <v>1487</v>
      </c>
      <c r="D349" s="1" t="s">
        <v>1071</v>
      </c>
      <c r="E349" s="19">
        <v>3047</v>
      </c>
    </row>
    <row r="350" spans="1:8" ht="11.25" customHeight="1" x14ac:dyDescent="0.2"/>
    <row r="351" spans="1:8" ht="11.25" customHeight="1" x14ac:dyDescent="0.2">
      <c r="A351" s="1" t="s">
        <v>1309</v>
      </c>
      <c r="B351" s="1">
        <v>1</v>
      </c>
      <c r="C351" s="1" t="s">
        <v>971</v>
      </c>
      <c r="D351" s="1" t="s">
        <v>1071</v>
      </c>
      <c r="E351" s="19">
        <v>2452</v>
      </c>
      <c r="F351" s="25">
        <v>44.809941520467838</v>
      </c>
    </row>
    <row r="352" spans="1:8" ht="11.25" customHeight="1" x14ac:dyDescent="0.2">
      <c r="C352" s="1" t="s">
        <v>1490</v>
      </c>
      <c r="D352" s="1" t="s">
        <v>1547</v>
      </c>
      <c r="E352" s="19">
        <v>838</v>
      </c>
      <c r="F352" s="25">
        <v>15.314327485380117</v>
      </c>
    </row>
    <row r="353" spans="1:8" ht="11.25" customHeight="1" x14ac:dyDescent="0.2">
      <c r="C353" s="1" t="s">
        <v>1488</v>
      </c>
      <c r="D353" s="1" t="s">
        <v>1072</v>
      </c>
      <c r="E353" s="19">
        <v>1062</v>
      </c>
      <c r="F353" s="25">
        <v>19.407894736842106</v>
      </c>
    </row>
    <row r="354" spans="1:8" ht="11.25" customHeight="1" x14ac:dyDescent="0.2">
      <c r="C354" s="1" t="s">
        <v>1489</v>
      </c>
      <c r="D354" s="1" t="s">
        <v>3173</v>
      </c>
      <c r="E354" s="19">
        <v>876</v>
      </c>
      <c r="F354" s="25">
        <v>16.008771929824562</v>
      </c>
    </row>
    <row r="355" spans="1:8" ht="11.25" customHeight="1" x14ac:dyDescent="0.2">
      <c r="C355" s="1" t="s">
        <v>1491</v>
      </c>
      <c r="D355" s="1" t="s">
        <v>1239</v>
      </c>
      <c r="E355" s="19">
        <v>244</v>
      </c>
      <c r="F355" s="25">
        <v>4.4590643274853798</v>
      </c>
    </row>
    <row r="356" spans="1:8" ht="11.25" customHeight="1" x14ac:dyDescent="0.2">
      <c r="E356" s="162" t="s">
        <v>120</v>
      </c>
      <c r="F356" s="163">
        <v>100</v>
      </c>
      <c r="G356" s="157">
        <v>6816</v>
      </c>
      <c r="H356" s="163">
        <v>82.8</v>
      </c>
    </row>
    <row r="357" spans="1:8" ht="11.25" customHeight="1" x14ac:dyDescent="0.2"/>
    <row r="358" spans="1:8" ht="11.25" customHeight="1" x14ac:dyDescent="0.2">
      <c r="B358" s="1">
        <v>2</v>
      </c>
      <c r="C358" s="2" t="s">
        <v>971</v>
      </c>
      <c r="D358" s="1" t="s">
        <v>1071</v>
      </c>
      <c r="E358" s="19">
        <v>2664</v>
      </c>
      <c r="G358" s="1"/>
    </row>
    <row r="359" spans="1:8" ht="11.25" customHeight="1" x14ac:dyDescent="0.2">
      <c r="C359" s="1" t="s">
        <v>1488</v>
      </c>
      <c r="D359" s="1" t="s">
        <v>1072</v>
      </c>
      <c r="E359" s="19">
        <v>1437</v>
      </c>
    </row>
    <row r="360" spans="1:8" ht="11.25" customHeight="1" x14ac:dyDescent="0.2"/>
    <row r="361" spans="1:8" ht="11.25" customHeight="1" x14ac:dyDescent="0.2"/>
    <row r="362" spans="1:8" ht="11.25" customHeight="1" x14ac:dyDescent="0.2">
      <c r="A362" s="1" t="s">
        <v>1492</v>
      </c>
      <c r="C362" s="2" t="s">
        <v>1493</v>
      </c>
      <c r="D362" s="1" t="s">
        <v>1071</v>
      </c>
      <c r="E362" s="19">
        <v>2045</v>
      </c>
      <c r="F362" s="25">
        <v>55.480195333695065</v>
      </c>
    </row>
    <row r="363" spans="1:8" ht="11.25" customHeight="1" x14ac:dyDescent="0.2">
      <c r="C363" s="1" t="s">
        <v>1494</v>
      </c>
      <c r="D363" s="1" t="s">
        <v>1072</v>
      </c>
      <c r="E363" s="19">
        <v>1181</v>
      </c>
      <c r="F363" s="25">
        <v>32.040151926207272</v>
      </c>
    </row>
    <row r="364" spans="1:8" ht="11.25" customHeight="1" x14ac:dyDescent="0.2">
      <c r="C364" s="1" t="s">
        <v>1496</v>
      </c>
      <c r="D364" s="1" t="s">
        <v>1239</v>
      </c>
      <c r="E364" s="19">
        <v>141</v>
      </c>
      <c r="F364" s="25">
        <v>3.8252848616386328</v>
      </c>
    </row>
    <row r="365" spans="1:8" ht="11.25" customHeight="1" x14ac:dyDescent="0.2">
      <c r="C365" s="1" t="s">
        <v>1495</v>
      </c>
      <c r="D365" s="1" t="s">
        <v>3173</v>
      </c>
      <c r="E365" s="19">
        <v>319</v>
      </c>
      <c r="F365" s="25">
        <v>8.6543678784590341</v>
      </c>
    </row>
    <row r="366" spans="1:8" ht="11.25" customHeight="1" x14ac:dyDescent="0.2">
      <c r="E366" s="162" t="s">
        <v>121</v>
      </c>
      <c r="F366" s="163">
        <v>100</v>
      </c>
      <c r="G366" s="157">
        <v>4878</v>
      </c>
      <c r="H366" s="163">
        <v>77.8</v>
      </c>
    </row>
    <row r="367" spans="1:8" ht="11.25" customHeight="1" x14ac:dyDescent="0.2"/>
    <row r="368" spans="1:8" ht="11.25" customHeight="1" x14ac:dyDescent="0.2">
      <c r="A368" s="1" t="s">
        <v>2564</v>
      </c>
      <c r="C368" s="1" t="s">
        <v>1498</v>
      </c>
      <c r="D368" s="1" t="s">
        <v>3173</v>
      </c>
      <c r="E368" s="19">
        <v>811</v>
      </c>
      <c r="F368" s="25">
        <v>18.686635944700459</v>
      </c>
    </row>
    <row r="369" spans="1:8" ht="11.25" customHeight="1" x14ac:dyDescent="0.2">
      <c r="C369" s="2" t="s">
        <v>1328</v>
      </c>
      <c r="D369" s="1" t="s">
        <v>1071</v>
      </c>
      <c r="E369" s="19">
        <v>2382</v>
      </c>
      <c r="F369" s="25">
        <v>54.884792626728114</v>
      </c>
    </row>
    <row r="370" spans="1:8" ht="11.25" customHeight="1" x14ac:dyDescent="0.2">
      <c r="C370" s="1" t="s">
        <v>1497</v>
      </c>
      <c r="D370" s="1" t="s">
        <v>1072</v>
      </c>
      <c r="E370" s="19">
        <v>953</v>
      </c>
      <c r="F370" s="25">
        <v>21.958525345622121</v>
      </c>
    </row>
    <row r="371" spans="1:8" ht="11.25" customHeight="1" x14ac:dyDescent="0.2">
      <c r="C371" s="1" t="s">
        <v>1499</v>
      </c>
      <c r="D371" s="1" t="s">
        <v>1239</v>
      </c>
      <c r="E371" s="19">
        <v>194</v>
      </c>
      <c r="F371" s="25">
        <v>4.4700460829493087</v>
      </c>
    </row>
    <row r="372" spans="1:8" ht="11.25" customHeight="1" x14ac:dyDescent="0.2">
      <c r="E372" s="162" t="s">
        <v>122</v>
      </c>
      <c r="F372" s="163">
        <v>100</v>
      </c>
      <c r="G372" s="157">
        <v>5191</v>
      </c>
      <c r="H372" s="163">
        <v>83.6</v>
      </c>
    </row>
    <row r="373" spans="1:8" ht="11.25" customHeight="1" x14ac:dyDescent="0.2"/>
    <row r="374" spans="1:8" ht="11.25" customHeight="1" x14ac:dyDescent="0.2">
      <c r="A374" s="1" t="s">
        <v>1500</v>
      </c>
      <c r="C374" s="1" t="s">
        <v>1501</v>
      </c>
      <c r="D374" s="1" t="s">
        <v>1072</v>
      </c>
      <c r="E374" s="19">
        <v>534</v>
      </c>
      <c r="F374" s="25">
        <v>17.502458210422812</v>
      </c>
    </row>
    <row r="375" spans="1:8" ht="11.25" customHeight="1" x14ac:dyDescent="0.2">
      <c r="C375" s="2" t="s">
        <v>1502</v>
      </c>
      <c r="D375" s="1" t="s">
        <v>1071</v>
      </c>
      <c r="E375" s="19">
        <v>1702</v>
      </c>
      <c r="F375" s="25">
        <v>55.784988528351363</v>
      </c>
    </row>
    <row r="376" spans="1:8" ht="11.25" customHeight="1" x14ac:dyDescent="0.2">
      <c r="C376" s="1" t="s">
        <v>1503</v>
      </c>
      <c r="D376" s="1" t="s">
        <v>653</v>
      </c>
      <c r="E376" s="19">
        <v>227</v>
      </c>
      <c r="F376" s="25">
        <v>7.4401835463782362</v>
      </c>
    </row>
    <row r="377" spans="1:8" ht="11.25" customHeight="1" x14ac:dyDescent="0.2">
      <c r="C377" s="1" t="s">
        <v>1770</v>
      </c>
      <c r="D377" s="1" t="s">
        <v>3173</v>
      </c>
      <c r="E377" s="19">
        <v>588</v>
      </c>
      <c r="F377" s="25">
        <v>19.272369714847592</v>
      </c>
    </row>
    <row r="378" spans="1:8" ht="11.25" customHeight="1" x14ac:dyDescent="0.2">
      <c r="E378" s="162" t="s">
        <v>123</v>
      </c>
      <c r="F378" s="163">
        <v>100</v>
      </c>
      <c r="G378" s="157">
        <v>3809</v>
      </c>
      <c r="H378" s="163">
        <v>82.7</v>
      </c>
    </row>
    <row r="379" spans="1:8" ht="11.25" customHeight="1" x14ac:dyDescent="0.2"/>
    <row r="380" spans="1:8" ht="11.25" customHeight="1" x14ac:dyDescent="0.2">
      <c r="A380" s="1" t="s">
        <v>1311</v>
      </c>
      <c r="C380" s="1" t="s">
        <v>1506</v>
      </c>
      <c r="D380" s="1" t="s">
        <v>1547</v>
      </c>
      <c r="E380" s="19">
        <v>141</v>
      </c>
      <c r="F380" s="25">
        <v>2.9715489989462593</v>
      </c>
    </row>
    <row r="381" spans="1:8" ht="11.25" customHeight="1" x14ac:dyDescent="0.2">
      <c r="C381" s="1" t="s">
        <v>1505</v>
      </c>
      <c r="D381" s="1" t="s">
        <v>1239</v>
      </c>
      <c r="E381" s="19">
        <v>187</v>
      </c>
      <c r="F381" s="25">
        <v>3.9409905163329819</v>
      </c>
    </row>
    <row r="382" spans="1:8" ht="11.25" customHeight="1" x14ac:dyDescent="0.2">
      <c r="C382" s="1" t="s">
        <v>1026</v>
      </c>
      <c r="D382" s="1" t="s">
        <v>1072</v>
      </c>
      <c r="E382" s="19">
        <v>1149</v>
      </c>
      <c r="F382" s="25">
        <v>24.214963119072706</v>
      </c>
    </row>
    <row r="383" spans="1:8" ht="11.25" customHeight="1" x14ac:dyDescent="0.2">
      <c r="C383" s="1" t="s">
        <v>1504</v>
      </c>
      <c r="D383" s="1" t="s">
        <v>3173</v>
      </c>
      <c r="E383" s="19">
        <v>506</v>
      </c>
      <c r="F383" s="25">
        <v>10.663856691253951</v>
      </c>
    </row>
    <row r="384" spans="1:8" ht="11.25" customHeight="1" x14ac:dyDescent="0.2">
      <c r="C384" s="2" t="s">
        <v>1946</v>
      </c>
      <c r="D384" s="1" t="s">
        <v>1071</v>
      </c>
      <c r="E384" s="19">
        <v>2762</v>
      </c>
      <c r="F384" s="25">
        <v>58.208640674394097</v>
      </c>
    </row>
    <row r="385" spans="1:8" ht="11.25" customHeight="1" x14ac:dyDescent="0.2">
      <c r="E385" s="162" t="s">
        <v>124</v>
      </c>
      <c r="F385" s="163">
        <v>100</v>
      </c>
      <c r="G385" s="157">
        <v>5671</v>
      </c>
      <c r="H385" s="163">
        <v>85.7</v>
      </c>
    </row>
    <row r="386" spans="1:8" ht="11.25" customHeight="1" x14ac:dyDescent="0.2"/>
    <row r="387" spans="1:8" ht="11.25" customHeight="1" x14ac:dyDescent="0.2">
      <c r="A387" s="1" t="s">
        <v>1507</v>
      </c>
      <c r="B387" s="1">
        <v>1</v>
      </c>
      <c r="C387" s="1" t="s">
        <v>1509</v>
      </c>
      <c r="D387" s="1" t="s">
        <v>3173</v>
      </c>
      <c r="E387" s="19">
        <v>940</v>
      </c>
      <c r="F387" s="25">
        <v>24.828314844162705</v>
      </c>
    </row>
    <row r="388" spans="1:8" ht="11.25" customHeight="1" x14ac:dyDescent="0.2">
      <c r="C388" s="1" t="s">
        <v>1508</v>
      </c>
      <c r="D388" s="1" t="s">
        <v>1547</v>
      </c>
      <c r="E388" s="19">
        <v>966</v>
      </c>
      <c r="F388" s="25">
        <v>25.515055467511885</v>
      </c>
    </row>
    <row r="389" spans="1:8" ht="11.25" customHeight="1" x14ac:dyDescent="0.2">
      <c r="C389" s="1" t="s">
        <v>1510</v>
      </c>
      <c r="D389" s="1" t="s">
        <v>1072</v>
      </c>
      <c r="E389" s="19">
        <v>615</v>
      </c>
      <c r="F389" s="25">
        <v>16.24405705229794</v>
      </c>
    </row>
    <row r="390" spans="1:8" ht="11.25" customHeight="1" x14ac:dyDescent="0.2">
      <c r="C390" s="1" t="s">
        <v>1777</v>
      </c>
      <c r="D390" s="1" t="s">
        <v>1071</v>
      </c>
      <c r="E390" s="19">
        <v>1265</v>
      </c>
      <c r="F390" s="25">
        <v>33.41257263602747</v>
      </c>
    </row>
    <row r="391" spans="1:8" ht="11.25" customHeight="1" x14ac:dyDescent="0.2">
      <c r="E391" s="162" t="s">
        <v>125</v>
      </c>
      <c r="F391" s="163">
        <v>100</v>
      </c>
      <c r="G391" s="157">
        <v>5143</v>
      </c>
      <c r="H391" s="163">
        <v>77.8</v>
      </c>
    </row>
    <row r="392" spans="1:8" ht="11.25" customHeight="1" x14ac:dyDescent="0.2"/>
    <row r="393" spans="1:8" ht="11.25" customHeight="1" x14ac:dyDescent="0.2">
      <c r="B393" s="1">
        <v>2</v>
      </c>
      <c r="C393" s="1" t="s">
        <v>1509</v>
      </c>
      <c r="D393" s="1" t="s">
        <v>3173</v>
      </c>
      <c r="E393" s="19">
        <v>1121</v>
      </c>
    </row>
    <row r="394" spans="1:8" ht="11.25" customHeight="1" x14ac:dyDescent="0.2">
      <c r="C394" s="2" t="s">
        <v>1777</v>
      </c>
      <c r="D394" s="1" t="s">
        <v>1071</v>
      </c>
      <c r="E394" s="19">
        <v>1370</v>
      </c>
    </row>
    <row r="395" spans="1:8" ht="11.25" customHeight="1" x14ac:dyDescent="0.2">
      <c r="C395" s="2"/>
    </row>
    <row r="396" spans="1:8" ht="11.25" customHeight="1" x14ac:dyDescent="0.2"/>
    <row r="397" spans="1:8" ht="11.25" customHeight="1" x14ac:dyDescent="0.2">
      <c r="A397" s="22" t="s">
        <v>1131</v>
      </c>
      <c r="B397" s="22"/>
      <c r="C397" s="22"/>
      <c r="D397" s="22"/>
      <c r="E397" s="32" t="s">
        <v>1955</v>
      </c>
      <c r="F397" s="121"/>
      <c r="G397" s="23">
        <f>SUM(G5:G396)</f>
        <v>378249</v>
      </c>
      <c r="H397" s="121">
        <f>(301957+7163)/G397*100</f>
        <v>81.723943751338396</v>
      </c>
    </row>
    <row r="398" spans="1:8" ht="11.25" customHeight="1" x14ac:dyDescent="0.2">
      <c r="A398" s="5"/>
      <c r="B398" s="5"/>
      <c r="C398" s="5"/>
      <c r="D398" s="5"/>
      <c r="E398" s="13"/>
      <c r="F398" s="133"/>
    </row>
    <row r="399" spans="1:8" s="5" customFormat="1" ht="11.25" customHeight="1" x14ac:dyDescent="0.2">
      <c r="A399" s="6" t="s">
        <v>1289</v>
      </c>
      <c r="B399" s="6"/>
      <c r="C399" s="8"/>
      <c r="D399" s="8"/>
      <c r="E399" s="137"/>
      <c r="F399" s="138"/>
      <c r="G399" s="139"/>
      <c r="H399" s="82"/>
    </row>
    <row r="400" spans="1:8" s="143" customFormat="1" ht="33.75" customHeight="1" x14ac:dyDescent="0.2">
      <c r="A400" s="272" t="s">
        <v>2651</v>
      </c>
      <c r="B400" s="272"/>
      <c r="C400" s="272"/>
      <c r="D400" s="272"/>
      <c r="E400" s="272"/>
      <c r="F400" s="272"/>
      <c r="G400" s="272"/>
      <c r="H400" s="272"/>
    </row>
    <row r="401" spans="1:8" s="26" customFormat="1" ht="11.25" customHeight="1" x14ac:dyDescent="0.2">
      <c r="A401" s="273" t="s">
        <v>1288</v>
      </c>
      <c r="B401" s="273"/>
      <c r="C401" s="273"/>
      <c r="D401" s="273"/>
      <c r="E401" s="273"/>
      <c r="F401" s="273"/>
      <c r="G401" s="273"/>
      <c r="H401" s="273"/>
    </row>
    <row r="402" spans="1:8" s="26" customFormat="1" ht="11.25" customHeight="1" x14ac:dyDescent="0.2">
      <c r="A402" s="274" t="s">
        <v>2654</v>
      </c>
      <c r="B402" s="274"/>
      <c r="C402" s="274"/>
      <c r="D402" s="274"/>
      <c r="E402" s="274"/>
      <c r="F402" s="274"/>
      <c r="G402" s="274"/>
      <c r="H402" s="274"/>
    </row>
    <row r="403" spans="1:8" s="26" customFormat="1" ht="11.25" customHeight="1" x14ac:dyDescent="0.2">
      <c r="A403" s="273" t="s">
        <v>2655</v>
      </c>
      <c r="B403" s="273"/>
      <c r="C403" s="273"/>
      <c r="D403" s="273"/>
      <c r="E403" s="273"/>
      <c r="F403" s="273"/>
      <c r="G403" s="273"/>
      <c r="H403" s="273"/>
    </row>
  </sheetData>
  <mergeCells count="6">
    <mergeCell ref="A402:H402"/>
    <mergeCell ref="A403:H403"/>
    <mergeCell ref="A1:H1"/>
    <mergeCell ref="F2:H2"/>
    <mergeCell ref="A400:H400"/>
    <mergeCell ref="A401:H401"/>
  </mergeCells>
  <phoneticPr fontId="0" type="noConversion"/>
  <pageMargins left="0.5" right="0.16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4"/>
  <sheetViews>
    <sheetView topLeftCell="A317" workbookViewId="0">
      <selection activeCell="H360" sqref="H360"/>
    </sheetView>
  </sheetViews>
  <sheetFormatPr defaultRowHeight="12.75" x14ac:dyDescent="0.2"/>
  <cols>
    <col min="1" max="1" width="18.5703125" style="209" customWidth="1"/>
    <col min="2" max="2" width="4.7109375" style="256" customWidth="1"/>
    <col min="3" max="3" width="23.140625" style="209" bestFit="1" customWidth="1"/>
    <col min="4" max="4" width="23.5703125" style="209" customWidth="1"/>
    <col min="5" max="5" width="12.85546875" style="209" customWidth="1"/>
    <col min="6" max="6" width="9.140625" style="209"/>
    <col min="7" max="7" width="11.28515625" style="209" bestFit="1" customWidth="1"/>
    <col min="8" max="16384" width="9.140625" style="209"/>
  </cols>
  <sheetData>
    <row r="1" spans="1:10" ht="15.75" x14ac:dyDescent="0.2">
      <c r="A1" s="270" t="s">
        <v>2332</v>
      </c>
      <c r="B1" s="270"/>
      <c r="C1" s="270"/>
      <c r="D1" s="270"/>
      <c r="E1" s="270"/>
      <c r="F1" s="270"/>
      <c r="G1" s="270"/>
      <c r="H1" s="270"/>
    </row>
    <row r="2" spans="1:10" ht="13.5" thickBot="1" x14ac:dyDescent="0.25">
      <c r="A2" s="210" t="s">
        <v>4782</v>
      </c>
      <c r="B2" s="253"/>
      <c r="C2" s="210" t="s">
        <v>6272</v>
      </c>
      <c r="D2" s="211" t="s">
        <v>6020</v>
      </c>
      <c r="E2" s="212"/>
      <c r="F2" s="275" t="s">
        <v>2933</v>
      </c>
      <c r="G2" s="275"/>
      <c r="H2" s="275"/>
    </row>
    <row r="3" spans="1:10" ht="39" thickBot="1" x14ac:dyDescent="0.25">
      <c r="A3" s="58" t="s">
        <v>1284</v>
      </c>
      <c r="B3" s="254"/>
      <c r="C3" s="59" t="s">
        <v>1300</v>
      </c>
      <c r="D3" s="59" t="s">
        <v>2652</v>
      </c>
      <c r="E3" s="73" t="s">
        <v>4765</v>
      </c>
      <c r="F3" s="74" t="s">
        <v>1286</v>
      </c>
      <c r="G3" s="73" t="s">
        <v>1287</v>
      </c>
      <c r="H3" s="74" t="s">
        <v>4766</v>
      </c>
      <c r="J3" s="213"/>
    </row>
    <row r="4" spans="1:10" x14ac:dyDescent="0.2">
      <c r="A4" s="247"/>
      <c r="B4" s="255"/>
      <c r="C4" s="248"/>
      <c r="D4" s="248"/>
      <c r="E4" s="249"/>
      <c r="F4" s="250"/>
      <c r="G4" s="249"/>
      <c r="H4" s="250"/>
      <c r="J4" s="213"/>
    </row>
    <row r="5" spans="1:10" x14ac:dyDescent="0.2">
      <c r="A5" s="60"/>
      <c r="B5" s="60"/>
      <c r="C5" s="61"/>
      <c r="D5" s="66"/>
      <c r="E5" s="87"/>
      <c r="F5" s="80"/>
      <c r="G5" s="87"/>
      <c r="H5" s="80"/>
    </row>
    <row r="6" spans="1:10" x14ac:dyDescent="0.2">
      <c r="A6" s="152" t="s">
        <v>5571</v>
      </c>
      <c r="B6" s="243">
        <v>1</v>
      </c>
      <c r="C6" s="241" t="s">
        <v>6273</v>
      </c>
      <c r="D6" s="242" t="s">
        <v>1071</v>
      </c>
      <c r="E6" s="245">
        <v>2163</v>
      </c>
      <c r="F6" s="246"/>
      <c r="G6" s="245"/>
      <c r="H6" s="246"/>
    </row>
    <row r="7" spans="1:10" x14ac:dyDescent="0.2">
      <c r="A7" s="152"/>
      <c r="B7" s="243"/>
      <c r="C7" s="241" t="s">
        <v>6274</v>
      </c>
      <c r="D7" s="242" t="s">
        <v>653</v>
      </c>
      <c r="E7" s="245">
        <v>1665</v>
      </c>
      <c r="F7" s="246"/>
      <c r="G7" s="245"/>
      <c r="H7" s="246"/>
    </row>
    <row r="8" spans="1:10" x14ac:dyDescent="0.2">
      <c r="A8" s="152"/>
      <c r="B8" s="243"/>
      <c r="C8" s="241" t="s">
        <v>6275</v>
      </c>
      <c r="D8" s="242" t="s">
        <v>5573</v>
      </c>
      <c r="E8" s="245">
        <v>559</v>
      </c>
      <c r="F8" s="246"/>
      <c r="G8" s="245"/>
      <c r="H8" s="246"/>
    </row>
    <row r="9" spans="1:10" x14ac:dyDescent="0.2">
      <c r="A9" s="152"/>
      <c r="B9" s="243"/>
      <c r="C9" s="241"/>
      <c r="D9" s="242"/>
      <c r="E9" s="245">
        <v>4524</v>
      </c>
      <c r="F9" s="246"/>
      <c r="G9" s="245">
        <v>5927</v>
      </c>
      <c r="H9" s="246">
        <v>76.3</v>
      </c>
    </row>
    <row r="10" spans="1:10" x14ac:dyDescent="0.2">
      <c r="A10" s="152"/>
      <c r="B10" s="243"/>
      <c r="C10" s="241"/>
      <c r="D10" s="242"/>
      <c r="E10" s="245"/>
      <c r="F10" s="246"/>
      <c r="G10" s="245"/>
      <c r="H10" s="246"/>
    </row>
    <row r="11" spans="1:10" x14ac:dyDescent="0.2">
      <c r="A11" s="152"/>
      <c r="B11" s="243">
        <v>2</v>
      </c>
      <c r="C11" s="244" t="s">
        <v>6273</v>
      </c>
      <c r="D11" s="242" t="s">
        <v>1071</v>
      </c>
      <c r="E11" s="245">
        <v>2297</v>
      </c>
      <c r="F11" s="246"/>
      <c r="G11" s="245"/>
      <c r="H11" s="246"/>
    </row>
    <row r="12" spans="1:10" x14ac:dyDescent="0.2">
      <c r="A12" s="152"/>
      <c r="B12" s="243"/>
      <c r="C12" s="241" t="s">
        <v>6274</v>
      </c>
      <c r="D12" s="242" t="s">
        <v>653</v>
      </c>
      <c r="E12" s="245">
        <v>1963</v>
      </c>
      <c r="F12" s="246"/>
      <c r="G12" s="245"/>
      <c r="H12" s="246"/>
    </row>
    <row r="13" spans="1:10" x14ac:dyDescent="0.2">
      <c r="A13" s="60"/>
      <c r="B13" s="60"/>
      <c r="C13" s="61"/>
      <c r="D13" s="66"/>
      <c r="E13" s="87"/>
      <c r="F13" s="80"/>
      <c r="G13" s="87"/>
      <c r="H13" s="80"/>
    </row>
    <row r="14" spans="1:10" x14ac:dyDescent="0.2">
      <c r="A14" s="242" t="s">
        <v>3267</v>
      </c>
      <c r="B14" s="243">
        <v>1</v>
      </c>
      <c r="C14" s="241" t="s">
        <v>1166</v>
      </c>
      <c r="D14" s="242" t="s">
        <v>1071</v>
      </c>
      <c r="E14" s="245">
        <v>2215</v>
      </c>
      <c r="F14" s="246"/>
      <c r="G14" s="245"/>
      <c r="H14" s="246"/>
    </row>
    <row r="15" spans="1:10" x14ac:dyDescent="0.2">
      <c r="A15" s="243"/>
      <c r="B15" s="243"/>
      <c r="C15" s="241" t="s">
        <v>6276</v>
      </c>
      <c r="D15" s="234" t="s">
        <v>5573</v>
      </c>
      <c r="E15" s="245">
        <v>1273</v>
      </c>
      <c r="F15" s="246"/>
      <c r="G15" s="245"/>
      <c r="H15" s="246"/>
    </row>
    <row r="16" spans="1:10" x14ac:dyDescent="0.2">
      <c r="A16" s="243"/>
      <c r="B16" s="243"/>
      <c r="C16" s="241" t="s">
        <v>6277</v>
      </c>
      <c r="D16" s="234" t="s">
        <v>653</v>
      </c>
      <c r="E16" s="245">
        <v>1255</v>
      </c>
      <c r="F16" s="246"/>
      <c r="G16" s="245"/>
      <c r="H16" s="246"/>
    </row>
    <row r="17" spans="1:8" x14ac:dyDescent="0.2">
      <c r="A17" s="243"/>
      <c r="B17" s="243"/>
      <c r="C17" s="241"/>
      <c r="D17" s="242"/>
      <c r="E17" s="245">
        <v>4951</v>
      </c>
      <c r="F17" s="246"/>
      <c r="G17" s="245">
        <v>6774</v>
      </c>
      <c r="H17" s="246">
        <v>73.099999999999994</v>
      </c>
    </row>
    <row r="18" spans="1:8" x14ac:dyDescent="0.2">
      <c r="A18" s="243"/>
      <c r="B18" s="243"/>
      <c r="C18" s="241"/>
      <c r="D18" s="242"/>
      <c r="E18" s="245"/>
      <c r="F18" s="246"/>
      <c r="G18" s="245"/>
      <c r="H18" s="246"/>
    </row>
    <row r="19" spans="1:8" x14ac:dyDescent="0.2">
      <c r="A19" s="243"/>
      <c r="B19" s="243">
        <v>2</v>
      </c>
      <c r="C19" s="244" t="s">
        <v>1166</v>
      </c>
      <c r="D19" s="242" t="s">
        <v>1071</v>
      </c>
      <c r="E19" s="245">
        <v>2326</v>
      </c>
      <c r="F19" s="246"/>
      <c r="G19" s="245"/>
      <c r="H19" s="246"/>
    </row>
    <row r="20" spans="1:8" x14ac:dyDescent="0.2">
      <c r="A20" s="243"/>
      <c r="B20" s="243"/>
      <c r="C20" s="241" t="s">
        <v>6276</v>
      </c>
      <c r="D20" s="234" t="s">
        <v>5573</v>
      </c>
      <c r="E20" s="245">
        <v>1953</v>
      </c>
      <c r="F20" s="246"/>
      <c r="G20" s="245"/>
      <c r="H20" s="246"/>
    </row>
    <row r="21" spans="1:8" x14ac:dyDescent="0.2">
      <c r="A21" s="237"/>
      <c r="B21" s="237"/>
      <c r="C21" s="76"/>
      <c r="D21" s="238"/>
      <c r="E21" s="239"/>
      <c r="F21" s="240"/>
      <c r="G21" s="239"/>
      <c r="H21" s="240"/>
    </row>
    <row r="22" spans="1:8" x14ac:dyDescent="0.2">
      <c r="A22" s="26" t="s">
        <v>2266</v>
      </c>
      <c r="B22" s="251">
        <v>1</v>
      </c>
      <c r="C22" s="26" t="s">
        <v>6025</v>
      </c>
      <c r="D22" s="234" t="s">
        <v>1071</v>
      </c>
      <c r="E22" s="31">
        <v>2288</v>
      </c>
      <c r="F22" s="216"/>
      <c r="G22" s="31"/>
      <c r="H22" s="217"/>
    </row>
    <row r="23" spans="1:8" x14ac:dyDescent="0.2">
      <c r="A23" s="26"/>
      <c r="B23" s="252"/>
      <c r="C23" s="26" t="s">
        <v>6278</v>
      </c>
      <c r="D23" s="234" t="s">
        <v>653</v>
      </c>
      <c r="E23" s="31">
        <v>1410</v>
      </c>
      <c r="F23" s="216"/>
      <c r="G23" s="31"/>
      <c r="H23" s="217"/>
    </row>
    <row r="24" spans="1:8" x14ac:dyDescent="0.2">
      <c r="A24" s="26"/>
      <c r="B24" s="252"/>
      <c r="C24" s="26" t="s">
        <v>6279</v>
      </c>
      <c r="D24" s="234" t="s">
        <v>5573</v>
      </c>
      <c r="E24" s="31">
        <v>560</v>
      </c>
      <c r="F24" s="216"/>
      <c r="G24" s="31"/>
      <c r="H24" s="217"/>
    </row>
    <row r="25" spans="1:8" x14ac:dyDescent="0.2">
      <c r="A25" s="26"/>
      <c r="B25" s="252"/>
      <c r="C25" s="26"/>
      <c r="D25" s="234"/>
      <c r="E25" s="218">
        <v>4296</v>
      </c>
      <c r="F25" s="219"/>
      <c r="G25" s="218">
        <v>6938</v>
      </c>
      <c r="H25" s="220">
        <v>61.9</v>
      </c>
    </row>
    <row r="26" spans="1:8" x14ac:dyDescent="0.2">
      <c r="A26" s="26"/>
      <c r="B26" s="252"/>
      <c r="C26" s="26"/>
      <c r="D26" s="234"/>
      <c r="E26" s="88"/>
      <c r="F26" s="84"/>
      <c r="G26" s="88"/>
      <c r="H26" s="235"/>
    </row>
    <row r="27" spans="1:8" x14ac:dyDescent="0.2">
      <c r="A27" s="26"/>
      <c r="B27" s="252">
        <v>2</v>
      </c>
      <c r="C27" s="214" t="s">
        <v>6025</v>
      </c>
      <c r="D27" s="234" t="s">
        <v>1071</v>
      </c>
      <c r="E27" s="88">
        <v>2078</v>
      </c>
      <c r="F27" s="84"/>
      <c r="G27" s="88"/>
      <c r="H27" s="235"/>
    </row>
    <row r="28" spans="1:8" x14ac:dyDescent="0.2">
      <c r="A28" s="26"/>
      <c r="B28" s="252"/>
      <c r="C28" s="26" t="s">
        <v>6278</v>
      </c>
      <c r="D28" s="234" t="s">
        <v>653</v>
      </c>
      <c r="E28" s="88">
        <v>1497</v>
      </c>
      <c r="F28" s="84"/>
      <c r="G28" s="88"/>
      <c r="H28" s="235"/>
    </row>
    <row r="29" spans="1:8" x14ac:dyDescent="0.2">
      <c r="A29" s="26"/>
      <c r="B29" s="252"/>
      <c r="C29" s="26" t="s">
        <v>2318</v>
      </c>
      <c r="D29" s="234"/>
      <c r="E29" s="31"/>
      <c r="F29" s="216"/>
      <c r="G29" s="31"/>
      <c r="H29" s="217"/>
    </row>
    <row r="30" spans="1:8" x14ac:dyDescent="0.2">
      <c r="A30" s="26" t="s">
        <v>1008</v>
      </c>
      <c r="B30" s="252"/>
      <c r="C30" s="214" t="s">
        <v>6028</v>
      </c>
      <c r="D30" s="234" t="s">
        <v>653</v>
      </c>
      <c r="E30" s="31">
        <v>2931</v>
      </c>
      <c r="F30" s="216"/>
      <c r="G30" s="31"/>
      <c r="H30" s="217"/>
    </row>
    <row r="31" spans="1:8" x14ac:dyDescent="0.2">
      <c r="A31" s="26"/>
      <c r="B31" s="252"/>
      <c r="C31" s="26" t="s">
        <v>3170</v>
      </c>
      <c r="D31" s="234" t="s">
        <v>1071</v>
      </c>
      <c r="E31" s="31">
        <v>1869</v>
      </c>
      <c r="F31" s="216"/>
      <c r="G31" s="31"/>
      <c r="H31" s="217"/>
    </row>
    <row r="32" spans="1:8" x14ac:dyDescent="0.2">
      <c r="A32" s="26"/>
      <c r="B32" s="252"/>
      <c r="C32" s="26" t="s">
        <v>2318</v>
      </c>
      <c r="D32" s="234"/>
      <c r="E32" s="218">
        <v>5027</v>
      </c>
      <c r="F32" s="219"/>
      <c r="G32" s="218">
        <v>6253</v>
      </c>
      <c r="H32" s="220">
        <v>80.400000000000006</v>
      </c>
    </row>
    <row r="33" spans="1:8" x14ac:dyDescent="0.2">
      <c r="A33" s="26"/>
      <c r="B33" s="252"/>
      <c r="C33" s="26" t="s">
        <v>2318</v>
      </c>
      <c r="D33" s="234"/>
      <c r="E33" s="31"/>
      <c r="F33" s="216"/>
      <c r="G33" s="31"/>
      <c r="H33" s="217"/>
    </row>
    <row r="34" spans="1:8" x14ac:dyDescent="0.2">
      <c r="A34" s="26" t="s">
        <v>1923</v>
      </c>
      <c r="B34" s="252"/>
      <c r="C34" s="214" t="s">
        <v>5862</v>
      </c>
      <c r="D34" s="234" t="s">
        <v>1071</v>
      </c>
      <c r="E34" s="31">
        <v>2555</v>
      </c>
      <c r="F34" s="216"/>
      <c r="G34" s="31"/>
      <c r="H34" s="217"/>
    </row>
    <row r="35" spans="1:8" x14ac:dyDescent="0.2">
      <c r="A35" s="26"/>
      <c r="B35" s="252"/>
      <c r="C35" s="26" t="s">
        <v>6280</v>
      </c>
      <c r="D35" s="234" t="s">
        <v>1548</v>
      </c>
      <c r="E35" s="31">
        <v>1136</v>
      </c>
      <c r="F35" s="216"/>
      <c r="G35" s="31"/>
      <c r="H35" s="217"/>
    </row>
    <row r="36" spans="1:8" x14ac:dyDescent="0.2">
      <c r="A36" s="26"/>
      <c r="B36" s="252"/>
      <c r="C36" s="26" t="s">
        <v>6281</v>
      </c>
      <c r="D36" s="234" t="s">
        <v>5573</v>
      </c>
      <c r="E36" s="31">
        <v>669</v>
      </c>
      <c r="F36" s="216"/>
      <c r="G36" s="31"/>
      <c r="H36" s="217"/>
    </row>
    <row r="37" spans="1:8" x14ac:dyDescent="0.2">
      <c r="A37" s="26"/>
      <c r="B37" s="252"/>
      <c r="C37" s="26" t="s">
        <v>6282</v>
      </c>
      <c r="D37" s="234" t="s">
        <v>6283</v>
      </c>
      <c r="E37" s="31">
        <v>118</v>
      </c>
      <c r="F37" s="216"/>
      <c r="G37" s="31"/>
      <c r="H37" s="217"/>
    </row>
    <row r="38" spans="1:8" x14ac:dyDescent="0.2">
      <c r="A38" s="26"/>
      <c r="B38" s="252"/>
      <c r="C38" s="26" t="s">
        <v>2318</v>
      </c>
      <c r="D38" s="234"/>
      <c r="E38" s="218">
        <v>4679</v>
      </c>
      <c r="F38" s="219"/>
      <c r="G38" s="218">
        <v>6646</v>
      </c>
      <c r="H38" s="220">
        <v>70.400000000000006</v>
      </c>
    </row>
    <row r="39" spans="1:8" x14ac:dyDescent="0.2">
      <c r="A39" s="26"/>
      <c r="B39" s="252"/>
      <c r="C39" s="26" t="s">
        <v>2318</v>
      </c>
      <c r="D39" s="234"/>
      <c r="E39" s="31"/>
      <c r="F39" s="216"/>
      <c r="G39" s="31"/>
      <c r="H39" s="217"/>
    </row>
    <row r="40" spans="1:8" x14ac:dyDescent="0.2">
      <c r="A40" s="26" t="s">
        <v>5197</v>
      </c>
      <c r="B40" s="252"/>
      <c r="C40" s="214" t="s">
        <v>1085</v>
      </c>
      <c r="D40" s="234" t="s">
        <v>1071</v>
      </c>
      <c r="E40" s="31">
        <v>2035</v>
      </c>
      <c r="F40" s="216"/>
      <c r="G40" s="31"/>
      <c r="H40" s="217"/>
    </row>
    <row r="41" spans="1:8" x14ac:dyDescent="0.2">
      <c r="A41" s="26"/>
      <c r="B41" s="252"/>
      <c r="C41" s="26" t="s">
        <v>6284</v>
      </c>
      <c r="D41" s="234" t="s">
        <v>653</v>
      </c>
      <c r="E41" s="31">
        <v>1762</v>
      </c>
      <c r="F41" s="216"/>
      <c r="G41" s="31"/>
      <c r="H41" s="217"/>
    </row>
    <row r="42" spans="1:8" x14ac:dyDescent="0.2">
      <c r="A42" s="26"/>
      <c r="B42" s="252"/>
      <c r="C42" s="26" t="s">
        <v>2318</v>
      </c>
      <c r="D42" s="234"/>
      <c r="E42" s="218">
        <v>3943</v>
      </c>
      <c r="F42" s="219"/>
      <c r="G42" s="218">
        <v>5596</v>
      </c>
      <c r="H42" s="220">
        <v>70.5</v>
      </c>
    </row>
    <row r="43" spans="1:8" x14ac:dyDescent="0.2">
      <c r="A43" s="26"/>
      <c r="B43" s="252"/>
      <c r="C43" s="26" t="s">
        <v>2318</v>
      </c>
      <c r="D43" s="234"/>
      <c r="E43" s="31"/>
      <c r="F43" s="216"/>
      <c r="G43" s="31"/>
      <c r="H43" s="217"/>
    </row>
    <row r="44" spans="1:8" x14ac:dyDescent="0.2">
      <c r="A44" s="26" t="s">
        <v>5584</v>
      </c>
      <c r="B44" s="252"/>
      <c r="C44" s="26" t="s">
        <v>6149</v>
      </c>
      <c r="D44" s="234" t="s">
        <v>1071</v>
      </c>
      <c r="E44" s="31">
        <v>2018</v>
      </c>
      <c r="F44" s="216"/>
      <c r="G44" s="31"/>
      <c r="H44" s="217"/>
    </row>
    <row r="45" spans="1:8" x14ac:dyDescent="0.2">
      <c r="B45" s="252"/>
      <c r="C45" s="26" t="s">
        <v>6151</v>
      </c>
      <c r="D45" s="234" t="s">
        <v>653</v>
      </c>
      <c r="E45" s="31">
        <v>1433</v>
      </c>
      <c r="F45" s="216"/>
      <c r="G45" s="31"/>
      <c r="H45" s="217"/>
    </row>
    <row r="46" spans="1:8" x14ac:dyDescent="0.2">
      <c r="B46" s="252"/>
      <c r="C46" s="26" t="s">
        <v>6285</v>
      </c>
      <c r="D46" s="234" t="s">
        <v>5573</v>
      </c>
      <c r="E46" s="31">
        <v>752</v>
      </c>
      <c r="F46" s="216"/>
      <c r="G46" s="31"/>
      <c r="H46" s="217"/>
    </row>
    <row r="47" spans="1:8" x14ac:dyDescent="0.2">
      <c r="B47" s="252"/>
      <c r="C47" s="26"/>
      <c r="D47" s="234"/>
      <c r="E47" s="218">
        <v>4325</v>
      </c>
      <c r="F47" s="219"/>
      <c r="G47" s="218">
        <v>6027</v>
      </c>
      <c r="H47" s="220">
        <v>71.8</v>
      </c>
    </row>
    <row r="48" spans="1:8" x14ac:dyDescent="0.2">
      <c r="B48" s="252"/>
      <c r="C48" s="26"/>
      <c r="D48" s="234"/>
      <c r="E48" s="88"/>
      <c r="F48" s="84"/>
      <c r="G48" s="88"/>
      <c r="H48" s="235"/>
    </row>
    <row r="49" spans="1:9" x14ac:dyDescent="0.2">
      <c r="B49" s="252"/>
      <c r="C49" s="214" t="s">
        <v>6149</v>
      </c>
      <c r="D49" s="234" t="s">
        <v>1071</v>
      </c>
      <c r="E49" s="88">
        <v>2203</v>
      </c>
      <c r="F49" s="84"/>
      <c r="G49" s="88"/>
      <c r="H49" s="235"/>
    </row>
    <row r="50" spans="1:9" x14ac:dyDescent="0.2">
      <c r="B50" s="252"/>
      <c r="C50" s="26" t="s">
        <v>6151</v>
      </c>
      <c r="D50" s="234" t="s">
        <v>653</v>
      </c>
      <c r="E50" s="88">
        <v>1781</v>
      </c>
      <c r="F50" s="84"/>
      <c r="G50" s="88"/>
      <c r="H50" s="235"/>
    </row>
    <row r="51" spans="1:9" x14ac:dyDescent="0.2">
      <c r="B51" s="252"/>
      <c r="C51" s="26"/>
      <c r="D51" s="234"/>
      <c r="E51" s="88"/>
      <c r="F51" s="84"/>
      <c r="G51" s="88"/>
      <c r="H51" s="235"/>
    </row>
    <row r="52" spans="1:9" x14ac:dyDescent="0.2">
      <c r="A52" s="26" t="s">
        <v>1086</v>
      </c>
      <c r="B52" s="252">
        <v>1</v>
      </c>
      <c r="C52" s="26" t="s">
        <v>6152</v>
      </c>
      <c r="D52" s="234" t="s">
        <v>653</v>
      </c>
      <c r="E52" s="31">
        <v>12465</v>
      </c>
      <c r="F52" s="216"/>
      <c r="G52" s="31"/>
      <c r="H52" s="217"/>
      <c r="I52" s="26"/>
    </row>
    <row r="53" spans="1:9" x14ac:dyDescent="0.2">
      <c r="A53" s="26"/>
      <c r="B53" s="252"/>
      <c r="C53" s="26" t="s">
        <v>6286</v>
      </c>
      <c r="D53" s="234" t="s">
        <v>1071</v>
      </c>
      <c r="E53" s="31">
        <v>12122</v>
      </c>
      <c r="F53" s="216"/>
      <c r="G53" s="31"/>
      <c r="H53" s="217"/>
      <c r="I53" s="26"/>
    </row>
    <row r="54" spans="1:9" x14ac:dyDescent="0.2">
      <c r="A54" s="26"/>
      <c r="B54" s="252"/>
      <c r="C54" s="26" t="s">
        <v>6287</v>
      </c>
      <c r="D54" s="234" t="s">
        <v>653</v>
      </c>
      <c r="E54" s="31">
        <v>3645</v>
      </c>
      <c r="F54" s="216"/>
      <c r="G54" s="31"/>
      <c r="H54" s="217"/>
      <c r="I54" s="26"/>
    </row>
    <row r="55" spans="1:9" x14ac:dyDescent="0.2">
      <c r="A55" s="26"/>
      <c r="B55" s="252"/>
      <c r="C55" s="26" t="s">
        <v>755</v>
      </c>
      <c r="D55" s="234" t="s">
        <v>653</v>
      </c>
      <c r="E55" s="31">
        <v>3447</v>
      </c>
      <c r="F55" s="1"/>
      <c r="G55" s="1"/>
      <c r="H55" s="1"/>
      <c r="I55" s="26"/>
    </row>
    <row r="56" spans="1:9" x14ac:dyDescent="0.2">
      <c r="A56" s="26"/>
      <c r="B56" s="252"/>
      <c r="C56" s="26" t="s">
        <v>756</v>
      </c>
      <c r="D56" s="234" t="s">
        <v>5573</v>
      </c>
      <c r="E56" s="31">
        <v>2846</v>
      </c>
      <c r="F56" s="1"/>
      <c r="G56" s="1"/>
      <c r="H56" s="1"/>
      <c r="I56" s="26"/>
    </row>
    <row r="57" spans="1:9" x14ac:dyDescent="0.2">
      <c r="A57" s="26"/>
      <c r="B57" s="252"/>
      <c r="C57" s="26" t="s">
        <v>6288</v>
      </c>
      <c r="D57" s="234" t="s">
        <v>653</v>
      </c>
      <c r="E57" s="31">
        <v>2685</v>
      </c>
      <c r="F57" s="1"/>
      <c r="G57" s="1"/>
      <c r="H57" s="1"/>
      <c r="I57" s="26"/>
    </row>
    <row r="58" spans="1:9" x14ac:dyDescent="0.2">
      <c r="A58" s="26"/>
      <c r="B58" s="252"/>
      <c r="C58" s="26" t="s">
        <v>6153</v>
      </c>
      <c r="D58" s="234" t="s">
        <v>1071</v>
      </c>
      <c r="E58" s="31">
        <v>1939</v>
      </c>
      <c r="F58" s="1"/>
      <c r="G58" s="1"/>
      <c r="H58" s="1"/>
      <c r="I58" s="26"/>
    </row>
    <row r="59" spans="1:9" x14ac:dyDescent="0.2">
      <c r="A59" s="26"/>
      <c r="B59" s="252"/>
      <c r="C59" s="26" t="s">
        <v>6289</v>
      </c>
      <c r="D59" s="234" t="s">
        <v>1071</v>
      </c>
      <c r="E59" s="31">
        <v>1605</v>
      </c>
      <c r="F59" s="1"/>
      <c r="G59" s="1"/>
      <c r="H59" s="1"/>
      <c r="I59" s="26"/>
    </row>
    <row r="60" spans="1:9" x14ac:dyDescent="0.2">
      <c r="A60" s="26"/>
      <c r="B60" s="252"/>
      <c r="C60" s="26" t="s">
        <v>6290</v>
      </c>
      <c r="D60" s="234" t="s">
        <v>653</v>
      </c>
      <c r="E60" s="31">
        <v>1480</v>
      </c>
      <c r="F60" s="1"/>
      <c r="G60" s="1"/>
      <c r="H60" s="1"/>
      <c r="I60" s="26"/>
    </row>
    <row r="61" spans="1:9" x14ac:dyDescent="0.2">
      <c r="A61" s="26"/>
      <c r="B61" s="252"/>
      <c r="C61" s="26" t="s">
        <v>6291</v>
      </c>
      <c r="D61" s="234" t="s">
        <v>1071</v>
      </c>
      <c r="E61" s="31">
        <v>1386</v>
      </c>
      <c r="F61" s="1"/>
      <c r="G61" s="1"/>
      <c r="H61" s="1"/>
      <c r="I61" s="26"/>
    </row>
    <row r="62" spans="1:9" x14ac:dyDescent="0.2">
      <c r="A62" s="26"/>
      <c r="B62" s="252"/>
      <c r="C62" s="26" t="s">
        <v>6292</v>
      </c>
      <c r="D62" s="234" t="s">
        <v>5573</v>
      </c>
      <c r="E62" s="31">
        <v>1298</v>
      </c>
      <c r="F62" s="1"/>
      <c r="G62" s="1"/>
      <c r="H62" s="1"/>
      <c r="I62" s="26"/>
    </row>
    <row r="63" spans="1:9" x14ac:dyDescent="0.2">
      <c r="A63" s="26"/>
      <c r="B63" s="252"/>
      <c r="C63" s="26" t="s">
        <v>6293</v>
      </c>
      <c r="D63" s="234" t="s">
        <v>653</v>
      </c>
      <c r="E63" s="31">
        <v>576</v>
      </c>
      <c r="F63" s="1"/>
      <c r="G63" s="1"/>
      <c r="H63" s="1"/>
      <c r="I63" s="26"/>
    </row>
    <row r="64" spans="1:9" x14ac:dyDescent="0.2">
      <c r="A64" s="26"/>
      <c r="B64" s="252"/>
      <c r="C64" s="26" t="s">
        <v>6294</v>
      </c>
      <c r="D64" s="234" t="s">
        <v>757</v>
      </c>
      <c r="E64" s="31">
        <v>251</v>
      </c>
      <c r="F64" s="1"/>
      <c r="G64" s="1"/>
      <c r="H64" s="1"/>
      <c r="I64" s="26"/>
    </row>
    <row r="65" spans="1:9" x14ac:dyDescent="0.2">
      <c r="A65" s="26"/>
      <c r="B65" s="252"/>
      <c r="C65" s="26" t="s">
        <v>6295</v>
      </c>
      <c r="D65" s="234" t="s">
        <v>653</v>
      </c>
      <c r="E65" s="31">
        <v>169</v>
      </c>
      <c r="F65" s="1"/>
      <c r="G65" s="1"/>
      <c r="H65" s="1"/>
      <c r="I65" s="26"/>
    </row>
    <row r="66" spans="1:9" x14ac:dyDescent="0.2">
      <c r="A66" s="26"/>
      <c r="B66" s="252"/>
      <c r="C66" s="26"/>
      <c r="D66" s="234"/>
      <c r="E66" s="31">
        <v>46691</v>
      </c>
      <c r="F66" s="1"/>
      <c r="G66" s="1">
        <v>59338</v>
      </c>
      <c r="H66" s="1">
        <v>78.7</v>
      </c>
      <c r="I66" s="26"/>
    </row>
    <row r="67" spans="1:9" x14ac:dyDescent="0.2">
      <c r="A67" s="26"/>
      <c r="B67" s="252"/>
      <c r="C67" s="26"/>
      <c r="D67" s="234"/>
      <c r="E67" s="1"/>
      <c r="F67" s="1"/>
      <c r="G67" s="1"/>
      <c r="H67" s="1"/>
      <c r="I67" s="26"/>
    </row>
    <row r="68" spans="1:9" x14ac:dyDescent="0.2">
      <c r="A68" s="26"/>
      <c r="B68" s="252">
        <v>2</v>
      </c>
      <c r="C68" s="214" t="s">
        <v>6152</v>
      </c>
      <c r="D68" s="234" t="s">
        <v>653</v>
      </c>
      <c r="E68" s="31">
        <v>7653</v>
      </c>
      <c r="F68" s="1"/>
      <c r="G68" s="1"/>
      <c r="H68" s="1"/>
      <c r="I68" s="26"/>
    </row>
    <row r="69" spans="1:9" x14ac:dyDescent="0.2">
      <c r="A69" s="26"/>
      <c r="B69" s="252"/>
      <c r="C69" s="214" t="s">
        <v>6286</v>
      </c>
      <c r="D69" s="234" t="s">
        <v>1071</v>
      </c>
      <c r="E69" s="31">
        <v>7653</v>
      </c>
      <c r="F69" s="1"/>
      <c r="G69" s="1"/>
      <c r="H69" s="1"/>
      <c r="I69" s="26"/>
    </row>
    <row r="70" spans="1:9" x14ac:dyDescent="0.2">
      <c r="A70" s="26"/>
      <c r="B70" s="252"/>
      <c r="C70" s="214" t="s">
        <v>6153</v>
      </c>
      <c r="D70" s="234" t="s">
        <v>1071</v>
      </c>
      <c r="E70" s="31">
        <v>8020</v>
      </c>
      <c r="F70" s="1"/>
      <c r="G70" s="1"/>
      <c r="H70" s="1"/>
      <c r="I70" s="26"/>
    </row>
    <row r="71" spans="1:9" x14ac:dyDescent="0.2">
      <c r="A71" s="26"/>
      <c r="B71" s="252"/>
      <c r="C71" s="214" t="s">
        <v>6287</v>
      </c>
      <c r="D71" s="234" t="s">
        <v>653</v>
      </c>
      <c r="E71" s="31">
        <v>9449</v>
      </c>
      <c r="F71" s="1"/>
      <c r="G71" s="1"/>
      <c r="H71" s="1"/>
      <c r="I71" s="26"/>
    </row>
    <row r="72" spans="1:9" x14ac:dyDescent="0.2">
      <c r="A72" s="26"/>
      <c r="B72" s="252"/>
      <c r="C72" s="214" t="s">
        <v>755</v>
      </c>
      <c r="D72" s="234" t="s">
        <v>653</v>
      </c>
      <c r="E72" s="31">
        <v>7247</v>
      </c>
      <c r="F72" s="1"/>
      <c r="G72" s="1"/>
      <c r="H72" s="1"/>
      <c r="I72" s="26"/>
    </row>
    <row r="73" spans="1:9" x14ac:dyDescent="0.2">
      <c r="A73" s="26"/>
      <c r="B73" s="252"/>
      <c r="C73" s="26" t="s">
        <v>2318</v>
      </c>
      <c r="D73" s="234"/>
      <c r="E73" s="31"/>
      <c r="F73" s="216"/>
      <c r="G73" s="31"/>
      <c r="H73" s="217"/>
    </row>
    <row r="74" spans="1:9" x14ac:dyDescent="0.2">
      <c r="A74" s="26" t="s">
        <v>1125</v>
      </c>
      <c r="B74" s="252">
        <v>1</v>
      </c>
      <c r="C74" s="26" t="s">
        <v>6296</v>
      </c>
      <c r="D74" s="234" t="s">
        <v>1071</v>
      </c>
      <c r="E74" s="31">
        <v>2472</v>
      </c>
      <c r="F74" s="216"/>
      <c r="G74" s="31"/>
      <c r="H74" s="217"/>
    </row>
    <row r="75" spans="1:9" x14ac:dyDescent="0.2">
      <c r="A75" s="26"/>
      <c r="B75" s="252"/>
      <c r="C75" s="26" t="s">
        <v>758</v>
      </c>
      <c r="D75" s="234" t="s">
        <v>5573</v>
      </c>
      <c r="E75" s="31">
        <v>1550</v>
      </c>
      <c r="F75" s="216"/>
      <c r="G75" s="31"/>
      <c r="H75" s="217"/>
    </row>
    <row r="76" spans="1:9" x14ac:dyDescent="0.2">
      <c r="A76" s="26"/>
      <c r="B76" s="252"/>
      <c r="C76" s="26" t="s">
        <v>6297</v>
      </c>
      <c r="D76" s="234" t="s">
        <v>653</v>
      </c>
      <c r="E76" s="31">
        <v>1484</v>
      </c>
      <c r="F76" s="216"/>
      <c r="G76" s="31"/>
      <c r="H76" s="217"/>
    </row>
    <row r="77" spans="1:9" x14ac:dyDescent="0.2">
      <c r="A77" s="26"/>
      <c r="B77" s="252"/>
      <c r="C77" s="26" t="s">
        <v>2318</v>
      </c>
      <c r="D77" s="234"/>
      <c r="E77" s="218">
        <v>5673</v>
      </c>
      <c r="F77" s="219"/>
      <c r="G77" s="218">
        <v>7343</v>
      </c>
      <c r="H77" s="220">
        <v>77.2</v>
      </c>
    </row>
    <row r="78" spans="1:9" x14ac:dyDescent="0.2">
      <c r="A78" s="26"/>
      <c r="B78" s="252"/>
      <c r="C78" s="26"/>
      <c r="D78" s="234"/>
      <c r="E78" s="88"/>
      <c r="F78" s="84"/>
      <c r="G78" s="88"/>
      <c r="H78" s="235"/>
    </row>
    <row r="79" spans="1:9" x14ac:dyDescent="0.2">
      <c r="A79" s="26"/>
      <c r="B79" s="252">
        <v>2</v>
      </c>
      <c r="C79" s="214" t="s">
        <v>6296</v>
      </c>
      <c r="D79" s="234" t="s">
        <v>1071</v>
      </c>
      <c r="E79" s="88">
        <v>2582</v>
      </c>
      <c r="F79" s="84"/>
      <c r="G79" s="88"/>
      <c r="H79" s="235"/>
    </row>
    <row r="80" spans="1:9" x14ac:dyDescent="0.2">
      <c r="A80" s="26"/>
      <c r="B80" s="252"/>
      <c r="C80" s="26" t="s">
        <v>758</v>
      </c>
      <c r="D80" s="234" t="s">
        <v>5573</v>
      </c>
      <c r="E80" s="88">
        <v>2508</v>
      </c>
      <c r="F80" s="84"/>
      <c r="G80" s="88"/>
      <c r="H80" s="235"/>
    </row>
    <row r="81" spans="1:24" x14ac:dyDescent="0.2">
      <c r="A81" s="26"/>
      <c r="B81" s="252"/>
      <c r="C81" s="26"/>
      <c r="D81" s="234"/>
      <c r="E81" s="88"/>
      <c r="F81" s="84"/>
      <c r="G81" s="88"/>
      <c r="H81" s="235"/>
    </row>
    <row r="82" spans="1:24" x14ac:dyDescent="0.2">
      <c r="A82" s="26" t="s">
        <v>1427</v>
      </c>
      <c r="B82" s="252"/>
      <c r="C82" s="214" t="s">
        <v>6056</v>
      </c>
      <c r="D82" s="234" t="s">
        <v>1071</v>
      </c>
      <c r="E82" s="31">
        <v>2160</v>
      </c>
      <c r="F82" s="216"/>
      <c r="G82" s="31"/>
      <c r="H82" s="217"/>
    </row>
    <row r="83" spans="1:24" x14ac:dyDescent="0.2">
      <c r="A83" s="26"/>
      <c r="B83" s="252"/>
      <c r="C83" s="26" t="s">
        <v>6298</v>
      </c>
      <c r="D83" s="234" t="s">
        <v>653</v>
      </c>
      <c r="E83" s="31">
        <v>1808</v>
      </c>
      <c r="F83" s="216"/>
      <c r="G83" s="31"/>
      <c r="H83" s="217"/>
    </row>
    <row r="84" spans="1:24" x14ac:dyDescent="0.2">
      <c r="A84" s="26"/>
      <c r="B84" s="252"/>
      <c r="C84" s="26" t="s">
        <v>2318</v>
      </c>
      <c r="D84" s="234"/>
      <c r="E84" s="218">
        <v>4047</v>
      </c>
      <c r="F84" s="219"/>
      <c r="G84" s="218">
        <v>4941</v>
      </c>
      <c r="H84" s="220">
        <v>81.900000000000006</v>
      </c>
    </row>
    <row r="85" spans="1:24" x14ac:dyDescent="0.2">
      <c r="A85" s="26"/>
      <c r="B85" s="252"/>
      <c r="C85" s="26" t="s">
        <v>2318</v>
      </c>
      <c r="D85" s="234"/>
      <c r="E85" s="31"/>
      <c r="F85" s="216"/>
      <c r="G85" s="31"/>
      <c r="H85" s="217"/>
    </row>
    <row r="86" spans="1:24" x14ac:dyDescent="0.2">
      <c r="A86" s="26" t="s">
        <v>1430</v>
      </c>
      <c r="B86" s="252">
        <v>1</v>
      </c>
      <c r="C86" s="26" t="s">
        <v>5450</v>
      </c>
      <c r="D86" s="234" t="s">
        <v>1071</v>
      </c>
      <c r="E86" s="31">
        <v>2252</v>
      </c>
      <c r="F86" s="216"/>
      <c r="G86" s="31"/>
      <c r="H86" s="217"/>
      <c r="X86" s="221"/>
    </row>
    <row r="87" spans="1:24" x14ac:dyDescent="0.2">
      <c r="A87" s="26"/>
      <c r="B87" s="252"/>
      <c r="C87" s="26" t="s">
        <v>6170</v>
      </c>
      <c r="D87" s="234" t="s">
        <v>5573</v>
      </c>
      <c r="E87" s="31">
        <v>1476</v>
      </c>
      <c r="F87" s="216"/>
      <c r="G87" s="31"/>
      <c r="H87" s="217"/>
      <c r="X87" s="221"/>
    </row>
    <row r="88" spans="1:24" x14ac:dyDescent="0.2">
      <c r="A88" s="26"/>
      <c r="B88" s="252"/>
      <c r="C88" s="26" t="s">
        <v>6299</v>
      </c>
      <c r="D88" s="234" t="s">
        <v>653</v>
      </c>
      <c r="E88" s="31">
        <v>1370</v>
      </c>
      <c r="F88" s="216"/>
      <c r="G88" s="31"/>
      <c r="H88" s="217"/>
      <c r="X88" s="221"/>
    </row>
    <row r="89" spans="1:24" x14ac:dyDescent="0.2">
      <c r="A89" s="26"/>
      <c r="B89" s="252"/>
      <c r="C89" s="26" t="s">
        <v>2318</v>
      </c>
      <c r="D89" s="234"/>
      <c r="E89" s="218">
        <v>5306</v>
      </c>
      <c r="F89" s="219"/>
      <c r="G89" s="218">
        <v>6814</v>
      </c>
      <c r="H89" s="220">
        <v>77.900000000000006</v>
      </c>
    </row>
    <row r="90" spans="1:24" x14ac:dyDescent="0.2">
      <c r="A90" s="26"/>
      <c r="B90" s="252"/>
      <c r="C90" s="26"/>
      <c r="D90" s="234"/>
      <c r="E90" s="88"/>
      <c r="F90" s="84"/>
      <c r="G90" s="88"/>
      <c r="H90" s="235"/>
    </row>
    <row r="91" spans="1:24" x14ac:dyDescent="0.2">
      <c r="A91" s="26"/>
      <c r="B91" s="252">
        <v>2</v>
      </c>
      <c r="C91" s="214" t="s">
        <v>5450</v>
      </c>
      <c r="D91" s="234" t="s">
        <v>1071</v>
      </c>
      <c r="E91" s="88">
        <v>2418</v>
      </c>
      <c r="F91" s="84"/>
      <c r="G91" s="88"/>
      <c r="H91" s="235"/>
    </row>
    <row r="92" spans="1:24" x14ac:dyDescent="0.2">
      <c r="A92" s="26"/>
      <c r="B92" s="252"/>
      <c r="C92" s="26" t="s">
        <v>6170</v>
      </c>
      <c r="D92" s="234" t="s">
        <v>5573</v>
      </c>
      <c r="E92" s="88">
        <v>1667</v>
      </c>
      <c r="F92" s="84"/>
      <c r="G92" s="88"/>
      <c r="H92" s="235"/>
    </row>
    <row r="93" spans="1:24" x14ac:dyDescent="0.2">
      <c r="A93" s="26"/>
      <c r="B93" s="252"/>
      <c r="C93" s="26"/>
      <c r="D93" s="234"/>
      <c r="E93" s="88"/>
      <c r="F93" s="84"/>
      <c r="G93" s="88"/>
      <c r="H93" s="235"/>
    </row>
    <row r="94" spans="1:24" x14ac:dyDescent="0.2">
      <c r="A94" s="26" t="s">
        <v>2268</v>
      </c>
      <c r="B94" s="252"/>
      <c r="C94" s="214" t="s">
        <v>6300</v>
      </c>
      <c r="D94" s="234" t="s">
        <v>653</v>
      </c>
      <c r="E94" s="31">
        <v>2065</v>
      </c>
      <c r="F94" s="216"/>
      <c r="G94" s="31"/>
      <c r="H94" s="217"/>
    </row>
    <row r="95" spans="1:24" x14ac:dyDescent="0.2">
      <c r="A95" s="26"/>
      <c r="B95" s="252"/>
      <c r="C95" s="26" t="s">
        <v>6301</v>
      </c>
      <c r="D95" s="234" t="s">
        <v>1071</v>
      </c>
      <c r="E95" s="31">
        <v>1667</v>
      </c>
      <c r="F95" s="216"/>
      <c r="G95" s="31"/>
      <c r="H95" s="217"/>
    </row>
    <row r="96" spans="1:24" x14ac:dyDescent="0.2">
      <c r="A96" s="26"/>
      <c r="B96" s="252"/>
      <c r="C96" s="26" t="s">
        <v>2318</v>
      </c>
      <c r="D96" s="234"/>
      <c r="E96" s="218">
        <v>3840</v>
      </c>
      <c r="F96" s="219"/>
      <c r="G96" s="218">
        <v>5102</v>
      </c>
      <c r="H96" s="220">
        <v>75.3</v>
      </c>
    </row>
    <row r="97" spans="1:8" x14ac:dyDescent="0.2">
      <c r="A97" s="26"/>
      <c r="B97" s="252"/>
      <c r="C97" s="26" t="s">
        <v>2318</v>
      </c>
      <c r="D97" s="234"/>
      <c r="E97" s="31"/>
      <c r="F97" s="216"/>
      <c r="G97" s="31"/>
      <c r="H97" s="217"/>
    </row>
    <row r="98" spans="1:8" x14ac:dyDescent="0.2">
      <c r="A98" s="26" t="s">
        <v>369</v>
      </c>
      <c r="B98" s="252"/>
      <c r="C98" s="214" t="s">
        <v>6302</v>
      </c>
      <c r="D98" s="234" t="s">
        <v>653</v>
      </c>
      <c r="E98" s="31">
        <v>2379</v>
      </c>
      <c r="F98" s="216"/>
      <c r="G98" s="31"/>
      <c r="H98" s="217"/>
    </row>
    <row r="99" spans="1:8" x14ac:dyDescent="0.2">
      <c r="A99" s="26"/>
      <c r="B99" s="252"/>
      <c r="C99" s="26" t="s">
        <v>2331</v>
      </c>
      <c r="D99" s="234" t="s">
        <v>1071</v>
      </c>
      <c r="E99" s="31">
        <v>2312</v>
      </c>
      <c r="F99" s="216"/>
      <c r="G99" s="31"/>
      <c r="H99" s="217"/>
    </row>
    <row r="100" spans="1:8" x14ac:dyDescent="0.2">
      <c r="A100" s="26"/>
      <c r="B100" s="252"/>
      <c r="C100" s="26" t="s">
        <v>2318</v>
      </c>
      <c r="D100" s="234"/>
      <c r="E100" s="218">
        <v>4872</v>
      </c>
      <c r="F100" s="219"/>
      <c r="G100" s="218">
        <v>6538</v>
      </c>
      <c r="H100" s="220">
        <v>74.5</v>
      </c>
    </row>
    <row r="101" spans="1:8" x14ac:dyDescent="0.2">
      <c r="A101" s="26"/>
      <c r="B101" s="252"/>
      <c r="C101" s="26" t="s">
        <v>2318</v>
      </c>
      <c r="D101" s="234"/>
      <c r="E101" s="31"/>
      <c r="F101" s="216"/>
      <c r="G101" s="31"/>
      <c r="H101" s="217"/>
    </row>
    <row r="102" spans="1:8" x14ac:dyDescent="0.2">
      <c r="A102" s="26" t="s">
        <v>1977</v>
      </c>
      <c r="B102" s="252">
        <v>1</v>
      </c>
      <c r="C102" s="214" t="s">
        <v>5934</v>
      </c>
      <c r="D102" s="234" t="s">
        <v>1071</v>
      </c>
      <c r="E102" s="31">
        <v>2043</v>
      </c>
      <c r="F102" s="216"/>
      <c r="G102" s="31"/>
      <c r="H102" s="217"/>
    </row>
    <row r="103" spans="1:8" x14ac:dyDescent="0.2">
      <c r="A103" s="26"/>
      <c r="B103" s="252"/>
      <c r="C103" s="26" t="s">
        <v>1947</v>
      </c>
      <c r="D103" s="234" t="s">
        <v>653</v>
      </c>
      <c r="E103" s="31">
        <v>1530</v>
      </c>
      <c r="F103" s="216"/>
      <c r="G103" s="31"/>
      <c r="H103" s="217"/>
    </row>
    <row r="104" spans="1:8" x14ac:dyDescent="0.2">
      <c r="A104" s="26"/>
      <c r="B104" s="252"/>
      <c r="C104" s="26" t="s">
        <v>1948</v>
      </c>
      <c r="D104" s="234" t="s">
        <v>5573</v>
      </c>
      <c r="E104" s="31">
        <v>741</v>
      </c>
      <c r="F104" s="216"/>
      <c r="G104" s="31"/>
      <c r="H104" s="217"/>
    </row>
    <row r="105" spans="1:8" x14ac:dyDescent="0.2">
      <c r="A105" s="26"/>
      <c r="B105" s="252"/>
      <c r="C105" s="26" t="s">
        <v>2318</v>
      </c>
      <c r="D105" s="234"/>
      <c r="E105" s="218">
        <v>4552</v>
      </c>
      <c r="F105" s="219"/>
      <c r="G105" s="218">
        <v>5705</v>
      </c>
      <c r="H105" s="220">
        <v>78.2</v>
      </c>
    </row>
    <row r="106" spans="1:8" x14ac:dyDescent="0.2">
      <c r="A106" s="26"/>
      <c r="B106" s="252"/>
      <c r="C106" s="26"/>
      <c r="D106" s="234"/>
      <c r="E106" s="88"/>
      <c r="F106" s="84"/>
      <c r="G106" s="88"/>
      <c r="H106" s="235"/>
    </row>
    <row r="107" spans="1:8" x14ac:dyDescent="0.2">
      <c r="A107" s="26"/>
      <c r="B107" s="252"/>
      <c r="C107" s="214" t="s">
        <v>5934</v>
      </c>
      <c r="D107" s="234" t="s">
        <v>1071</v>
      </c>
      <c r="E107" s="88">
        <v>2330</v>
      </c>
      <c r="F107" s="84"/>
      <c r="G107" s="88"/>
      <c r="H107" s="235"/>
    </row>
    <row r="108" spans="1:8" x14ac:dyDescent="0.2">
      <c r="A108" s="26"/>
      <c r="B108" s="252"/>
      <c r="C108" s="26" t="s">
        <v>1947</v>
      </c>
      <c r="D108" s="234" t="s">
        <v>653</v>
      </c>
      <c r="E108" s="88">
        <v>1720</v>
      </c>
      <c r="F108" s="84"/>
      <c r="G108" s="88"/>
      <c r="H108" s="235"/>
    </row>
    <row r="109" spans="1:8" x14ac:dyDescent="0.2">
      <c r="A109" s="26"/>
      <c r="B109" s="252"/>
      <c r="C109" s="26" t="s">
        <v>2318</v>
      </c>
      <c r="D109" s="234"/>
      <c r="E109" s="31"/>
      <c r="F109" s="216"/>
      <c r="G109" s="31"/>
      <c r="H109" s="217"/>
    </row>
    <row r="110" spans="1:8" x14ac:dyDescent="0.2">
      <c r="A110" s="26" t="s">
        <v>1919</v>
      </c>
      <c r="B110" s="252">
        <v>1</v>
      </c>
      <c r="C110" s="26" t="s">
        <v>5789</v>
      </c>
      <c r="D110" s="234" t="s">
        <v>1071</v>
      </c>
      <c r="E110" s="31">
        <v>10066</v>
      </c>
      <c r="F110" s="216"/>
      <c r="G110" s="31"/>
      <c r="H110" s="217"/>
    </row>
    <row r="111" spans="1:8" x14ac:dyDescent="0.2">
      <c r="A111" s="26"/>
      <c r="B111" s="252"/>
      <c r="C111" s="26" t="s">
        <v>5657</v>
      </c>
      <c r="D111" s="234" t="s">
        <v>653</v>
      </c>
      <c r="E111" s="31">
        <v>5607</v>
      </c>
      <c r="F111" s="216"/>
      <c r="G111" s="31"/>
      <c r="H111" s="217"/>
    </row>
    <row r="112" spans="1:8" x14ac:dyDescent="0.2">
      <c r="A112" s="26"/>
      <c r="B112" s="252"/>
      <c r="C112" s="26" t="s">
        <v>5755</v>
      </c>
      <c r="D112" s="234" t="s">
        <v>653</v>
      </c>
      <c r="E112" s="31">
        <v>4128</v>
      </c>
      <c r="F112" s="216"/>
      <c r="G112" s="31"/>
      <c r="H112" s="217"/>
    </row>
    <row r="113" spans="1:8" x14ac:dyDescent="0.2">
      <c r="A113" s="26"/>
      <c r="B113" s="252"/>
      <c r="C113" s="26" t="s">
        <v>1949</v>
      </c>
      <c r="D113" s="234" t="s">
        <v>653</v>
      </c>
      <c r="E113" s="31">
        <v>3972</v>
      </c>
      <c r="F113" s="216"/>
      <c r="G113" s="31"/>
      <c r="H113" s="217"/>
    </row>
    <row r="114" spans="1:8" x14ac:dyDescent="0.2">
      <c r="A114" s="26"/>
      <c r="B114" s="252"/>
      <c r="C114" s="26" t="s">
        <v>1950</v>
      </c>
      <c r="D114" s="234" t="s">
        <v>653</v>
      </c>
      <c r="E114" s="218">
        <v>3878</v>
      </c>
      <c r="F114" s="219"/>
      <c r="G114" s="218"/>
      <c r="H114" s="220"/>
    </row>
    <row r="115" spans="1:8" x14ac:dyDescent="0.2">
      <c r="A115" s="26"/>
      <c r="B115" s="252"/>
      <c r="C115" s="26" t="s">
        <v>6303</v>
      </c>
      <c r="D115" s="234" t="s">
        <v>653</v>
      </c>
      <c r="E115" s="31">
        <v>3316</v>
      </c>
      <c r="F115" s="216"/>
      <c r="G115" s="31"/>
      <c r="H115" s="217"/>
    </row>
    <row r="116" spans="1:8" x14ac:dyDescent="0.2">
      <c r="A116" s="26"/>
      <c r="B116" s="252"/>
      <c r="C116" s="26" t="s">
        <v>6304</v>
      </c>
      <c r="D116" s="234" t="s">
        <v>5573</v>
      </c>
      <c r="E116" s="31">
        <v>1984</v>
      </c>
      <c r="F116" s="216"/>
      <c r="G116" s="31"/>
      <c r="H116" s="217"/>
    </row>
    <row r="117" spans="1:8" x14ac:dyDescent="0.2">
      <c r="A117" s="26"/>
      <c r="B117" s="252"/>
      <c r="C117" s="26" t="s">
        <v>6305</v>
      </c>
      <c r="D117" s="234" t="s">
        <v>5573</v>
      </c>
      <c r="E117" s="31">
        <v>1840</v>
      </c>
      <c r="F117" s="216"/>
      <c r="G117" s="31"/>
      <c r="H117" s="217"/>
    </row>
    <row r="118" spans="1:8" x14ac:dyDescent="0.2">
      <c r="A118" s="26"/>
      <c r="B118" s="252"/>
      <c r="C118" s="26" t="s">
        <v>6306</v>
      </c>
      <c r="D118" s="234" t="s">
        <v>653</v>
      </c>
      <c r="E118" s="31">
        <v>1607</v>
      </c>
      <c r="F118" s="216"/>
      <c r="G118" s="31"/>
      <c r="H118" s="217"/>
    </row>
    <row r="119" spans="1:8" x14ac:dyDescent="0.2">
      <c r="A119" s="26"/>
      <c r="B119" s="252"/>
      <c r="C119" s="26" t="s">
        <v>6307</v>
      </c>
      <c r="D119" s="234" t="s">
        <v>1071</v>
      </c>
      <c r="E119" s="218">
        <v>1192</v>
      </c>
      <c r="F119" s="219"/>
      <c r="G119" s="218"/>
      <c r="H119" s="220"/>
    </row>
    <row r="120" spans="1:8" x14ac:dyDescent="0.2">
      <c r="A120" s="26"/>
      <c r="B120" s="252"/>
      <c r="C120" s="26" t="s">
        <v>6308</v>
      </c>
      <c r="D120" s="234" t="s">
        <v>1071</v>
      </c>
      <c r="E120" s="31">
        <v>1117</v>
      </c>
      <c r="F120" s="216"/>
      <c r="G120" s="31"/>
      <c r="H120" s="217"/>
    </row>
    <row r="121" spans="1:8" x14ac:dyDescent="0.2">
      <c r="A121" s="26"/>
      <c r="B121" s="252"/>
      <c r="C121" s="26" t="s">
        <v>6309</v>
      </c>
      <c r="D121" s="234" t="s">
        <v>1547</v>
      </c>
      <c r="E121" s="31">
        <v>1067</v>
      </c>
      <c r="F121" s="216"/>
      <c r="G121" s="31"/>
      <c r="H121" s="217"/>
    </row>
    <row r="122" spans="1:8" x14ac:dyDescent="0.2">
      <c r="A122" s="26"/>
      <c r="B122" s="252"/>
      <c r="C122" s="26" t="s">
        <v>6310</v>
      </c>
      <c r="D122" s="234" t="s">
        <v>1071</v>
      </c>
      <c r="E122" s="31">
        <v>967</v>
      </c>
      <c r="F122" s="216"/>
      <c r="G122" s="31"/>
      <c r="H122" s="217"/>
    </row>
    <row r="123" spans="1:8" x14ac:dyDescent="0.2">
      <c r="A123" s="26"/>
      <c r="B123" s="252"/>
      <c r="C123" s="26" t="s">
        <v>6311</v>
      </c>
      <c r="D123" s="234" t="s">
        <v>1071</v>
      </c>
      <c r="E123" s="31">
        <v>948</v>
      </c>
      <c r="F123" s="216"/>
      <c r="G123" s="31"/>
      <c r="H123" s="217"/>
    </row>
    <row r="124" spans="1:8" x14ac:dyDescent="0.2">
      <c r="A124" s="26"/>
      <c r="B124" s="252"/>
      <c r="C124" s="26" t="s">
        <v>6312</v>
      </c>
      <c r="D124" s="234" t="s">
        <v>653</v>
      </c>
      <c r="E124" s="31">
        <v>822</v>
      </c>
      <c r="F124" s="216"/>
      <c r="G124" s="31"/>
      <c r="H124" s="217"/>
    </row>
    <row r="125" spans="1:8" x14ac:dyDescent="0.2">
      <c r="A125" s="26"/>
      <c r="B125" s="252"/>
      <c r="C125" s="26" t="s">
        <v>6313</v>
      </c>
      <c r="D125" s="234" t="s">
        <v>5573</v>
      </c>
      <c r="E125" s="31">
        <v>442</v>
      </c>
      <c r="F125" s="216"/>
      <c r="G125" s="31"/>
      <c r="H125" s="217"/>
    </row>
    <row r="126" spans="1:8" x14ac:dyDescent="0.2">
      <c r="A126" s="26"/>
      <c r="B126" s="252"/>
      <c r="C126" s="26" t="s">
        <v>6314</v>
      </c>
      <c r="D126" s="234" t="s">
        <v>653</v>
      </c>
      <c r="E126" s="31">
        <v>400</v>
      </c>
      <c r="F126" s="216"/>
      <c r="G126" s="31"/>
      <c r="H126" s="217"/>
    </row>
    <row r="127" spans="1:8" x14ac:dyDescent="0.2">
      <c r="A127" s="26"/>
      <c r="B127" s="252"/>
      <c r="C127" s="26" t="s">
        <v>1951</v>
      </c>
      <c r="D127" s="234" t="s">
        <v>6316</v>
      </c>
      <c r="E127" s="31">
        <v>282</v>
      </c>
      <c r="F127" s="216"/>
      <c r="G127" s="31"/>
      <c r="H127" s="217"/>
    </row>
    <row r="128" spans="1:8" x14ac:dyDescent="0.2">
      <c r="A128" s="26"/>
      <c r="B128" s="252"/>
      <c r="C128" s="26" t="s">
        <v>6315</v>
      </c>
      <c r="D128" s="234" t="s">
        <v>6316</v>
      </c>
      <c r="E128" s="31">
        <v>108</v>
      </c>
      <c r="F128" s="216"/>
      <c r="G128" s="31"/>
      <c r="H128" s="217"/>
    </row>
    <row r="129" spans="1:8" x14ac:dyDescent="0.2">
      <c r="A129" s="26"/>
      <c r="B129" s="252"/>
      <c r="C129" s="26"/>
      <c r="D129" s="234"/>
      <c r="E129" s="31">
        <v>44947</v>
      </c>
      <c r="F129" s="216"/>
      <c r="G129" s="31">
        <v>59685</v>
      </c>
      <c r="H129" s="217">
        <v>75.3</v>
      </c>
    </row>
    <row r="130" spans="1:8" x14ac:dyDescent="0.2">
      <c r="A130" s="26"/>
      <c r="B130" s="252"/>
      <c r="C130" s="26"/>
      <c r="D130" s="234"/>
      <c r="E130" s="31"/>
      <c r="F130" s="216"/>
      <c r="G130" s="31"/>
      <c r="H130" s="217"/>
    </row>
    <row r="131" spans="1:8" x14ac:dyDescent="0.2">
      <c r="A131" s="26"/>
      <c r="B131" s="252">
        <v>2</v>
      </c>
      <c r="C131" s="214" t="s">
        <v>5789</v>
      </c>
      <c r="D131" s="234" t="s">
        <v>1071</v>
      </c>
      <c r="E131" s="31">
        <v>7291</v>
      </c>
      <c r="F131" s="216"/>
      <c r="G131" s="31"/>
      <c r="H131" s="217"/>
    </row>
    <row r="132" spans="1:8" x14ac:dyDescent="0.2">
      <c r="A132" s="26"/>
      <c r="B132" s="252"/>
      <c r="C132" s="214" t="s">
        <v>5657</v>
      </c>
      <c r="D132" s="234" t="s">
        <v>653</v>
      </c>
      <c r="E132" s="31">
        <v>7291</v>
      </c>
      <c r="F132" s="216"/>
      <c r="G132" s="31"/>
      <c r="H132" s="217"/>
    </row>
    <row r="133" spans="1:8" x14ac:dyDescent="0.2">
      <c r="A133" s="26"/>
      <c r="B133" s="252"/>
      <c r="C133" s="214" t="s">
        <v>6310</v>
      </c>
      <c r="D133" s="234" t="s">
        <v>1071</v>
      </c>
      <c r="E133" s="31">
        <v>7133</v>
      </c>
      <c r="F133" s="216"/>
      <c r="G133" s="31"/>
      <c r="H133" s="217"/>
    </row>
    <row r="134" spans="1:8" x14ac:dyDescent="0.2">
      <c r="A134" s="26"/>
      <c r="B134" s="252"/>
      <c r="C134" s="214" t="s">
        <v>1950</v>
      </c>
      <c r="D134" s="234" t="s">
        <v>653</v>
      </c>
      <c r="E134" s="31">
        <v>6731</v>
      </c>
      <c r="F134" s="216"/>
      <c r="G134" s="31"/>
      <c r="H134" s="217"/>
    </row>
    <row r="135" spans="1:8" x14ac:dyDescent="0.2">
      <c r="A135" s="26"/>
      <c r="B135" s="252"/>
      <c r="C135" s="214" t="s">
        <v>5755</v>
      </c>
      <c r="D135" s="234" t="s">
        <v>653</v>
      </c>
      <c r="E135" s="31">
        <v>6649</v>
      </c>
      <c r="F135" s="216"/>
      <c r="G135" s="31"/>
      <c r="H135" s="217"/>
    </row>
    <row r="136" spans="1:8" x14ac:dyDescent="0.2">
      <c r="A136" s="26"/>
      <c r="B136" s="252"/>
      <c r="C136" s="26" t="s">
        <v>2318</v>
      </c>
      <c r="D136" s="234"/>
      <c r="E136" s="31"/>
      <c r="F136" s="216"/>
      <c r="G136" s="31"/>
      <c r="H136" s="217"/>
    </row>
    <row r="137" spans="1:8" x14ac:dyDescent="0.2">
      <c r="A137" s="26" t="s">
        <v>2269</v>
      </c>
      <c r="B137" s="252">
        <v>1</v>
      </c>
      <c r="C137" s="26" t="s">
        <v>6317</v>
      </c>
      <c r="D137" s="234" t="s">
        <v>1918</v>
      </c>
      <c r="E137" s="31">
        <v>2211</v>
      </c>
      <c r="F137" s="216"/>
      <c r="G137" s="31"/>
      <c r="H137" s="217"/>
    </row>
    <row r="138" spans="1:8" x14ac:dyDescent="0.2">
      <c r="A138" s="26"/>
      <c r="B138" s="252"/>
      <c r="C138" s="26" t="s">
        <v>1412</v>
      </c>
      <c r="D138" s="234" t="s">
        <v>1071</v>
      </c>
      <c r="E138" s="31">
        <v>1949</v>
      </c>
      <c r="F138" s="216"/>
      <c r="G138" s="31"/>
      <c r="H138" s="217"/>
    </row>
    <row r="139" spans="1:8" x14ac:dyDescent="0.2">
      <c r="A139" s="26"/>
      <c r="B139" s="252"/>
      <c r="C139" s="26" t="s">
        <v>6318</v>
      </c>
      <c r="D139" s="234" t="s">
        <v>5573</v>
      </c>
      <c r="E139" s="31">
        <v>798</v>
      </c>
      <c r="F139" s="216"/>
      <c r="G139" s="31"/>
      <c r="H139" s="217"/>
    </row>
    <row r="140" spans="1:8" x14ac:dyDescent="0.2">
      <c r="A140" s="26"/>
      <c r="B140" s="252"/>
      <c r="C140" s="26" t="s">
        <v>2318</v>
      </c>
      <c r="D140" s="234"/>
      <c r="E140" s="218">
        <v>5256</v>
      </c>
      <c r="F140" s="219"/>
      <c r="G140" s="218">
        <v>7228</v>
      </c>
      <c r="H140" s="220">
        <v>72.7</v>
      </c>
    </row>
    <row r="141" spans="1:8" x14ac:dyDescent="0.2">
      <c r="A141" s="26"/>
      <c r="B141" s="252"/>
      <c r="C141" s="26"/>
      <c r="D141" s="234"/>
      <c r="E141" s="88"/>
      <c r="F141" s="84"/>
      <c r="G141" s="88"/>
      <c r="H141" s="235"/>
    </row>
    <row r="142" spans="1:8" x14ac:dyDescent="0.2">
      <c r="A142" s="26"/>
      <c r="B142" s="252">
        <v>2</v>
      </c>
      <c r="C142" s="214" t="s">
        <v>6317</v>
      </c>
      <c r="D142" s="234" t="s">
        <v>1918</v>
      </c>
      <c r="E142" s="88">
        <v>2558</v>
      </c>
      <c r="F142" s="84"/>
      <c r="G142" s="88"/>
      <c r="H142" s="235"/>
    </row>
    <row r="143" spans="1:8" x14ac:dyDescent="0.2">
      <c r="A143" s="26"/>
      <c r="B143" s="252"/>
      <c r="C143" s="26" t="s">
        <v>1412</v>
      </c>
      <c r="D143" s="234" t="s">
        <v>1071</v>
      </c>
      <c r="E143" s="88">
        <v>2100</v>
      </c>
      <c r="F143" s="84"/>
      <c r="G143" s="88"/>
      <c r="H143" s="235"/>
    </row>
    <row r="144" spans="1:8" x14ac:dyDescent="0.2">
      <c r="A144" s="26"/>
      <c r="B144" s="252"/>
      <c r="C144" s="26" t="s">
        <v>2318</v>
      </c>
      <c r="D144" s="234"/>
      <c r="E144" s="31"/>
      <c r="F144" s="216"/>
      <c r="G144" s="31"/>
      <c r="H144" s="217"/>
    </row>
    <row r="145" spans="1:8" x14ac:dyDescent="0.2">
      <c r="A145" s="26" t="s">
        <v>3265</v>
      </c>
      <c r="B145" s="252"/>
      <c r="C145" s="214" t="s">
        <v>6194</v>
      </c>
      <c r="D145" s="234" t="s">
        <v>653</v>
      </c>
      <c r="E145" s="31">
        <v>2255</v>
      </c>
      <c r="F145" s="216"/>
      <c r="G145" s="31"/>
      <c r="H145" s="217"/>
    </row>
    <row r="146" spans="1:8" x14ac:dyDescent="0.2">
      <c r="A146" s="26"/>
      <c r="B146" s="252"/>
      <c r="C146" s="26" t="s">
        <v>3171</v>
      </c>
      <c r="D146" s="234" t="s">
        <v>1071</v>
      </c>
      <c r="E146" s="31">
        <v>1457</v>
      </c>
      <c r="F146" s="216"/>
      <c r="G146" s="31"/>
      <c r="H146" s="217"/>
    </row>
    <row r="147" spans="1:8" x14ac:dyDescent="0.2">
      <c r="A147" s="26"/>
      <c r="B147" s="252"/>
      <c r="C147" s="26" t="s">
        <v>6319</v>
      </c>
      <c r="D147" s="234" t="s">
        <v>5573</v>
      </c>
      <c r="E147" s="31">
        <v>670</v>
      </c>
      <c r="F147" s="216"/>
      <c r="G147" s="31"/>
      <c r="H147" s="217"/>
    </row>
    <row r="148" spans="1:8" x14ac:dyDescent="0.2">
      <c r="A148" s="26"/>
      <c r="B148" s="252"/>
      <c r="C148" s="26" t="s">
        <v>2318</v>
      </c>
      <c r="D148" s="234"/>
      <c r="E148" s="218">
        <v>4594</v>
      </c>
      <c r="F148" s="219"/>
      <c r="G148" s="218">
        <v>6112</v>
      </c>
      <c r="H148" s="220">
        <v>75.2</v>
      </c>
    </row>
    <row r="149" spans="1:8" x14ac:dyDescent="0.2">
      <c r="A149" s="26"/>
      <c r="B149" s="252"/>
      <c r="C149" s="26" t="s">
        <v>2318</v>
      </c>
      <c r="D149" s="234"/>
      <c r="E149" s="31"/>
      <c r="F149" s="216"/>
      <c r="G149" s="31"/>
      <c r="H149" s="217"/>
    </row>
    <row r="150" spans="1:8" x14ac:dyDescent="0.2">
      <c r="A150" s="26" t="s">
        <v>1920</v>
      </c>
      <c r="B150" s="252">
        <v>1</v>
      </c>
      <c r="C150" s="26" t="s">
        <v>6320</v>
      </c>
      <c r="D150" s="234" t="s">
        <v>653</v>
      </c>
      <c r="E150" s="31">
        <v>1998</v>
      </c>
      <c r="F150" s="216"/>
      <c r="G150" s="31"/>
      <c r="H150" s="217"/>
    </row>
    <row r="151" spans="1:8" x14ac:dyDescent="0.2">
      <c r="A151" s="26"/>
      <c r="B151" s="252"/>
      <c r="C151" s="26" t="s">
        <v>2347</v>
      </c>
      <c r="D151" s="234" t="s">
        <v>1071</v>
      </c>
      <c r="E151" s="31">
        <v>1556</v>
      </c>
      <c r="F151" s="216"/>
      <c r="G151" s="31"/>
      <c r="H151" s="217"/>
    </row>
    <row r="152" spans="1:8" x14ac:dyDescent="0.2">
      <c r="A152" s="26"/>
      <c r="B152" s="252"/>
      <c r="C152" s="26" t="s">
        <v>6321</v>
      </c>
      <c r="D152" s="234" t="s">
        <v>5573</v>
      </c>
      <c r="E152" s="31">
        <v>674</v>
      </c>
      <c r="F152" s="216"/>
      <c r="G152" s="31"/>
      <c r="H152" s="217"/>
    </row>
    <row r="153" spans="1:8" x14ac:dyDescent="0.2">
      <c r="A153" s="26"/>
      <c r="B153" s="252"/>
      <c r="C153" s="26" t="s">
        <v>2318</v>
      </c>
      <c r="D153" s="234"/>
      <c r="E153" s="218">
        <v>4454</v>
      </c>
      <c r="F153" s="219"/>
      <c r="G153" s="218">
        <v>6328</v>
      </c>
      <c r="H153" s="220">
        <v>70.400000000000006</v>
      </c>
    </row>
    <row r="154" spans="1:8" x14ac:dyDescent="0.2">
      <c r="A154" s="26"/>
      <c r="B154" s="252"/>
      <c r="C154" s="26"/>
      <c r="D154" s="234"/>
      <c r="E154" s="88"/>
      <c r="F154" s="84"/>
      <c r="G154" s="88"/>
      <c r="H154" s="235"/>
    </row>
    <row r="155" spans="1:8" x14ac:dyDescent="0.2">
      <c r="A155" s="26"/>
      <c r="B155" s="252">
        <v>2</v>
      </c>
      <c r="C155" s="214" t="s">
        <v>6320</v>
      </c>
      <c r="D155" s="234" t="s">
        <v>653</v>
      </c>
      <c r="E155" s="88">
        <v>2233</v>
      </c>
      <c r="F155" s="84"/>
      <c r="G155" s="88"/>
      <c r="H155" s="235"/>
    </row>
    <row r="156" spans="1:8" x14ac:dyDescent="0.2">
      <c r="A156" s="26"/>
      <c r="B156" s="252"/>
      <c r="C156" s="26" t="s">
        <v>2347</v>
      </c>
      <c r="D156" s="234" t="s">
        <v>1071</v>
      </c>
      <c r="E156" s="88">
        <v>1784</v>
      </c>
      <c r="F156" s="84"/>
      <c r="G156" s="88"/>
      <c r="H156" s="235"/>
    </row>
    <row r="157" spans="1:8" ht="12.75" customHeight="1" x14ac:dyDescent="0.2">
      <c r="A157" s="26"/>
      <c r="B157" s="252"/>
      <c r="C157" s="26"/>
      <c r="D157" s="234"/>
      <c r="E157" s="88"/>
      <c r="F157" s="84"/>
      <c r="G157" s="88"/>
      <c r="H157" s="235"/>
    </row>
    <row r="158" spans="1:8" x14ac:dyDescent="0.2">
      <c r="A158" s="26" t="s">
        <v>0</v>
      </c>
      <c r="B158" s="252">
        <v>1</v>
      </c>
      <c r="C158" s="26" t="s">
        <v>6322</v>
      </c>
      <c r="D158" s="234" t="s">
        <v>1072</v>
      </c>
      <c r="E158" s="31">
        <v>1747</v>
      </c>
      <c r="F158" s="216"/>
      <c r="G158" s="31"/>
      <c r="H158" s="217"/>
    </row>
    <row r="159" spans="1:8" x14ac:dyDescent="0.2">
      <c r="A159" s="26"/>
      <c r="B159" s="252"/>
      <c r="C159" s="26" t="s">
        <v>6323</v>
      </c>
      <c r="D159" s="234" t="s">
        <v>1071</v>
      </c>
      <c r="E159" s="31">
        <v>1703</v>
      </c>
      <c r="F159" s="216"/>
      <c r="G159" s="31"/>
      <c r="H159" s="217"/>
    </row>
    <row r="160" spans="1:8" x14ac:dyDescent="0.2">
      <c r="A160" s="26"/>
      <c r="B160" s="252"/>
      <c r="C160" s="26" t="s">
        <v>6324</v>
      </c>
      <c r="D160" s="234" t="s">
        <v>5573</v>
      </c>
      <c r="E160" s="31">
        <v>1024</v>
      </c>
      <c r="F160" s="216"/>
      <c r="G160" s="31"/>
      <c r="H160" s="217"/>
    </row>
    <row r="161" spans="1:8" x14ac:dyDescent="0.2">
      <c r="A161" s="26"/>
      <c r="B161" s="252"/>
      <c r="C161" s="26" t="s">
        <v>2318</v>
      </c>
      <c r="D161" s="234"/>
      <c r="E161" s="218">
        <v>4671</v>
      </c>
      <c r="F161" s="219"/>
      <c r="G161" s="218">
        <v>7528</v>
      </c>
      <c r="H161" s="220">
        <v>62</v>
      </c>
    </row>
    <row r="162" spans="1:8" x14ac:dyDescent="0.2">
      <c r="A162" s="26"/>
      <c r="B162" s="252"/>
      <c r="C162" s="26"/>
      <c r="D162" s="234"/>
      <c r="E162" s="88"/>
      <c r="F162" s="84"/>
      <c r="G162" s="88"/>
      <c r="H162" s="235"/>
    </row>
    <row r="163" spans="1:8" x14ac:dyDescent="0.2">
      <c r="A163" s="26"/>
      <c r="B163" s="252">
        <v>2</v>
      </c>
      <c r="C163" s="214" t="s">
        <v>6322</v>
      </c>
      <c r="D163" s="234" t="s">
        <v>1072</v>
      </c>
      <c r="E163" s="88">
        <v>1965</v>
      </c>
      <c r="F163" s="84"/>
      <c r="G163" s="88"/>
      <c r="H163" s="235"/>
    </row>
    <row r="164" spans="1:8" x14ac:dyDescent="0.2">
      <c r="A164" s="26"/>
      <c r="B164" s="252"/>
      <c r="C164" s="26" t="s">
        <v>6323</v>
      </c>
      <c r="D164" s="234" t="s">
        <v>1071</v>
      </c>
      <c r="E164" s="88">
        <v>1961</v>
      </c>
      <c r="F164" s="84"/>
      <c r="G164" s="88"/>
      <c r="H164" s="235"/>
    </row>
    <row r="165" spans="1:8" x14ac:dyDescent="0.2">
      <c r="A165" s="26"/>
      <c r="B165" s="252"/>
      <c r="C165" s="26" t="s">
        <v>2318</v>
      </c>
      <c r="D165" s="234"/>
      <c r="E165" s="31"/>
      <c r="F165" s="216"/>
      <c r="G165" s="31"/>
      <c r="H165" s="217"/>
    </row>
    <row r="166" spans="1:8" x14ac:dyDescent="0.2">
      <c r="A166" s="26" t="s">
        <v>370</v>
      </c>
      <c r="B166" s="252"/>
      <c r="C166" s="214" t="s">
        <v>5812</v>
      </c>
      <c r="D166" s="234" t="s">
        <v>1071</v>
      </c>
      <c r="E166" s="31">
        <v>2547</v>
      </c>
      <c r="F166" s="216"/>
      <c r="G166" s="31"/>
      <c r="H166" s="217"/>
    </row>
    <row r="167" spans="1:8" x14ac:dyDescent="0.2">
      <c r="A167" s="26"/>
      <c r="B167" s="252"/>
      <c r="C167" s="26" t="s">
        <v>6202</v>
      </c>
      <c r="D167" s="234" t="s">
        <v>653</v>
      </c>
      <c r="E167" s="31">
        <v>1970</v>
      </c>
      <c r="F167" s="216"/>
      <c r="G167" s="31"/>
      <c r="H167" s="217"/>
    </row>
    <row r="168" spans="1:8" x14ac:dyDescent="0.2">
      <c r="A168" s="26"/>
      <c r="B168" s="252"/>
      <c r="C168" s="26" t="s">
        <v>2318</v>
      </c>
      <c r="D168" s="234"/>
      <c r="E168" s="218">
        <v>4664</v>
      </c>
      <c r="F168" s="219"/>
      <c r="G168" s="218">
        <v>6179</v>
      </c>
      <c r="H168" s="220">
        <v>75.5</v>
      </c>
    </row>
    <row r="169" spans="1:8" x14ac:dyDescent="0.2">
      <c r="A169" s="26"/>
      <c r="B169" s="252"/>
      <c r="C169" s="26" t="s">
        <v>2318</v>
      </c>
      <c r="D169" s="234"/>
      <c r="E169" s="31"/>
      <c r="F169" s="216"/>
      <c r="G169" s="31"/>
      <c r="H169" s="217"/>
    </row>
    <row r="170" spans="1:8" x14ac:dyDescent="0.2">
      <c r="A170" s="26" t="s">
        <v>1744</v>
      </c>
      <c r="B170" s="252">
        <v>1</v>
      </c>
      <c r="C170" s="26" t="s">
        <v>1325</v>
      </c>
      <c r="D170" s="234" t="s">
        <v>1071</v>
      </c>
      <c r="E170" s="31">
        <v>2321</v>
      </c>
      <c r="F170" s="216"/>
      <c r="G170" s="31"/>
      <c r="H170" s="217"/>
    </row>
    <row r="171" spans="1:8" x14ac:dyDescent="0.2">
      <c r="A171" s="26"/>
      <c r="B171" s="252"/>
      <c r="C171" s="26" t="s">
        <v>6203</v>
      </c>
      <c r="D171" s="234" t="s">
        <v>653</v>
      </c>
      <c r="E171" s="31">
        <v>2061</v>
      </c>
      <c r="F171" s="216"/>
      <c r="G171" s="31"/>
      <c r="H171" s="217"/>
    </row>
    <row r="172" spans="1:8" x14ac:dyDescent="0.2">
      <c r="A172" s="26"/>
      <c r="B172" s="252"/>
      <c r="C172" s="26" t="s">
        <v>1316</v>
      </c>
      <c r="D172" s="234" t="s">
        <v>5573</v>
      </c>
      <c r="E172" s="31">
        <v>626</v>
      </c>
      <c r="F172" s="216"/>
      <c r="G172" s="31"/>
      <c r="H172" s="217"/>
    </row>
    <row r="173" spans="1:8" x14ac:dyDescent="0.2">
      <c r="A173" s="26"/>
      <c r="B173" s="252"/>
      <c r="C173" s="26" t="s">
        <v>2318</v>
      </c>
      <c r="D173" s="234"/>
      <c r="E173" s="218">
        <v>5152</v>
      </c>
      <c r="F173" s="219"/>
      <c r="G173" s="218">
        <v>6817</v>
      </c>
      <c r="H173" s="220">
        <v>75.599999999999994</v>
      </c>
    </row>
    <row r="174" spans="1:8" x14ac:dyDescent="0.2">
      <c r="A174" s="26"/>
      <c r="B174" s="252"/>
      <c r="C174" s="26"/>
      <c r="D174" s="234"/>
      <c r="E174" s="88"/>
      <c r="F174" s="84"/>
      <c r="G174" s="88"/>
      <c r="H174" s="235"/>
    </row>
    <row r="175" spans="1:8" x14ac:dyDescent="0.2">
      <c r="A175" s="26"/>
      <c r="B175" s="252">
        <v>2</v>
      </c>
      <c r="C175" s="214" t="s">
        <v>1325</v>
      </c>
      <c r="D175" s="234" t="s">
        <v>1071</v>
      </c>
      <c r="E175" s="88">
        <v>2457</v>
      </c>
      <c r="F175" s="84"/>
      <c r="G175" s="88"/>
      <c r="H175" s="235"/>
    </row>
    <row r="176" spans="1:8" x14ac:dyDescent="0.2">
      <c r="A176" s="26"/>
      <c r="B176" s="252"/>
      <c r="C176" s="26" t="s">
        <v>6203</v>
      </c>
      <c r="D176" s="234" t="s">
        <v>653</v>
      </c>
      <c r="E176" s="88">
        <v>2361</v>
      </c>
      <c r="F176" s="84"/>
      <c r="G176" s="88"/>
      <c r="H176" s="235"/>
    </row>
    <row r="177" spans="1:8" x14ac:dyDescent="0.2">
      <c r="A177" s="26"/>
      <c r="B177" s="252"/>
      <c r="C177" s="26"/>
      <c r="D177" s="234"/>
      <c r="E177" s="88"/>
      <c r="F177" s="84"/>
      <c r="G177" s="88"/>
      <c r="H177" s="235"/>
    </row>
    <row r="178" spans="1:8" x14ac:dyDescent="0.2">
      <c r="A178" s="26" t="s">
        <v>1</v>
      </c>
      <c r="B178" s="252">
        <v>1</v>
      </c>
      <c r="C178" s="26" t="s">
        <v>5262</v>
      </c>
      <c r="D178" s="234" t="s">
        <v>1071</v>
      </c>
      <c r="E178" s="31">
        <v>1612</v>
      </c>
      <c r="F178" s="216"/>
      <c r="G178" s="31"/>
      <c r="H178" s="217"/>
    </row>
    <row r="179" spans="1:8" x14ac:dyDescent="0.2">
      <c r="A179" s="26"/>
      <c r="B179" s="252"/>
      <c r="C179" s="26" t="s">
        <v>6325</v>
      </c>
      <c r="D179" s="234" t="s">
        <v>653</v>
      </c>
      <c r="E179" s="31">
        <v>1239</v>
      </c>
      <c r="F179" s="216"/>
      <c r="G179" s="31"/>
      <c r="H179" s="217"/>
    </row>
    <row r="180" spans="1:8" x14ac:dyDescent="0.2">
      <c r="A180" s="26"/>
      <c r="B180" s="252"/>
      <c r="C180" s="26" t="s">
        <v>6326</v>
      </c>
      <c r="D180" s="234" t="s">
        <v>5573</v>
      </c>
      <c r="E180" s="31">
        <v>1110</v>
      </c>
      <c r="F180" s="216"/>
      <c r="G180" s="31"/>
      <c r="H180" s="217"/>
    </row>
    <row r="181" spans="1:8" x14ac:dyDescent="0.2">
      <c r="A181" s="26"/>
      <c r="B181" s="252"/>
      <c r="C181" s="26" t="s">
        <v>2318</v>
      </c>
      <c r="D181" s="234"/>
      <c r="E181" s="218">
        <v>4207</v>
      </c>
      <c r="F181" s="219"/>
      <c r="G181" s="218">
        <v>6380</v>
      </c>
      <c r="H181" s="220">
        <v>63.9</v>
      </c>
    </row>
    <row r="182" spans="1:8" x14ac:dyDescent="0.2">
      <c r="A182" s="26"/>
      <c r="B182" s="252"/>
      <c r="C182" s="26"/>
      <c r="D182" s="234"/>
      <c r="E182" s="88"/>
      <c r="F182" s="84"/>
      <c r="G182" s="88"/>
      <c r="H182" s="235"/>
    </row>
    <row r="183" spans="1:8" x14ac:dyDescent="0.2">
      <c r="A183" s="26"/>
      <c r="B183" s="252">
        <v>2</v>
      </c>
      <c r="C183" s="214" t="s">
        <v>5262</v>
      </c>
      <c r="D183" s="234" t="s">
        <v>1071</v>
      </c>
      <c r="E183" s="88">
        <v>1839</v>
      </c>
      <c r="F183" s="84"/>
      <c r="G183" s="88"/>
      <c r="H183" s="235"/>
    </row>
    <row r="184" spans="1:8" x14ac:dyDescent="0.2">
      <c r="A184" s="26"/>
      <c r="B184" s="252"/>
      <c r="C184" s="26" t="s">
        <v>6325</v>
      </c>
      <c r="D184" s="234" t="s">
        <v>653</v>
      </c>
      <c r="E184" s="88">
        <v>1704</v>
      </c>
      <c r="F184" s="84"/>
      <c r="G184" s="88"/>
      <c r="H184" s="235"/>
    </row>
    <row r="185" spans="1:8" x14ac:dyDescent="0.2">
      <c r="A185" s="26"/>
      <c r="B185" s="252"/>
      <c r="C185" s="26"/>
      <c r="D185" s="234"/>
      <c r="E185" s="88"/>
      <c r="F185" s="84"/>
      <c r="G185" s="88"/>
      <c r="H185" s="235"/>
    </row>
    <row r="186" spans="1:8" x14ac:dyDescent="0.2">
      <c r="A186" s="26" t="s">
        <v>1931</v>
      </c>
      <c r="B186" s="252"/>
      <c r="C186" s="214" t="s">
        <v>5969</v>
      </c>
      <c r="D186" s="234" t="s">
        <v>1071</v>
      </c>
      <c r="E186" s="31">
        <v>2141</v>
      </c>
      <c r="F186" s="216"/>
      <c r="G186" s="31"/>
      <c r="H186" s="217"/>
    </row>
    <row r="187" spans="1:8" x14ac:dyDescent="0.2">
      <c r="A187" s="26"/>
      <c r="B187" s="252"/>
      <c r="C187" s="26" t="s">
        <v>6327</v>
      </c>
      <c r="D187" s="234" t="s">
        <v>653</v>
      </c>
      <c r="E187" s="31">
        <v>1106</v>
      </c>
      <c r="F187" s="216"/>
      <c r="G187" s="31"/>
      <c r="H187" s="217"/>
    </row>
    <row r="188" spans="1:8" x14ac:dyDescent="0.2">
      <c r="A188" s="26"/>
      <c r="B188" s="252"/>
      <c r="C188" s="26" t="s">
        <v>6328</v>
      </c>
      <c r="D188" s="234" t="s">
        <v>5636</v>
      </c>
      <c r="E188" s="31">
        <v>732</v>
      </c>
      <c r="F188" s="216"/>
      <c r="G188" s="31"/>
      <c r="H188" s="217"/>
    </row>
    <row r="189" spans="1:8" x14ac:dyDescent="0.2">
      <c r="A189" s="26"/>
      <c r="B189" s="252"/>
      <c r="C189" s="26" t="s">
        <v>2318</v>
      </c>
      <c r="D189" s="234"/>
      <c r="E189" s="218">
        <v>4202</v>
      </c>
      <c r="F189" s="219"/>
      <c r="G189" s="218">
        <v>6380</v>
      </c>
      <c r="H189" s="220">
        <v>65.900000000000006</v>
      </c>
    </row>
    <row r="190" spans="1:8" x14ac:dyDescent="0.2">
      <c r="A190" s="26"/>
      <c r="B190" s="252"/>
      <c r="C190" s="26" t="s">
        <v>2318</v>
      </c>
      <c r="D190" s="234"/>
      <c r="E190" s="31"/>
      <c r="F190" s="216"/>
      <c r="G190" s="31"/>
      <c r="H190" s="217"/>
    </row>
    <row r="191" spans="1:8" x14ac:dyDescent="0.2">
      <c r="A191" s="26" t="s">
        <v>3</v>
      </c>
      <c r="B191" s="252"/>
      <c r="C191" s="214" t="s">
        <v>6329</v>
      </c>
      <c r="D191" s="234" t="s">
        <v>653</v>
      </c>
      <c r="E191" s="31">
        <v>4318</v>
      </c>
      <c r="F191" s="216"/>
      <c r="G191" s="31"/>
      <c r="H191" s="217"/>
    </row>
    <row r="192" spans="1:8" x14ac:dyDescent="0.2">
      <c r="A192" s="26"/>
      <c r="B192" s="252"/>
      <c r="C192" s="26" t="s">
        <v>6330</v>
      </c>
      <c r="D192" s="234" t="s">
        <v>1071</v>
      </c>
      <c r="E192" s="31">
        <v>2760</v>
      </c>
      <c r="F192" s="216"/>
      <c r="G192" s="31"/>
      <c r="H192" s="217"/>
    </row>
    <row r="193" spans="1:8" x14ac:dyDescent="0.2">
      <c r="A193" s="26"/>
      <c r="B193" s="252"/>
      <c r="C193" s="26" t="s">
        <v>2318</v>
      </c>
      <c r="D193" s="234"/>
      <c r="E193" s="218">
        <v>7352</v>
      </c>
      <c r="F193" s="219"/>
      <c r="G193" s="218">
        <v>8815</v>
      </c>
      <c r="H193" s="220">
        <v>83.4</v>
      </c>
    </row>
    <row r="194" spans="1:8" x14ac:dyDescent="0.2">
      <c r="A194" s="26"/>
      <c r="B194" s="252"/>
      <c r="C194" s="26" t="s">
        <v>2318</v>
      </c>
      <c r="D194" s="234"/>
      <c r="E194" s="31"/>
      <c r="F194" s="216"/>
      <c r="G194" s="31"/>
      <c r="H194" s="217"/>
    </row>
    <row r="195" spans="1:8" x14ac:dyDescent="0.2">
      <c r="A195" s="26" t="s">
        <v>3185</v>
      </c>
      <c r="B195" s="252"/>
      <c r="C195" s="214" t="s">
        <v>5974</v>
      </c>
      <c r="D195" s="234" t="s">
        <v>1071</v>
      </c>
      <c r="E195" s="31">
        <v>2162</v>
      </c>
      <c r="F195" s="216"/>
      <c r="G195" s="31"/>
      <c r="H195" s="217"/>
    </row>
    <row r="196" spans="1:8" x14ac:dyDescent="0.2">
      <c r="A196" s="26"/>
      <c r="B196" s="252"/>
      <c r="C196" s="26" t="s">
        <v>6331</v>
      </c>
      <c r="D196" s="234" t="s">
        <v>653</v>
      </c>
      <c r="E196" s="31">
        <v>2034</v>
      </c>
      <c r="F196" s="216"/>
      <c r="G196" s="31"/>
      <c r="H196" s="217"/>
    </row>
    <row r="197" spans="1:8" x14ac:dyDescent="0.2">
      <c r="A197" s="26"/>
      <c r="B197" s="252"/>
      <c r="C197" s="26" t="s">
        <v>2318</v>
      </c>
      <c r="D197" s="234"/>
      <c r="E197" s="218">
        <v>4342</v>
      </c>
      <c r="F197" s="219"/>
      <c r="G197" s="218">
        <v>5048</v>
      </c>
      <c r="H197" s="220">
        <v>86</v>
      </c>
    </row>
    <row r="198" spans="1:8" x14ac:dyDescent="0.2">
      <c r="A198" s="26"/>
      <c r="B198" s="252"/>
      <c r="C198" s="26" t="s">
        <v>2318</v>
      </c>
      <c r="D198" s="234"/>
      <c r="E198" s="31"/>
      <c r="F198" s="216"/>
      <c r="G198" s="31"/>
      <c r="H198" s="217"/>
    </row>
    <row r="199" spans="1:8" x14ac:dyDescent="0.2">
      <c r="A199" s="26" t="s">
        <v>1752</v>
      </c>
      <c r="B199" s="252"/>
      <c r="C199" s="214" t="s">
        <v>5500</v>
      </c>
      <c r="D199" s="234" t="s">
        <v>1071</v>
      </c>
      <c r="E199" s="31">
        <v>2487</v>
      </c>
      <c r="F199" s="216"/>
      <c r="G199" s="31"/>
      <c r="H199" s="217"/>
    </row>
    <row r="200" spans="1:8" x14ac:dyDescent="0.2">
      <c r="A200" s="26"/>
      <c r="B200" s="252"/>
      <c r="C200" s="26" t="s">
        <v>2256</v>
      </c>
      <c r="D200" s="234" t="s">
        <v>653</v>
      </c>
      <c r="E200" s="31">
        <v>2446</v>
      </c>
      <c r="F200" s="216"/>
      <c r="G200" s="31"/>
      <c r="H200" s="217"/>
    </row>
    <row r="201" spans="1:8" x14ac:dyDescent="0.2">
      <c r="A201" s="26"/>
      <c r="B201" s="252"/>
      <c r="C201" s="26" t="s">
        <v>2318</v>
      </c>
      <c r="D201" s="234"/>
      <c r="E201" s="218">
        <v>5095</v>
      </c>
      <c r="F201" s="219"/>
      <c r="G201" s="218">
        <v>6190</v>
      </c>
      <c r="H201" s="220">
        <v>82.3</v>
      </c>
    </row>
    <row r="202" spans="1:8" x14ac:dyDescent="0.2">
      <c r="A202" s="26"/>
      <c r="B202" s="252"/>
      <c r="C202" s="26" t="s">
        <v>2318</v>
      </c>
      <c r="D202" s="234"/>
      <c r="E202" s="31"/>
      <c r="F202" s="216"/>
      <c r="G202" s="31"/>
      <c r="H202" s="217"/>
    </row>
    <row r="203" spans="1:8" x14ac:dyDescent="0.2">
      <c r="A203" s="26" t="s">
        <v>3195</v>
      </c>
      <c r="B203" s="252"/>
      <c r="C203" s="214" t="s">
        <v>6213</v>
      </c>
      <c r="D203" s="234" t="s">
        <v>1071</v>
      </c>
      <c r="E203" s="31">
        <v>2943</v>
      </c>
      <c r="F203" s="216"/>
      <c r="G203" s="31"/>
      <c r="H203" s="217"/>
    </row>
    <row r="204" spans="1:8" x14ac:dyDescent="0.2">
      <c r="A204" s="26"/>
      <c r="B204" s="252"/>
      <c r="C204" s="26" t="s">
        <v>6332</v>
      </c>
      <c r="D204" s="234" t="s">
        <v>653</v>
      </c>
      <c r="E204" s="31">
        <v>2863</v>
      </c>
      <c r="F204" s="216"/>
      <c r="G204" s="31"/>
      <c r="H204" s="217"/>
    </row>
    <row r="205" spans="1:8" x14ac:dyDescent="0.2">
      <c r="A205" s="26"/>
      <c r="B205" s="252"/>
      <c r="C205" s="26" t="s">
        <v>2318</v>
      </c>
      <c r="D205" s="234"/>
      <c r="E205" s="218">
        <v>5975</v>
      </c>
      <c r="F205" s="219"/>
      <c r="G205" s="218">
        <v>6942</v>
      </c>
      <c r="H205" s="220">
        <v>86.1</v>
      </c>
    </row>
    <row r="206" spans="1:8" x14ac:dyDescent="0.2">
      <c r="A206" s="26"/>
      <c r="B206" s="252"/>
      <c r="C206" s="26"/>
      <c r="D206" s="234"/>
      <c r="E206" s="88"/>
      <c r="F206" s="84"/>
      <c r="G206" s="88"/>
      <c r="H206" s="235"/>
    </row>
    <row r="207" spans="1:8" x14ac:dyDescent="0.2">
      <c r="A207" s="26" t="s">
        <v>716</v>
      </c>
      <c r="B207" s="252"/>
      <c r="C207" s="26" t="s">
        <v>6217</v>
      </c>
      <c r="D207" s="234" t="s">
        <v>1071</v>
      </c>
      <c r="E207" s="31">
        <v>3178</v>
      </c>
      <c r="F207" s="216"/>
      <c r="G207" s="31"/>
      <c r="H207" s="217"/>
    </row>
    <row r="208" spans="1:8" x14ac:dyDescent="0.2">
      <c r="A208" s="26"/>
      <c r="B208" s="252"/>
      <c r="C208" s="214" t="s">
        <v>6218</v>
      </c>
      <c r="D208" s="234" t="s">
        <v>653</v>
      </c>
      <c r="E208" s="31">
        <v>4352</v>
      </c>
      <c r="F208" s="216"/>
      <c r="G208" s="31"/>
      <c r="H208" s="217"/>
    </row>
    <row r="209" spans="1:8" x14ac:dyDescent="0.2">
      <c r="A209" s="26"/>
      <c r="B209" s="252"/>
      <c r="C209" s="26" t="s">
        <v>2318</v>
      </c>
      <c r="D209" s="234"/>
      <c r="E209" s="218">
        <v>7798</v>
      </c>
      <c r="F209" s="219"/>
      <c r="G209" s="218">
        <v>9681</v>
      </c>
      <c r="H209" s="220">
        <v>80.5</v>
      </c>
    </row>
    <row r="210" spans="1:8" x14ac:dyDescent="0.2">
      <c r="A210" s="26"/>
      <c r="B210" s="252"/>
      <c r="C210" s="26" t="s">
        <v>2318</v>
      </c>
      <c r="D210" s="234"/>
      <c r="E210" s="31"/>
      <c r="F210" s="216"/>
      <c r="G210" s="31"/>
      <c r="H210" s="217"/>
    </row>
    <row r="211" spans="1:8" x14ac:dyDescent="0.2">
      <c r="A211" s="26" t="s">
        <v>1241</v>
      </c>
      <c r="B211" s="252">
        <v>1</v>
      </c>
      <c r="C211" s="26" t="s">
        <v>1318</v>
      </c>
      <c r="D211" s="234" t="s">
        <v>653</v>
      </c>
      <c r="E211" s="31">
        <v>2455</v>
      </c>
      <c r="F211" s="216"/>
      <c r="G211" s="31"/>
      <c r="H211" s="217"/>
    </row>
    <row r="212" spans="1:8" x14ac:dyDescent="0.2">
      <c r="A212" s="26"/>
      <c r="B212" s="252"/>
      <c r="C212" s="26" t="s">
        <v>6333</v>
      </c>
      <c r="D212" s="234" t="s">
        <v>1071</v>
      </c>
      <c r="E212" s="31">
        <v>2345</v>
      </c>
      <c r="F212" s="216"/>
      <c r="G212" s="31"/>
      <c r="H212" s="217"/>
    </row>
    <row r="213" spans="1:8" x14ac:dyDescent="0.2">
      <c r="A213" s="26"/>
      <c r="B213" s="252"/>
      <c r="C213" s="26" t="s">
        <v>1317</v>
      </c>
      <c r="D213" s="234" t="s">
        <v>4860</v>
      </c>
      <c r="E213" s="31">
        <v>362</v>
      </c>
      <c r="F213" s="216"/>
      <c r="G213" s="31"/>
      <c r="H213" s="217"/>
    </row>
    <row r="214" spans="1:8" x14ac:dyDescent="0.2">
      <c r="A214" s="26"/>
      <c r="B214" s="252"/>
      <c r="C214" s="26" t="s">
        <v>2318</v>
      </c>
      <c r="D214" s="234"/>
      <c r="E214" s="218">
        <v>5348</v>
      </c>
      <c r="F214" s="219"/>
      <c r="G214" s="218">
        <v>7002</v>
      </c>
      <c r="H214" s="220">
        <v>76.400000000000006</v>
      </c>
    </row>
    <row r="215" spans="1:8" x14ac:dyDescent="0.2">
      <c r="A215" s="26"/>
      <c r="B215" s="252"/>
      <c r="C215" s="26"/>
      <c r="D215" s="234"/>
      <c r="E215" s="88"/>
      <c r="F215" s="84"/>
      <c r="G215" s="88"/>
      <c r="H215" s="235"/>
    </row>
    <row r="216" spans="1:8" x14ac:dyDescent="0.2">
      <c r="A216" s="26"/>
      <c r="B216" s="252">
        <v>2</v>
      </c>
      <c r="C216" s="214" t="s">
        <v>6333</v>
      </c>
      <c r="D216" s="234" t="s">
        <v>1071</v>
      </c>
      <c r="E216" s="88">
        <v>2549</v>
      </c>
      <c r="F216" s="84"/>
      <c r="G216" s="88"/>
      <c r="H216" s="235"/>
    </row>
    <row r="217" spans="1:8" x14ac:dyDescent="0.2">
      <c r="A217" s="26"/>
      <c r="B217" s="252"/>
      <c r="C217" s="26" t="s">
        <v>1318</v>
      </c>
      <c r="D217" s="234" t="s">
        <v>653</v>
      </c>
      <c r="E217" s="88">
        <v>2483</v>
      </c>
      <c r="F217" s="84"/>
      <c r="G217" s="88"/>
      <c r="H217" s="235"/>
    </row>
    <row r="218" spans="1:8" x14ac:dyDescent="0.2">
      <c r="A218" s="26"/>
      <c r="B218" s="252"/>
      <c r="C218" s="26" t="s">
        <v>2318</v>
      </c>
      <c r="D218" s="234"/>
      <c r="E218" s="31"/>
      <c r="F218" s="216"/>
      <c r="G218" s="31"/>
      <c r="H218" s="217"/>
    </row>
    <row r="219" spans="1:8" x14ac:dyDescent="0.2">
      <c r="A219" s="26" t="s">
        <v>415</v>
      </c>
      <c r="B219" s="252"/>
      <c r="C219" s="214" t="s">
        <v>6223</v>
      </c>
      <c r="D219" s="234" t="s">
        <v>653</v>
      </c>
      <c r="E219" s="31">
        <v>2253</v>
      </c>
      <c r="F219" s="216"/>
      <c r="G219" s="31"/>
      <c r="H219" s="217"/>
    </row>
    <row r="220" spans="1:8" x14ac:dyDescent="0.2">
      <c r="A220" s="26"/>
      <c r="B220" s="252"/>
      <c r="C220" s="26" t="s">
        <v>1319</v>
      </c>
      <c r="D220" s="234" t="s">
        <v>1071</v>
      </c>
      <c r="E220" s="31">
        <v>2114</v>
      </c>
      <c r="F220" s="216"/>
      <c r="G220" s="31"/>
      <c r="H220" s="217"/>
    </row>
    <row r="221" spans="1:8" x14ac:dyDescent="0.2">
      <c r="A221" s="26"/>
      <c r="B221" s="252"/>
      <c r="C221" s="26" t="s">
        <v>2318</v>
      </c>
      <c r="D221" s="234"/>
      <c r="E221" s="218">
        <v>4527</v>
      </c>
      <c r="F221" s="219"/>
      <c r="G221" s="218">
        <v>7546</v>
      </c>
      <c r="H221" s="220">
        <v>60</v>
      </c>
    </row>
    <row r="222" spans="1:8" x14ac:dyDescent="0.2">
      <c r="A222" s="26"/>
      <c r="B222" s="252"/>
      <c r="C222" s="26" t="s">
        <v>2318</v>
      </c>
      <c r="D222" s="234"/>
      <c r="E222" s="31"/>
      <c r="F222" s="216"/>
      <c r="G222" s="31"/>
      <c r="H222" s="217"/>
    </row>
    <row r="223" spans="1:8" x14ac:dyDescent="0.2">
      <c r="A223" s="26" t="s">
        <v>718</v>
      </c>
      <c r="B223" s="252">
        <v>1</v>
      </c>
      <c r="C223" s="26" t="s">
        <v>1327</v>
      </c>
      <c r="D223" s="234" t="s">
        <v>653</v>
      </c>
      <c r="E223" s="31">
        <v>1719</v>
      </c>
      <c r="F223" s="216"/>
      <c r="G223" s="31"/>
      <c r="H223" s="217"/>
    </row>
    <row r="224" spans="1:8" x14ac:dyDescent="0.2">
      <c r="A224" s="26"/>
      <c r="B224" s="252"/>
      <c r="C224" s="26" t="s">
        <v>6334</v>
      </c>
      <c r="D224" s="234" t="s">
        <v>1071</v>
      </c>
      <c r="E224" s="31">
        <v>1589</v>
      </c>
      <c r="F224" s="216"/>
      <c r="G224" s="31"/>
      <c r="H224" s="217"/>
    </row>
    <row r="225" spans="1:8" x14ac:dyDescent="0.2">
      <c r="A225" s="26"/>
      <c r="B225" s="252"/>
      <c r="C225" s="26" t="s">
        <v>6335</v>
      </c>
      <c r="D225" s="234" t="s">
        <v>5573</v>
      </c>
      <c r="E225" s="31">
        <v>743</v>
      </c>
      <c r="F225" s="216"/>
      <c r="G225" s="31"/>
      <c r="H225" s="217"/>
    </row>
    <row r="226" spans="1:8" x14ac:dyDescent="0.2">
      <c r="A226" s="26"/>
      <c r="B226" s="252"/>
      <c r="C226" s="26" t="s">
        <v>2318</v>
      </c>
      <c r="D226" s="234"/>
      <c r="E226" s="218">
        <v>4295</v>
      </c>
      <c r="F226" s="219"/>
      <c r="G226" s="218">
        <v>7152</v>
      </c>
      <c r="H226" s="220">
        <v>60</v>
      </c>
    </row>
    <row r="227" spans="1:8" x14ac:dyDescent="0.2">
      <c r="A227" s="26"/>
      <c r="B227" s="252"/>
      <c r="C227" s="26"/>
      <c r="D227" s="234"/>
      <c r="E227" s="88"/>
      <c r="F227" s="84"/>
      <c r="G227" s="88"/>
      <c r="H227" s="235"/>
    </row>
    <row r="228" spans="1:8" x14ac:dyDescent="0.2">
      <c r="A228" s="26"/>
      <c r="B228" s="252">
        <v>2</v>
      </c>
      <c r="C228" s="214" t="s">
        <v>1327</v>
      </c>
      <c r="D228" s="234" t="s">
        <v>653</v>
      </c>
      <c r="E228" s="88">
        <v>1980</v>
      </c>
      <c r="F228" s="84"/>
      <c r="G228" s="88"/>
      <c r="H228" s="235"/>
    </row>
    <row r="229" spans="1:8" x14ac:dyDescent="0.2">
      <c r="A229" s="26"/>
      <c r="B229" s="252"/>
      <c r="C229" s="26" t="s">
        <v>6334</v>
      </c>
      <c r="D229" s="234" t="s">
        <v>1071</v>
      </c>
      <c r="E229" s="88">
        <v>1818</v>
      </c>
      <c r="F229" s="84"/>
      <c r="G229" s="88"/>
      <c r="H229" s="235"/>
    </row>
    <row r="230" spans="1:8" x14ac:dyDescent="0.2">
      <c r="A230" s="26"/>
      <c r="B230" s="252"/>
      <c r="C230" s="26" t="s">
        <v>2318</v>
      </c>
      <c r="D230" s="234"/>
      <c r="E230" s="31"/>
      <c r="F230" s="216"/>
      <c r="G230" s="31"/>
      <c r="H230" s="217"/>
    </row>
    <row r="231" spans="1:8" x14ac:dyDescent="0.2">
      <c r="A231" s="26" t="s">
        <v>584</v>
      </c>
      <c r="B231" s="252">
        <v>1</v>
      </c>
      <c r="C231" s="26" t="s">
        <v>1027</v>
      </c>
      <c r="D231" s="234" t="s">
        <v>1071</v>
      </c>
      <c r="E231" s="31">
        <v>2356</v>
      </c>
      <c r="F231" s="216"/>
      <c r="G231" s="31"/>
      <c r="H231" s="217"/>
    </row>
    <row r="232" spans="1:8" x14ac:dyDescent="0.2">
      <c r="A232" s="26"/>
      <c r="B232" s="252"/>
      <c r="C232" s="26" t="s">
        <v>6336</v>
      </c>
      <c r="D232" s="234" t="s">
        <v>653</v>
      </c>
      <c r="E232" s="31">
        <v>2129</v>
      </c>
      <c r="F232" s="216"/>
      <c r="G232" s="31"/>
      <c r="H232" s="217"/>
    </row>
    <row r="233" spans="1:8" x14ac:dyDescent="0.2">
      <c r="A233" s="26"/>
      <c r="B233" s="252"/>
      <c r="C233" s="26" t="s">
        <v>6337</v>
      </c>
      <c r="D233" s="234" t="s">
        <v>1918</v>
      </c>
      <c r="E233" s="31">
        <v>1047</v>
      </c>
      <c r="F233" s="216"/>
      <c r="G233" s="31"/>
      <c r="H233" s="217"/>
    </row>
    <row r="234" spans="1:8" x14ac:dyDescent="0.2">
      <c r="A234" s="26"/>
      <c r="B234" s="252"/>
      <c r="C234" s="26" t="s">
        <v>2318</v>
      </c>
      <c r="D234" s="234"/>
      <c r="E234" s="218">
        <v>5727</v>
      </c>
      <c r="F234" s="219"/>
      <c r="G234" s="218">
        <v>6650</v>
      </c>
      <c r="H234" s="220">
        <v>86.1</v>
      </c>
    </row>
    <row r="235" spans="1:8" x14ac:dyDescent="0.2">
      <c r="A235" s="26"/>
      <c r="B235" s="252"/>
      <c r="C235" s="26"/>
      <c r="D235" s="234"/>
      <c r="E235" s="88"/>
      <c r="F235" s="84"/>
      <c r="G235" s="88"/>
      <c r="H235" s="235"/>
    </row>
    <row r="236" spans="1:8" x14ac:dyDescent="0.2">
      <c r="A236" s="26"/>
      <c r="B236" s="252">
        <v>2</v>
      </c>
      <c r="C236" s="214" t="s">
        <v>1027</v>
      </c>
      <c r="D236" s="234" t="s">
        <v>1071</v>
      </c>
      <c r="E236" s="88">
        <v>2443</v>
      </c>
      <c r="F236" s="84"/>
      <c r="G236" s="88"/>
      <c r="H236" s="235"/>
    </row>
    <row r="237" spans="1:8" x14ac:dyDescent="0.2">
      <c r="A237" s="26"/>
      <c r="B237" s="252"/>
      <c r="C237" s="26" t="s">
        <v>6336</v>
      </c>
      <c r="D237" s="234" t="s">
        <v>653</v>
      </c>
      <c r="E237" s="88">
        <v>2210</v>
      </c>
      <c r="F237" s="84"/>
      <c r="G237" s="88"/>
      <c r="H237" s="235"/>
    </row>
    <row r="238" spans="1:8" x14ac:dyDescent="0.2">
      <c r="A238" s="26"/>
      <c r="B238" s="252"/>
      <c r="C238" s="26" t="s">
        <v>2318</v>
      </c>
      <c r="D238" s="234"/>
      <c r="E238" s="31"/>
      <c r="F238" s="216"/>
      <c r="G238" s="31"/>
      <c r="H238" s="217"/>
    </row>
    <row r="239" spans="1:8" x14ac:dyDescent="0.2">
      <c r="A239" s="26" t="s">
        <v>2340</v>
      </c>
      <c r="B239" s="252">
        <v>1</v>
      </c>
      <c r="C239" s="26" t="s">
        <v>6338</v>
      </c>
      <c r="D239" s="234" t="s">
        <v>653</v>
      </c>
      <c r="E239" s="31">
        <v>1920</v>
      </c>
      <c r="F239" s="216"/>
      <c r="G239" s="31"/>
      <c r="H239" s="217"/>
    </row>
    <row r="240" spans="1:8" x14ac:dyDescent="0.2">
      <c r="A240" s="26"/>
      <c r="B240" s="252"/>
      <c r="C240" s="26" t="s">
        <v>6339</v>
      </c>
      <c r="D240" s="234" t="s">
        <v>1071</v>
      </c>
      <c r="E240" s="218">
        <v>1907</v>
      </c>
      <c r="F240" s="219"/>
      <c r="G240" s="218"/>
      <c r="H240" s="220"/>
    </row>
    <row r="241" spans="1:8" x14ac:dyDescent="0.2">
      <c r="A241" s="26"/>
      <c r="B241" s="252"/>
      <c r="C241" s="26" t="s">
        <v>6340</v>
      </c>
      <c r="D241" s="234" t="s">
        <v>5573</v>
      </c>
      <c r="E241" s="88">
        <v>575</v>
      </c>
      <c r="F241" s="84"/>
      <c r="G241" s="88"/>
      <c r="H241" s="235"/>
    </row>
    <row r="242" spans="1:8" x14ac:dyDescent="0.2">
      <c r="A242" s="26"/>
      <c r="B242" s="252"/>
      <c r="C242" s="26"/>
      <c r="D242" s="234"/>
      <c r="E242" s="88">
        <v>4523</v>
      </c>
      <c r="F242" s="84"/>
      <c r="G242" s="88">
        <v>6053</v>
      </c>
      <c r="H242" s="235">
        <v>74.7</v>
      </c>
    </row>
    <row r="243" spans="1:8" x14ac:dyDescent="0.2">
      <c r="A243" s="26"/>
      <c r="B243" s="252"/>
      <c r="C243" s="26"/>
      <c r="D243" s="234"/>
      <c r="E243" s="88"/>
      <c r="F243" s="84"/>
      <c r="G243" s="88"/>
      <c r="H243" s="235"/>
    </row>
    <row r="244" spans="1:8" x14ac:dyDescent="0.2">
      <c r="A244" s="26"/>
      <c r="B244" s="252">
        <v>2</v>
      </c>
      <c r="C244" s="214" t="s">
        <v>6338</v>
      </c>
      <c r="D244" s="234" t="s">
        <v>653</v>
      </c>
      <c r="E244" s="88">
        <v>2234</v>
      </c>
      <c r="F244" s="84"/>
      <c r="G244" s="88"/>
      <c r="H244" s="235"/>
    </row>
    <row r="245" spans="1:8" x14ac:dyDescent="0.2">
      <c r="A245" s="26"/>
      <c r="B245" s="252"/>
      <c r="C245" s="26" t="s">
        <v>6339</v>
      </c>
      <c r="D245" s="234" t="s">
        <v>1071</v>
      </c>
      <c r="E245" s="88">
        <v>2045</v>
      </c>
      <c r="F245" s="84"/>
      <c r="G245" s="88"/>
      <c r="H245" s="235"/>
    </row>
    <row r="246" spans="1:8" x14ac:dyDescent="0.2">
      <c r="A246" s="26"/>
      <c r="B246" s="252"/>
      <c r="C246" s="26" t="s">
        <v>2318</v>
      </c>
      <c r="D246" s="234"/>
      <c r="E246" s="31"/>
      <c r="F246" s="216"/>
      <c r="G246" s="31"/>
      <c r="H246" s="217"/>
    </row>
    <row r="247" spans="1:8" x14ac:dyDescent="0.2">
      <c r="A247" s="26" t="s">
        <v>2341</v>
      </c>
      <c r="B247" s="252">
        <v>1</v>
      </c>
      <c r="C247" s="214" t="s">
        <v>6341</v>
      </c>
      <c r="D247" s="234" t="s">
        <v>653</v>
      </c>
      <c r="E247" s="31">
        <v>2760</v>
      </c>
      <c r="F247" s="216"/>
      <c r="G247" s="31"/>
      <c r="H247" s="217"/>
    </row>
    <row r="248" spans="1:8" x14ac:dyDescent="0.2">
      <c r="A248" s="26"/>
      <c r="B248" s="252"/>
      <c r="C248" s="26" t="s">
        <v>6342</v>
      </c>
      <c r="D248" s="234" t="s">
        <v>1071</v>
      </c>
      <c r="E248" s="31">
        <v>2083</v>
      </c>
      <c r="F248" s="216"/>
      <c r="G248" s="31"/>
      <c r="H248" s="217"/>
    </row>
    <row r="249" spans="1:8" x14ac:dyDescent="0.2">
      <c r="A249" s="26"/>
      <c r="B249" s="252"/>
      <c r="C249" s="26" t="s">
        <v>1321</v>
      </c>
      <c r="D249" s="234" t="s">
        <v>6316</v>
      </c>
      <c r="E249" s="31">
        <v>971</v>
      </c>
      <c r="F249" s="216"/>
      <c r="G249" s="31"/>
      <c r="H249" s="217"/>
    </row>
    <row r="250" spans="1:8" x14ac:dyDescent="0.2">
      <c r="A250" s="26"/>
      <c r="B250" s="252"/>
      <c r="C250" s="26" t="s">
        <v>2318</v>
      </c>
      <c r="D250" s="234"/>
      <c r="E250" s="218">
        <v>5995</v>
      </c>
      <c r="F250" s="219"/>
      <c r="G250" s="218">
        <v>7718</v>
      </c>
      <c r="H250" s="220">
        <v>77.7</v>
      </c>
    </row>
    <row r="251" spans="1:8" x14ac:dyDescent="0.2">
      <c r="A251" s="26"/>
      <c r="B251" s="252"/>
      <c r="C251" s="26"/>
      <c r="D251" s="234"/>
      <c r="E251" s="88"/>
      <c r="F251" s="84"/>
      <c r="G251" s="88"/>
      <c r="H251" s="235"/>
    </row>
    <row r="252" spans="1:8" x14ac:dyDescent="0.2">
      <c r="A252" s="26"/>
      <c r="B252" s="252">
        <v>2</v>
      </c>
      <c r="C252" s="214" t="s">
        <v>6341</v>
      </c>
      <c r="D252" s="234" t="s">
        <v>653</v>
      </c>
      <c r="E252" s="88">
        <v>3142</v>
      </c>
      <c r="F252" s="84"/>
      <c r="G252" s="88"/>
      <c r="H252" s="235"/>
    </row>
    <row r="253" spans="1:8" x14ac:dyDescent="0.2">
      <c r="A253" s="26"/>
      <c r="B253" s="252"/>
      <c r="C253" s="26" t="s">
        <v>6342</v>
      </c>
      <c r="D253" s="234" t="s">
        <v>1071</v>
      </c>
      <c r="E253" s="88">
        <v>2330</v>
      </c>
      <c r="F253" s="84"/>
      <c r="G253" s="88"/>
      <c r="H253" s="235"/>
    </row>
    <row r="254" spans="1:8" x14ac:dyDescent="0.2">
      <c r="A254" s="26"/>
      <c r="B254" s="252"/>
      <c r="C254" s="26"/>
      <c r="D254" s="234"/>
      <c r="E254" s="88"/>
      <c r="F254" s="84"/>
      <c r="G254" s="88"/>
      <c r="H254" s="235"/>
    </row>
    <row r="255" spans="1:8" x14ac:dyDescent="0.2">
      <c r="A255" s="26" t="s">
        <v>436</v>
      </c>
      <c r="B255" s="252"/>
      <c r="C255" s="214" t="s">
        <v>6237</v>
      </c>
      <c r="D255" s="234" t="s">
        <v>1071</v>
      </c>
      <c r="E255" s="31">
        <v>2226</v>
      </c>
      <c r="F255" s="216"/>
      <c r="G255" s="31"/>
      <c r="H255" s="217"/>
    </row>
    <row r="256" spans="1:8" x14ac:dyDescent="0.2">
      <c r="A256" s="26"/>
      <c r="B256" s="252"/>
      <c r="C256" s="26" t="s">
        <v>6343</v>
      </c>
      <c r="D256" s="234" t="s">
        <v>653</v>
      </c>
      <c r="E256" s="31">
        <v>945</v>
      </c>
      <c r="F256" s="216"/>
      <c r="G256" s="31"/>
      <c r="H256" s="217"/>
    </row>
    <row r="257" spans="1:8" x14ac:dyDescent="0.2">
      <c r="A257" s="26"/>
      <c r="B257" s="252"/>
      <c r="C257" s="26" t="s">
        <v>6344</v>
      </c>
      <c r="D257" s="234" t="s">
        <v>5573</v>
      </c>
      <c r="E257" s="31">
        <v>785</v>
      </c>
      <c r="F257" s="216"/>
      <c r="G257" s="31"/>
      <c r="H257" s="217"/>
    </row>
    <row r="258" spans="1:8" x14ac:dyDescent="0.2">
      <c r="A258" s="26"/>
      <c r="B258" s="252"/>
      <c r="C258" s="26" t="s">
        <v>2318</v>
      </c>
      <c r="D258" s="234"/>
      <c r="E258" s="218">
        <v>4173</v>
      </c>
      <c r="F258" s="219"/>
      <c r="G258" s="218">
        <v>6425</v>
      </c>
      <c r="H258" s="220">
        <v>64.900000000000006</v>
      </c>
    </row>
    <row r="259" spans="1:8" x14ac:dyDescent="0.2">
      <c r="A259" s="26"/>
      <c r="B259" s="252"/>
      <c r="C259" s="26" t="s">
        <v>2318</v>
      </c>
      <c r="D259" s="234"/>
      <c r="E259" s="31"/>
      <c r="F259" s="216"/>
      <c r="G259" s="31"/>
      <c r="H259" s="217"/>
    </row>
    <row r="260" spans="1:8" ht="12.75" customHeight="1" x14ac:dyDescent="0.2">
      <c r="A260" s="26" t="s">
        <v>441</v>
      </c>
      <c r="B260" s="252"/>
      <c r="C260" s="214" t="s">
        <v>5341</v>
      </c>
      <c r="D260" s="234" t="s">
        <v>1071</v>
      </c>
      <c r="E260" s="31">
        <v>2477</v>
      </c>
      <c r="F260" s="216"/>
      <c r="G260" s="31"/>
      <c r="H260" s="217"/>
    </row>
    <row r="261" spans="1:8" ht="12.75" customHeight="1" x14ac:dyDescent="0.2">
      <c r="A261" s="26"/>
      <c r="B261" s="252"/>
      <c r="C261" s="26" t="s">
        <v>6345</v>
      </c>
      <c r="D261" s="234" t="s">
        <v>653</v>
      </c>
      <c r="E261" s="31">
        <v>1496</v>
      </c>
      <c r="F261" s="216"/>
      <c r="G261" s="31"/>
      <c r="H261" s="217"/>
    </row>
    <row r="262" spans="1:8" x14ac:dyDescent="0.2">
      <c r="A262" s="26"/>
      <c r="B262" s="252"/>
      <c r="C262" s="26" t="s">
        <v>6346</v>
      </c>
      <c r="D262" s="234" t="s">
        <v>5573</v>
      </c>
      <c r="E262" s="31">
        <v>767</v>
      </c>
      <c r="F262" s="216"/>
      <c r="G262" s="31"/>
      <c r="H262" s="217"/>
    </row>
    <row r="263" spans="1:8" x14ac:dyDescent="0.2">
      <c r="A263" s="26"/>
      <c r="B263" s="252"/>
      <c r="C263" s="26" t="s">
        <v>2318</v>
      </c>
      <c r="D263" s="234"/>
      <c r="E263" s="218">
        <v>4964</v>
      </c>
      <c r="F263" s="219"/>
      <c r="G263" s="218">
        <v>7156</v>
      </c>
      <c r="H263" s="220">
        <v>69.400000000000006</v>
      </c>
    </row>
    <row r="264" spans="1:8" x14ac:dyDescent="0.2">
      <c r="A264" s="26"/>
      <c r="B264" s="252"/>
      <c r="C264" s="26" t="s">
        <v>2318</v>
      </c>
      <c r="D264" s="234"/>
      <c r="E264" s="31"/>
      <c r="F264" s="216"/>
      <c r="G264" s="31"/>
      <c r="H264" s="217"/>
    </row>
    <row r="265" spans="1:8" x14ac:dyDescent="0.2">
      <c r="A265" s="26" t="s">
        <v>1385</v>
      </c>
      <c r="B265" s="252"/>
      <c r="C265" s="214" t="s">
        <v>6117</v>
      </c>
      <c r="D265" s="234" t="s">
        <v>1071</v>
      </c>
      <c r="E265" s="31">
        <v>2605</v>
      </c>
      <c r="F265" s="216"/>
      <c r="G265" s="31"/>
      <c r="H265" s="217"/>
    </row>
    <row r="266" spans="1:8" x14ac:dyDescent="0.2">
      <c r="A266" s="26"/>
      <c r="B266" s="252"/>
      <c r="C266" s="26" t="s">
        <v>6347</v>
      </c>
      <c r="D266" s="234" t="s">
        <v>653</v>
      </c>
      <c r="E266" s="31">
        <v>1426</v>
      </c>
      <c r="F266" s="216"/>
      <c r="G266" s="31"/>
      <c r="H266" s="217"/>
    </row>
    <row r="267" spans="1:8" x14ac:dyDescent="0.2">
      <c r="A267" s="26"/>
      <c r="B267" s="252"/>
      <c r="C267" s="26" t="s">
        <v>6348</v>
      </c>
      <c r="D267" s="234" t="s">
        <v>5573</v>
      </c>
      <c r="E267" s="31">
        <v>794</v>
      </c>
      <c r="F267" s="216"/>
      <c r="G267" s="31"/>
      <c r="H267" s="217"/>
    </row>
    <row r="268" spans="1:8" x14ac:dyDescent="0.2">
      <c r="A268" s="26"/>
      <c r="B268" s="252"/>
      <c r="C268" s="26"/>
      <c r="D268" s="234"/>
      <c r="E268" s="218">
        <v>5006</v>
      </c>
      <c r="F268" s="219"/>
      <c r="G268" s="218">
        <v>6611</v>
      </c>
      <c r="H268" s="220">
        <v>75.7</v>
      </c>
    </row>
    <row r="269" spans="1:8" x14ac:dyDescent="0.2">
      <c r="A269" s="26"/>
      <c r="B269" s="252"/>
      <c r="C269" s="26" t="s">
        <v>2318</v>
      </c>
      <c r="D269" s="234"/>
      <c r="E269" s="31"/>
      <c r="F269" s="216"/>
      <c r="G269" s="31"/>
      <c r="H269" s="217"/>
    </row>
    <row r="270" spans="1:8" x14ac:dyDescent="0.2">
      <c r="A270" s="26" t="s">
        <v>446</v>
      </c>
      <c r="B270" s="252">
        <v>1</v>
      </c>
      <c r="C270" s="26" t="s">
        <v>6246</v>
      </c>
      <c r="D270" s="234" t="s">
        <v>1071</v>
      </c>
      <c r="E270" s="31">
        <v>1692</v>
      </c>
      <c r="F270" s="216"/>
      <c r="G270" s="31"/>
      <c r="H270" s="217"/>
    </row>
    <row r="271" spans="1:8" x14ac:dyDescent="0.2">
      <c r="A271" s="26"/>
      <c r="B271" s="252"/>
      <c r="C271" s="26" t="s">
        <v>6349</v>
      </c>
      <c r="D271" s="234" t="s">
        <v>653</v>
      </c>
      <c r="E271" s="31">
        <v>1383</v>
      </c>
      <c r="F271" s="216"/>
      <c r="G271" s="31"/>
      <c r="H271" s="217"/>
    </row>
    <row r="272" spans="1:8" x14ac:dyDescent="0.2">
      <c r="A272" s="26"/>
      <c r="B272" s="252"/>
      <c r="C272" s="26" t="s">
        <v>6350</v>
      </c>
      <c r="D272" s="234" t="s">
        <v>1072</v>
      </c>
      <c r="E272" s="31">
        <v>1008</v>
      </c>
      <c r="F272" s="216"/>
      <c r="G272" s="31"/>
      <c r="H272" s="217"/>
    </row>
    <row r="273" spans="1:8" x14ac:dyDescent="0.2">
      <c r="A273" s="26"/>
      <c r="B273" s="252"/>
      <c r="C273" s="26" t="s">
        <v>6351</v>
      </c>
      <c r="D273" s="234" t="s">
        <v>5573</v>
      </c>
      <c r="E273" s="31">
        <v>552</v>
      </c>
      <c r="F273" s="216"/>
      <c r="G273" s="31"/>
      <c r="H273" s="217"/>
    </row>
    <row r="274" spans="1:8" x14ac:dyDescent="0.2">
      <c r="A274" s="26"/>
      <c r="B274" s="252"/>
      <c r="C274" s="26" t="s">
        <v>2318</v>
      </c>
      <c r="D274" s="234"/>
      <c r="E274" s="218">
        <v>4751</v>
      </c>
      <c r="F274" s="219"/>
      <c r="G274" s="218">
        <v>6696</v>
      </c>
      <c r="H274" s="220">
        <v>70.900000000000006</v>
      </c>
    </row>
    <row r="275" spans="1:8" x14ac:dyDescent="0.2">
      <c r="A275" s="26"/>
      <c r="B275" s="252"/>
      <c r="C275" s="26"/>
      <c r="D275" s="234"/>
      <c r="E275" s="88"/>
      <c r="F275" s="84"/>
      <c r="G275" s="88"/>
      <c r="H275" s="235"/>
    </row>
    <row r="276" spans="1:8" x14ac:dyDescent="0.2">
      <c r="A276" s="26"/>
      <c r="B276" s="252"/>
      <c r="C276" s="26" t="s">
        <v>6246</v>
      </c>
      <c r="D276" s="234" t="s">
        <v>1071</v>
      </c>
      <c r="E276" s="88">
        <v>2018</v>
      </c>
      <c r="F276" s="84"/>
      <c r="G276" s="88"/>
      <c r="H276" s="235"/>
    </row>
    <row r="277" spans="1:8" x14ac:dyDescent="0.2">
      <c r="A277" s="26"/>
      <c r="B277" s="252"/>
      <c r="C277" s="214" t="s">
        <v>6349</v>
      </c>
      <c r="D277" s="234" t="s">
        <v>653</v>
      </c>
      <c r="E277" s="88">
        <v>2304</v>
      </c>
      <c r="F277" s="84"/>
      <c r="G277" s="88"/>
      <c r="H277" s="235"/>
    </row>
    <row r="278" spans="1:8" x14ac:dyDescent="0.2">
      <c r="A278" s="26"/>
      <c r="B278" s="252"/>
      <c r="C278" s="26"/>
      <c r="D278" s="234"/>
      <c r="E278" s="88"/>
      <c r="F278" s="84"/>
      <c r="G278" s="88"/>
      <c r="H278" s="235"/>
    </row>
    <row r="279" spans="1:8" x14ac:dyDescent="0.2">
      <c r="A279" s="26" t="s">
        <v>3262</v>
      </c>
      <c r="B279" s="252">
        <v>1</v>
      </c>
      <c r="C279" s="26" t="s">
        <v>1028</v>
      </c>
      <c r="D279" s="234" t="s">
        <v>1071</v>
      </c>
      <c r="E279" s="31">
        <v>2270</v>
      </c>
      <c r="F279" s="216"/>
      <c r="G279" s="31"/>
      <c r="H279" s="217"/>
    </row>
    <row r="280" spans="1:8" x14ac:dyDescent="0.2">
      <c r="A280" s="26"/>
      <c r="B280" s="252"/>
      <c r="C280" s="26" t="s">
        <v>6352</v>
      </c>
      <c r="D280" s="234" t="s">
        <v>653</v>
      </c>
      <c r="E280" s="31">
        <v>1609</v>
      </c>
      <c r="F280" s="216"/>
      <c r="G280" s="31"/>
      <c r="H280" s="217"/>
    </row>
    <row r="281" spans="1:8" x14ac:dyDescent="0.2">
      <c r="A281" s="26"/>
      <c r="B281" s="252"/>
      <c r="C281" s="26" t="s">
        <v>6353</v>
      </c>
      <c r="D281" s="234" t="s">
        <v>5573</v>
      </c>
      <c r="E281" s="31">
        <v>813</v>
      </c>
      <c r="F281" s="216"/>
      <c r="G281" s="31"/>
      <c r="H281" s="217"/>
    </row>
    <row r="282" spans="1:8" x14ac:dyDescent="0.2">
      <c r="A282" s="26"/>
      <c r="B282" s="252"/>
      <c r="C282" s="26" t="s">
        <v>2318</v>
      </c>
      <c r="D282" s="234"/>
      <c r="E282" s="218">
        <v>4933</v>
      </c>
      <c r="F282" s="219"/>
      <c r="G282" s="218">
        <v>7023</v>
      </c>
      <c r="H282" s="220">
        <v>70.900000000000006</v>
      </c>
    </row>
    <row r="283" spans="1:8" x14ac:dyDescent="0.2">
      <c r="A283" s="26"/>
      <c r="B283" s="252"/>
      <c r="C283" s="26"/>
      <c r="D283" s="234"/>
      <c r="E283" s="88"/>
      <c r="F283" s="84"/>
      <c r="G283" s="88"/>
      <c r="H283" s="235"/>
    </row>
    <row r="284" spans="1:8" x14ac:dyDescent="0.2">
      <c r="A284" s="26"/>
      <c r="B284" s="252">
        <v>2</v>
      </c>
      <c r="C284" s="214" t="s">
        <v>1028</v>
      </c>
      <c r="D284" s="234" t="s">
        <v>1071</v>
      </c>
      <c r="E284" s="88">
        <v>2421</v>
      </c>
      <c r="F284" s="84"/>
      <c r="G284" s="88"/>
      <c r="H284" s="235"/>
    </row>
    <row r="285" spans="1:8" x14ac:dyDescent="0.2">
      <c r="A285" s="26"/>
      <c r="B285" s="252"/>
      <c r="C285" s="26" t="s">
        <v>6352</v>
      </c>
      <c r="D285" s="234" t="s">
        <v>653</v>
      </c>
      <c r="E285" s="88">
        <v>1785</v>
      </c>
      <c r="F285" s="84"/>
      <c r="G285" s="88"/>
      <c r="H285" s="235"/>
    </row>
    <row r="286" spans="1:8" x14ac:dyDescent="0.2">
      <c r="A286" s="26"/>
      <c r="B286" s="252"/>
      <c r="C286" s="26" t="s">
        <v>2318</v>
      </c>
      <c r="D286" s="234"/>
      <c r="E286" s="31"/>
      <c r="F286" s="216"/>
      <c r="G286" s="31"/>
      <c r="H286" s="217"/>
    </row>
    <row r="287" spans="1:8" x14ac:dyDescent="0.2">
      <c r="A287" s="26" t="s">
        <v>5356</v>
      </c>
      <c r="B287" s="252">
        <v>1</v>
      </c>
      <c r="C287" s="26" t="s">
        <v>5996</v>
      </c>
      <c r="D287" s="234" t="s">
        <v>1071</v>
      </c>
      <c r="E287" s="31">
        <v>1984</v>
      </c>
      <c r="F287" s="216"/>
      <c r="G287" s="31"/>
      <c r="H287" s="217"/>
    </row>
    <row r="288" spans="1:8" x14ac:dyDescent="0.2">
      <c r="A288" s="26"/>
      <c r="B288" s="252"/>
      <c r="C288" s="26" t="s">
        <v>6354</v>
      </c>
      <c r="D288" s="234" t="s">
        <v>653</v>
      </c>
      <c r="E288" s="31">
        <v>1178</v>
      </c>
      <c r="F288" s="216"/>
      <c r="G288" s="31"/>
      <c r="H288" s="217"/>
    </row>
    <row r="289" spans="1:8" x14ac:dyDescent="0.2">
      <c r="A289" s="26"/>
      <c r="B289" s="252"/>
      <c r="C289" s="26" t="s">
        <v>6244</v>
      </c>
      <c r="D289" s="234" t="s">
        <v>5573</v>
      </c>
      <c r="E289" s="31">
        <v>302</v>
      </c>
      <c r="F289" s="216"/>
      <c r="G289" s="31"/>
      <c r="H289" s="217"/>
    </row>
    <row r="290" spans="1:8" x14ac:dyDescent="0.2">
      <c r="A290" s="26"/>
      <c r="B290" s="252"/>
      <c r="C290" s="26"/>
      <c r="D290" s="234"/>
      <c r="E290" s="218">
        <v>3608</v>
      </c>
      <c r="F290" s="219"/>
      <c r="G290" s="218">
        <v>5592</v>
      </c>
      <c r="H290" s="220">
        <v>64.5</v>
      </c>
    </row>
    <row r="291" spans="1:8" x14ac:dyDescent="0.2">
      <c r="A291" s="26"/>
      <c r="B291" s="252"/>
      <c r="C291" s="26"/>
      <c r="D291" s="234"/>
      <c r="E291" s="88"/>
      <c r="F291" s="84"/>
      <c r="G291" s="88"/>
      <c r="H291" s="235"/>
    </row>
    <row r="292" spans="1:8" x14ac:dyDescent="0.2">
      <c r="A292" s="26"/>
      <c r="B292" s="252">
        <v>2</v>
      </c>
      <c r="C292" s="214" t="s">
        <v>5996</v>
      </c>
      <c r="D292" s="234" t="s">
        <v>1071</v>
      </c>
      <c r="E292" s="88">
        <v>1707</v>
      </c>
      <c r="F292" s="84"/>
      <c r="G292" s="88"/>
      <c r="H292" s="235"/>
    </row>
    <row r="293" spans="1:8" x14ac:dyDescent="0.2">
      <c r="A293" s="26"/>
      <c r="B293" s="252"/>
      <c r="C293" s="26" t="s">
        <v>6354</v>
      </c>
      <c r="D293" s="234" t="s">
        <v>653</v>
      </c>
      <c r="E293" s="88">
        <v>1295</v>
      </c>
      <c r="F293" s="84"/>
      <c r="G293" s="88"/>
      <c r="H293" s="235"/>
    </row>
    <row r="294" spans="1:8" x14ac:dyDescent="0.2">
      <c r="A294" s="26"/>
      <c r="B294" s="252"/>
      <c r="C294" s="26" t="s">
        <v>2318</v>
      </c>
      <c r="D294" s="234"/>
      <c r="E294" s="31"/>
      <c r="F294" s="216"/>
      <c r="G294" s="31"/>
      <c r="H294" s="217"/>
    </row>
    <row r="295" spans="1:8" x14ac:dyDescent="0.2">
      <c r="A295" s="26" t="s">
        <v>715</v>
      </c>
      <c r="B295" s="252"/>
      <c r="C295" s="214" t="s">
        <v>6355</v>
      </c>
      <c r="D295" s="234" t="s">
        <v>1071</v>
      </c>
      <c r="E295" s="31">
        <v>2668</v>
      </c>
      <c r="F295" s="216"/>
      <c r="G295" s="31"/>
      <c r="H295" s="217"/>
    </row>
    <row r="296" spans="1:8" x14ac:dyDescent="0.2">
      <c r="A296" s="26"/>
      <c r="B296" s="252"/>
      <c r="C296" s="26" t="s">
        <v>6356</v>
      </c>
      <c r="D296" s="234" t="s">
        <v>653</v>
      </c>
      <c r="E296" s="31">
        <v>1851</v>
      </c>
      <c r="F296" s="216"/>
      <c r="G296" s="31"/>
      <c r="H296" s="217"/>
    </row>
    <row r="297" spans="1:8" x14ac:dyDescent="0.2">
      <c r="A297" s="26"/>
      <c r="B297" s="252"/>
      <c r="C297" s="26" t="s">
        <v>6357</v>
      </c>
      <c r="D297" s="234" t="s">
        <v>5573</v>
      </c>
      <c r="E297" s="31">
        <v>784</v>
      </c>
      <c r="F297" s="216"/>
      <c r="G297" s="31"/>
      <c r="H297" s="217"/>
    </row>
    <row r="298" spans="1:8" x14ac:dyDescent="0.2">
      <c r="A298" s="26"/>
      <c r="B298" s="252"/>
      <c r="C298" s="26" t="s">
        <v>2318</v>
      </c>
      <c r="D298" s="234"/>
      <c r="E298" s="218">
        <v>5490</v>
      </c>
      <c r="F298" s="219"/>
      <c r="G298" s="218">
        <v>6994</v>
      </c>
      <c r="H298" s="220">
        <v>78.5</v>
      </c>
    </row>
    <row r="299" spans="1:8" x14ac:dyDescent="0.2">
      <c r="A299" s="26"/>
      <c r="B299" s="252"/>
      <c r="C299" s="26" t="s">
        <v>2318</v>
      </c>
      <c r="D299" s="234"/>
      <c r="E299" s="31"/>
      <c r="F299" s="216"/>
      <c r="G299" s="31"/>
      <c r="H299" s="217"/>
    </row>
    <row r="300" spans="1:8" x14ac:dyDescent="0.2">
      <c r="A300" s="26" t="s">
        <v>2545</v>
      </c>
      <c r="B300" s="252">
        <v>1</v>
      </c>
      <c r="C300" s="26" t="s">
        <v>6003</v>
      </c>
      <c r="D300" s="234" t="s">
        <v>1071</v>
      </c>
      <c r="E300" s="31">
        <v>1914</v>
      </c>
      <c r="F300" s="216"/>
      <c r="G300" s="31"/>
      <c r="H300" s="217"/>
    </row>
    <row r="301" spans="1:8" x14ac:dyDescent="0.2">
      <c r="A301" s="26"/>
      <c r="B301" s="252"/>
      <c r="C301" s="26" t="s">
        <v>6358</v>
      </c>
      <c r="D301" s="234" t="s">
        <v>653</v>
      </c>
      <c r="E301" s="31">
        <v>1228</v>
      </c>
      <c r="F301" s="216"/>
      <c r="G301" s="31"/>
      <c r="H301" s="217"/>
    </row>
    <row r="302" spans="1:8" x14ac:dyDescent="0.2">
      <c r="A302" s="26"/>
      <c r="B302" s="252"/>
      <c r="C302" s="26" t="s">
        <v>6359</v>
      </c>
      <c r="D302" s="234" t="s">
        <v>5573</v>
      </c>
      <c r="E302" s="31">
        <v>942</v>
      </c>
      <c r="F302" s="216"/>
      <c r="G302" s="31"/>
      <c r="H302" s="217"/>
    </row>
    <row r="303" spans="1:8" x14ac:dyDescent="0.2">
      <c r="A303" s="26"/>
      <c r="B303" s="252"/>
      <c r="C303" s="26" t="s">
        <v>6360</v>
      </c>
      <c r="D303" s="234" t="s">
        <v>6283</v>
      </c>
      <c r="E303" s="31">
        <v>196</v>
      </c>
      <c r="F303" s="216"/>
      <c r="G303" s="31"/>
      <c r="H303" s="217"/>
    </row>
    <row r="304" spans="1:8" x14ac:dyDescent="0.2">
      <c r="A304" s="26"/>
      <c r="B304" s="252"/>
      <c r="C304" s="26" t="s">
        <v>2318</v>
      </c>
      <c r="D304" s="234"/>
      <c r="E304" s="218">
        <v>4448</v>
      </c>
      <c r="F304" s="219"/>
      <c r="G304" s="218">
        <v>6124</v>
      </c>
      <c r="H304" s="220">
        <v>72.599999999999994</v>
      </c>
    </row>
    <row r="305" spans="1:8" x14ac:dyDescent="0.2">
      <c r="A305" s="26"/>
      <c r="B305" s="252"/>
      <c r="C305" s="26"/>
      <c r="D305" s="234"/>
      <c r="E305" s="88"/>
      <c r="F305" s="84"/>
      <c r="G305" s="88"/>
      <c r="H305" s="235"/>
    </row>
    <row r="306" spans="1:8" x14ac:dyDescent="0.2">
      <c r="A306" s="26"/>
      <c r="B306" s="252">
        <v>2</v>
      </c>
      <c r="C306" s="26" t="s">
        <v>6003</v>
      </c>
      <c r="D306" s="234" t="s">
        <v>1071</v>
      </c>
      <c r="E306" s="88">
        <v>2213</v>
      </c>
      <c r="F306" s="84"/>
      <c r="G306" s="88"/>
      <c r="H306" s="235"/>
    </row>
    <row r="307" spans="1:8" x14ac:dyDescent="0.2">
      <c r="A307" s="26"/>
      <c r="B307" s="252"/>
      <c r="C307" s="26" t="s">
        <v>6358</v>
      </c>
      <c r="D307" s="234" t="s">
        <v>653</v>
      </c>
      <c r="E307" s="88">
        <v>1606</v>
      </c>
      <c r="F307" s="84"/>
      <c r="G307" s="88"/>
      <c r="H307" s="235"/>
    </row>
    <row r="308" spans="1:8" x14ac:dyDescent="0.2">
      <c r="A308" s="26"/>
      <c r="B308" s="252"/>
      <c r="C308" s="214"/>
      <c r="D308" s="234"/>
      <c r="E308" s="88"/>
      <c r="F308" s="84"/>
      <c r="G308" s="88"/>
      <c r="H308" s="235"/>
    </row>
    <row r="309" spans="1:8" x14ac:dyDescent="0.2">
      <c r="A309" s="26" t="s">
        <v>1198</v>
      </c>
      <c r="B309" s="252">
        <v>1</v>
      </c>
      <c r="C309" s="26" t="s">
        <v>5711</v>
      </c>
      <c r="D309" s="234" t="s">
        <v>1071</v>
      </c>
      <c r="E309" s="88">
        <v>1879</v>
      </c>
      <c r="F309" s="84"/>
      <c r="G309" s="88"/>
      <c r="H309" s="235"/>
    </row>
    <row r="310" spans="1:8" x14ac:dyDescent="0.2">
      <c r="A310" s="26"/>
      <c r="B310" s="252"/>
      <c r="C310" s="26" t="s">
        <v>6361</v>
      </c>
      <c r="D310" s="234" t="s">
        <v>653</v>
      </c>
      <c r="E310" s="88">
        <v>1383</v>
      </c>
      <c r="F310" s="84"/>
      <c r="G310" s="88"/>
      <c r="H310" s="235"/>
    </row>
    <row r="311" spans="1:8" x14ac:dyDescent="0.2">
      <c r="A311" s="26"/>
      <c r="B311" s="252"/>
      <c r="C311" s="26" t="s">
        <v>6362</v>
      </c>
      <c r="D311" s="234" t="s">
        <v>5573</v>
      </c>
      <c r="E311" s="88">
        <v>576</v>
      </c>
      <c r="F311" s="84"/>
      <c r="G311" s="88"/>
      <c r="H311" s="235"/>
    </row>
    <row r="312" spans="1:8" x14ac:dyDescent="0.2">
      <c r="A312" s="26"/>
      <c r="B312" s="252"/>
      <c r="C312" s="214"/>
      <c r="D312" s="234"/>
      <c r="E312" s="88">
        <v>4042</v>
      </c>
      <c r="F312" s="84"/>
      <c r="G312" s="88">
        <v>5050</v>
      </c>
      <c r="H312" s="235">
        <v>80</v>
      </c>
    </row>
    <row r="313" spans="1:8" x14ac:dyDescent="0.2">
      <c r="A313" s="26"/>
      <c r="B313" s="252"/>
      <c r="C313" s="214"/>
      <c r="D313" s="234"/>
      <c r="E313" s="88"/>
      <c r="F313" s="84"/>
      <c r="G313" s="88"/>
      <c r="H313" s="235"/>
    </row>
    <row r="314" spans="1:8" x14ac:dyDescent="0.2">
      <c r="A314" s="26"/>
      <c r="B314" s="252">
        <v>2</v>
      </c>
      <c r="C314" s="214" t="s">
        <v>5711</v>
      </c>
      <c r="D314" s="234" t="s">
        <v>1071</v>
      </c>
      <c r="E314" s="88">
        <v>1998</v>
      </c>
      <c r="F314" s="84"/>
      <c r="G314" s="88"/>
      <c r="H314" s="235"/>
    </row>
    <row r="315" spans="1:8" x14ac:dyDescent="0.2">
      <c r="A315" s="26"/>
      <c r="B315" s="252"/>
      <c r="C315" s="26" t="s">
        <v>6361</v>
      </c>
      <c r="D315" s="234" t="s">
        <v>653</v>
      </c>
      <c r="E315" s="31">
        <v>1618</v>
      </c>
      <c r="F315" s="216"/>
      <c r="G315" s="31"/>
      <c r="H315" s="217"/>
    </row>
    <row r="316" spans="1:8" x14ac:dyDescent="0.2">
      <c r="A316" s="26"/>
      <c r="B316" s="252"/>
      <c r="C316" s="26"/>
      <c r="D316" s="234"/>
      <c r="E316" s="88"/>
      <c r="F316" s="84"/>
      <c r="G316" s="88"/>
      <c r="H316" s="235"/>
    </row>
    <row r="317" spans="1:8" x14ac:dyDescent="0.2">
      <c r="A317" s="26" t="s">
        <v>1557</v>
      </c>
      <c r="B317" s="252">
        <v>1</v>
      </c>
      <c r="C317" s="26" t="s">
        <v>6364</v>
      </c>
      <c r="D317" s="234" t="s">
        <v>1071</v>
      </c>
      <c r="E317" s="31">
        <v>2223</v>
      </c>
      <c r="F317" s="216"/>
      <c r="G317" s="31"/>
      <c r="H317" s="217"/>
    </row>
    <row r="318" spans="1:8" x14ac:dyDescent="0.2">
      <c r="A318" s="26"/>
      <c r="B318" s="252"/>
      <c r="C318" s="26" t="s">
        <v>6365</v>
      </c>
      <c r="D318" s="234" t="s">
        <v>653</v>
      </c>
      <c r="E318" s="31">
        <v>1920</v>
      </c>
      <c r="F318" s="216"/>
      <c r="G318" s="31"/>
      <c r="H318" s="217"/>
    </row>
    <row r="319" spans="1:8" x14ac:dyDescent="0.2">
      <c r="A319" s="26"/>
      <c r="B319" s="252"/>
      <c r="C319" s="26" t="s">
        <v>1323</v>
      </c>
      <c r="D319" s="234" t="s">
        <v>5573</v>
      </c>
      <c r="E319" s="31">
        <v>523</v>
      </c>
      <c r="F319" s="216"/>
      <c r="G319" s="31"/>
      <c r="H319" s="217"/>
    </row>
    <row r="320" spans="1:8" x14ac:dyDescent="0.2">
      <c r="A320" s="26"/>
      <c r="B320" s="252"/>
      <c r="C320" s="26" t="s">
        <v>2318</v>
      </c>
      <c r="D320" s="234"/>
      <c r="E320" s="218">
        <v>4832</v>
      </c>
      <c r="F320" s="219"/>
      <c r="G320" s="218">
        <v>6389</v>
      </c>
      <c r="H320" s="220">
        <v>75.599999999999994</v>
      </c>
    </row>
    <row r="321" spans="1:8" x14ac:dyDescent="0.2">
      <c r="A321" s="26"/>
      <c r="B321" s="252"/>
      <c r="C321" s="26"/>
      <c r="D321" s="234"/>
      <c r="E321" s="88"/>
      <c r="F321" s="84"/>
      <c r="G321" s="88"/>
      <c r="H321" s="235"/>
    </row>
    <row r="322" spans="1:8" x14ac:dyDescent="0.2">
      <c r="A322" s="26"/>
      <c r="B322" s="252">
        <v>2</v>
      </c>
      <c r="C322" s="214" t="s">
        <v>6364</v>
      </c>
      <c r="D322" s="234" t="s">
        <v>1071</v>
      </c>
      <c r="E322" s="88">
        <v>2375</v>
      </c>
      <c r="F322" s="84"/>
      <c r="G322" s="88"/>
      <c r="H322" s="235"/>
    </row>
    <row r="323" spans="1:8" x14ac:dyDescent="0.2">
      <c r="A323" s="26"/>
      <c r="B323" s="252"/>
      <c r="C323" s="26" t="s">
        <v>6365</v>
      </c>
      <c r="D323" s="234" t="s">
        <v>653</v>
      </c>
      <c r="E323" s="88">
        <v>2061</v>
      </c>
      <c r="F323" s="84"/>
      <c r="G323" s="88"/>
      <c r="H323" s="235"/>
    </row>
    <row r="324" spans="1:8" x14ac:dyDescent="0.2">
      <c r="A324" s="26"/>
      <c r="B324" s="252"/>
      <c r="C324" s="26"/>
      <c r="D324" s="234"/>
      <c r="E324" s="88"/>
      <c r="F324" s="84"/>
      <c r="G324" s="88"/>
      <c r="H324" s="235"/>
    </row>
    <row r="325" spans="1:8" x14ac:dyDescent="0.2">
      <c r="A325" s="26" t="s">
        <v>1309</v>
      </c>
      <c r="B325" s="252">
        <v>1</v>
      </c>
      <c r="C325" s="26" t="s">
        <v>6198</v>
      </c>
      <c r="D325" s="234" t="s">
        <v>1071</v>
      </c>
      <c r="E325" s="31">
        <v>2203</v>
      </c>
      <c r="F325" s="216"/>
      <c r="G325" s="31"/>
      <c r="H325" s="217"/>
    </row>
    <row r="326" spans="1:8" x14ac:dyDescent="0.2">
      <c r="A326" s="26"/>
      <c r="B326" s="252"/>
      <c r="C326" s="26" t="s">
        <v>6363</v>
      </c>
      <c r="D326" s="234" t="s">
        <v>653</v>
      </c>
      <c r="E326" s="31">
        <v>1815</v>
      </c>
      <c r="F326" s="216"/>
      <c r="G326" s="31"/>
      <c r="H326" s="217"/>
    </row>
    <row r="327" spans="1:8" x14ac:dyDescent="0.2">
      <c r="A327" s="26"/>
      <c r="B327" s="252"/>
      <c r="C327" s="26" t="s">
        <v>6366</v>
      </c>
      <c r="D327" s="234" t="s">
        <v>5573</v>
      </c>
      <c r="E327" s="31">
        <v>936</v>
      </c>
      <c r="F327" s="216"/>
      <c r="G327" s="31"/>
      <c r="H327" s="217"/>
    </row>
    <row r="328" spans="1:8" x14ac:dyDescent="0.2">
      <c r="A328" s="26"/>
      <c r="B328" s="252"/>
      <c r="C328" s="26" t="s">
        <v>2318</v>
      </c>
      <c r="D328" s="234"/>
      <c r="E328" s="218">
        <v>5133</v>
      </c>
      <c r="F328" s="219"/>
      <c r="G328" s="218">
        <v>6721</v>
      </c>
      <c r="H328" s="220">
        <v>76.400000000000006</v>
      </c>
    </row>
    <row r="329" spans="1:8" x14ac:dyDescent="0.2">
      <c r="A329" s="26"/>
      <c r="B329" s="252"/>
      <c r="C329" s="26"/>
      <c r="D329" s="234"/>
      <c r="E329" s="88"/>
      <c r="F329" s="84"/>
      <c r="G329" s="88"/>
      <c r="H329" s="235"/>
    </row>
    <row r="330" spans="1:8" x14ac:dyDescent="0.2">
      <c r="A330" s="26"/>
      <c r="B330" s="252">
        <v>2</v>
      </c>
      <c r="C330" s="214" t="s">
        <v>6198</v>
      </c>
      <c r="D330" s="234" t="s">
        <v>1071</v>
      </c>
      <c r="E330" s="88">
        <v>2506</v>
      </c>
      <c r="F330" s="84"/>
      <c r="G330" s="88"/>
      <c r="H330" s="235"/>
    </row>
    <row r="331" spans="1:8" x14ac:dyDescent="0.2">
      <c r="A331" s="26"/>
      <c r="B331" s="252"/>
      <c r="C331" s="26" t="s">
        <v>6363</v>
      </c>
      <c r="D331" s="234" t="s">
        <v>653</v>
      </c>
      <c r="E331" s="88">
        <v>2148</v>
      </c>
      <c r="F331" s="84"/>
      <c r="G331" s="88"/>
      <c r="H331" s="235"/>
    </row>
    <row r="332" spans="1:8" x14ac:dyDescent="0.2">
      <c r="A332" s="26"/>
      <c r="B332" s="252"/>
      <c r="C332" s="26" t="s">
        <v>2318</v>
      </c>
      <c r="D332" s="234"/>
      <c r="E332" s="31"/>
      <c r="F332" s="216"/>
      <c r="G332" s="31"/>
      <c r="H332" s="217"/>
    </row>
    <row r="333" spans="1:8" x14ac:dyDescent="0.2">
      <c r="A333" s="26" t="s">
        <v>2564</v>
      </c>
      <c r="B333" s="252">
        <v>1</v>
      </c>
      <c r="C333" s="26" t="s">
        <v>6012</v>
      </c>
      <c r="D333" s="234" t="s">
        <v>1071</v>
      </c>
      <c r="E333" s="31">
        <v>2296</v>
      </c>
      <c r="F333" s="216"/>
      <c r="G333" s="31"/>
      <c r="H333" s="217"/>
    </row>
    <row r="334" spans="1:8" x14ac:dyDescent="0.2">
      <c r="A334" s="26"/>
      <c r="B334" s="252"/>
      <c r="C334" s="26" t="s">
        <v>6367</v>
      </c>
      <c r="D334" s="234" t="s">
        <v>653</v>
      </c>
      <c r="E334" s="31">
        <v>1611</v>
      </c>
      <c r="F334" s="216"/>
      <c r="G334" s="31"/>
      <c r="H334" s="217"/>
    </row>
    <row r="335" spans="1:8" x14ac:dyDescent="0.2">
      <c r="A335" s="26"/>
      <c r="B335" s="252"/>
      <c r="C335" s="26" t="s">
        <v>6156</v>
      </c>
      <c r="D335" s="234" t="s">
        <v>5573</v>
      </c>
      <c r="E335" s="31">
        <v>1039</v>
      </c>
      <c r="F335" s="216"/>
      <c r="G335" s="31"/>
      <c r="H335" s="217"/>
    </row>
    <row r="336" spans="1:8" x14ac:dyDescent="0.2">
      <c r="A336" s="26"/>
      <c r="B336" s="252"/>
      <c r="C336" s="26" t="s">
        <v>1324</v>
      </c>
      <c r="D336" s="234" t="s">
        <v>6316</v>
      </c>
      <c r="E336" s="31">
        <v>365</v>
      </c>
      <c r="F336" s="216"/>
      <c r="G336" s="31"/>
      <c r="H336" s="217"/>
    </row>
    <row r="337" spans="1:8" x14ac:dyDescent="0.2">
      <c r="A337" s="26"/>
      <c r="B337" s="252"/>
      <c r="C337" s="26" t="s">
        <v>2318</v>
      </c>
      <c r="D337" s="234"/>
      <c r="E337" s="218">
        <v>5500</v>
      </c>
      <c r="F337" s="219"/>
      <c r="G337" s="218">
        <v>7201</v>
      </c>
      <c r="H337" s="220">
        <v>76.400000000000006</v>
      </c>
    </row>
    <row r="338" spans="1:8" x14ac:dyDescent="0.2">
      <c r="A338" s="26"/>
      <c r="B338" s="252"/>
      <c r="C338" s="26"/>
      <c r="D338" s="234"/>
      <c r="E338" s="88"/>
      <c r="F338" s="84"/>
      <c r="G338" s="88"/>
      <c r="H338" s="235"/>
    </row>
    <row r="339" spans="1:8" x14ac:dyDescent="0.2">
      <c r="A339" s="26"/>
      <c r="B339" s="252">
        <v>2</v>
      </c>
      <c r="C339" s="214" t="s">
        <v>6012</v>
      </c>
      <c r="D339" s="234" t="s">
        <v>1071</v>
      </c>
      <c r="E339" s="88">
        <v>2583</v>
      </c>
      <c r="F339" s="84"/>
      <c r="G339" s="88"/>
      <c r="H339" s="235"/>
    </row>
    <row r="340" spans="1:8" x14ac:dyDescent="0.2">
      <c r="A340" s="26"/>
      <c r="B340" s="252"/>
      <c r="C340" s="26" t="s">
        <v>6367</v>
      </c>
      <c r="D340" s="234" t="s">
        <v>653</v>
      </c>
      <c r="E340" s="88">
        <v>2169</v>
      </c>
      <c r="F340" s="84"/>
      <c r="G340" s="88"/>
      <c r="H340" s="235"/>
    </row>
    <row r="341" spans="1:8" x14ac:dyDescent="0.2">
      <c r="A341" s="26"/>
      <c r="B341" s="252"/>
      <c r="C341" s="26"/>
      <c r="D341" s="234"/>
      <c r="E341" s="88"/>
      <c r="F341" s="84"/>
      <c r="G341" s="88"/>
      <c r="H341" s="235"/>
    </row>
    <row r="342" spans="1:8" x14ac:dyDescent="0.2">
      <c r="A342" s="26" t="s">
        <v>1199</v>
      </c>
      <c r="B342" s="252"/>
      <c r="C342" s="26" t="s">
        <v>6266</v>
      </c>
      <c r="D342" s="234" t="s">
        <v>1071</v>
      </c>
      <c r="E342" s="31">
        <v>1937</v>
      </c>
      <c r="F342" s="216"/>
      <c r="G342" s="31"/>
      <c r="H342" s="217"/>
    </row>
    <row r="343" spans="1:8" x14ac:dyDescent="0.2">
      <c r="A343" s="26"/>
      <c r="B343" s="252"/>
      <c r="C343" s="214" t="s">
        <v>6265</v>
      </c>
      <c r="D343" s="234" t="s">
        <v>653</v>
      </c>
      <c r="E343" s="31">
        <v>1558</v>
      </c>
      <c r="F343" s="216"/>
      <c r="G343" s="31"/>
      <c r="H343" s="217"/>
    </row>
    <row r="344" spans="1:8" x14ac:dyDescent="0.2">
      <c r="A344" s="26"/>
      <c r="B344" s="252"/>
      <c r="C344" s="26" t="s">
        <v>2318</v>
      </c>
      <c r="D344" s="234"/>
      <c r="E344" s="218">
        <v>3593</v>
      </c>
      <c r="F344" s="219"/>
      <c r="G344" s="218">
        <v>4327</v>
      </c>
      <c r="H344" s="220">
        <v>83</v>
      </c>
    </row>
    <row r="345" spans="1:8" x14ac:dyDescent="0.2">
      <c r="A345" s="26"/>
      <c r="B345" s="252"/>
      <c r="C345" s="26"/>
      <c r="D345" s="234"/>
      <c r="E345" s="88"/>
      <c r="F345" s="84"/>
      <c r="G345" s="88"/>
      <c r="H345" s="235"/>
    </row>
    <row r="346" spans="1:8" x14ac:dyDescent="0.2">
      <c r="A346" s="26" t="s">
        <v>1311</v>
      </c>
      <c r="B346" s="252">
        <v>1</v>
      </c>
      <c r="C346" s="26" t="s">
        <v>1946</v>
      </c>
      <c r="D346" s="234" t="s">
        <v>1071</v>
      </c>
      <c r="E346" s="31">
        <v>2480</v>
      </c>
      <c r="F346" s="216"/>
      <c r="G346" s="31"/>
      <c r="H346" s="217"/>
    </row>
    <row r="347" spans="1:8" x14ac:dyDescent="0.2">
      <c r="A347" s="26"/>
      <c r="B347" s="252"/>
      <c r="C347" s="26" t="s">
        <v>6368</v>
      </c>
      <c r="D347" s="234" t="s">
        <v>653</v>
      </c>
      <c r="E347" s="31">
        <v>1874</v>
      </c>
      <c r="F347" s="216"/>
      <c r="G347" s="31"/>
      <c r="H347" s="217"/>
    </row>
    <row r="348" spans="1:8" x14ac:dyDescent="0.2">
      <c r="A348" s="26"/>
      <c r="B348" s="252"/>
      <c r="C348" s="26" t="s">
        <v>6369</v>
      </c>
      <c r="D348" s="234" t="s">
        <v>5573</v>
      </c>
      <c r="E348" s="31">
        <v>901</v>
      </c>
      <c r="F348" s="216"/>
      <c r="G348" s="31"/>
      <c r="H348" s="217"/>
    </row>
    <row r="349" spans="1:8" x14ac:dyDescent="0.2">
      <c r="A349" s="26"/>
      <c r="B349" s="252"/>
      <c r="C349" s="26" t="s">
        <v>2318</v>
      </c>
      <c r="D349" s="234"/>
      <c r="E349" s="218">
        <v>5332</v>
      </c>
      <c r="F349" s="219"/>
      <c r="G349" s="218">
        <v>7412</v>
      </c>
      <c r="H349" s="220">
        <v>62.2</v>
      </c>
    </row>
    <row r="350" spans="1:8" x14ac:dyDescent="0.2">
      <c r="A350" s="26"/>
      <c r="B350" s="252"/>
      <c r="C350" s="26"/>
      <c r="D350" s="234"/>
      <c r="E350" s="88"/>
      <c r="F350" s="84"/>
      <c r="G350" s="88"/>
      <c r="H350" s="235"/>
    </row>
    <row r="351" spans="1:8" x14ac:dyDescent="0.2">
      <c r="A351" s="26"/>
      <c r="B351" s="252">
        <v>2</v>
      </c>
      <c r="C351" s="214" t="s">
        <v>1946</v>
      </c>
      <c r="D351" s="234" t="s">
        <v>1071</v>
      </c>
      <c r="E351" s="88">
        <v>2761</v>
      </c>
      <c r="F351" s="84"/>
      <c r="G351" s="88"/>
      <c r="H351" s="235"/>
    </row>
    <row r="352" spans="1:8" x14ac:dyDescent="0.2">
      <c r="A352" s="26"/>
      <c r="B352" s="252"/>
      <c r="C352" s="26" t="s">
        <v>6368</v>
      </c>
      <c r="D352" s="234" t="s">
        <v>653</v>
      </c>
      <c r="E352" s="88">
        <v>2179</v>
      </c>
      <c r="F352" s="84"/>
      <c r="G352" s="88"/>
      <c r="H352" s="235"/>
    </row>
    <row r="353" spans="1:8" x14ac:dyDescent="0.2">
      <c r="A353" s="26"/>
      <c r="B353" s="252"/>
      <c r="C353" s="26" t="s">
        <v>2318</v>
      </c>
      <c r="D353" s="234"/>
      <c r="E353" s="31"/>
      <c r="F353" s="216"/>
      <c r="G353" s="31"/>
      <c r="H353" s="217"/>
    </row>
    <row r="354" spans="1:8" x14ac:dyDescent="0.2">
      <c r="A354" s="26" t="s">
        <v>5728</v>
      </c>
      <c r="B354" s="252"/>
      <c r="C354" s="214" t="s">
        <v>5276</v>
      </c>
      <c r="D354" s="234" t="s">
        <v>1071</v>
      </c>
      <c r="E354" s="31">
        <v>2329</v>
      </c>
      <c r="F354" s="216"/>
      <c r="G354" s="31"/>
      <c r="H354" s="217"/>
    </row>
    <row r="355" spans="1:8" x14ac:dyDescent="0.2">
      <c r="A355" s="26"/>
      <c r="B355" s="252"/>
      <c r="C355" s="26" t="s">
        <v>6370</v>
      </c>
      <c r="D355" s="234" t="s">
        <v>5573</v>
      </c>
      <c r="E355" s="31">
        <v>968</v>
      </c>
      <c r="F355" s="216"/>
      <c r="G355" s="31"/>
      <c r="H355" s="217"/>
    </row>
    <row r="356" spans="1:8" x14ac:dyDescent="0.2">
      <c r="A356" s="26"/>
      <c r="B356" s="252"/>
      <c r="C356" s="26" t="s">
        <v>6371</v>
      </c>
      <c r="D356" s="234" t="s">
        <v>653</v>
      </c>
      <c r="E356" s="31">
        <v>514</v>
      </c>
      <c r="F356" s="216"/>
      <c r="G356" s="31"/>
      <c r="H356" s="217"/>
    </row>
    <row r="357" spans="1:8" x14ac:dyDescent="0.2">
      <c r="A357" s="26"/>
      <c r="B357" s="252"/>
      <c r="C357" s="26" t="s">
        <v>2318</v>
      </c>
      <c r="D357" s="234"/>
      <c r="E357" s="218">
        <v>3976</v>
      </c>
      <c r="F357" s="219"/>
      <c r="G357" s="218">
        <v>6172</v>
      </c>
      <c r="H357" s="220">
        <v>64.400000000000006</v>
      </c>
    </row>
    <row r="358" spans="1:8" x14ac:dyDescent="0.2">
      <c r="A358" s="26"/>
      <c r="B358" s="252"/>
      <c r="C358" s="234"/>
      <c r="D358" s="234"/>
      <c r="E358" s="223"/>
      <c r="F358" s="217"/>
      <c r="G358" s="223"/>
      <c r="H358" s="217"/>
    </row>
    <row r="359" spans="1:8" x14ac:dyDescent="0.2">
      <c r="A359" s="145" t="s">
        <v>1131</v>
      </c>
      <c r="B359" s="257"/>
      <c r="C359" s="145"/>
      <c r="D359" s="146"/>
      <c r="E359" s="147">
        <v>319479</v>
      </c>
      <c r="F359" s="148"/>
      <c r="G359" s="147">
        <v>427335</v>
      </c>
      <c r="H359" s="148">
        <v>74.8</v>
      </c>
    </row>
    <row r="360" spans="1:8" x14ac:dyDescent="0.2">
      <c r="A360" s="77"/>
      <c r="B360" s="258"/>
      <c r="C360" s="77"/>
      <c r="D360" s="78"/>
      <c r="E360" s="88"/>
      <c r="F360" s="84"/>
      <c r="G360" s="88"/>
      <c r="H360" s="84"/>
    </row>
    <row r="361" spans="1:8" x14ac:dyDescent="0.2">
      <c r="A361" s="227" t="s">
        <v>1289</v>
      </c>
      <c r="B361" s="259"/>
      <c r="C361" s="228"/>
      <c r="D361" s="228"/>
      <c r="E361" s="229"/>
      <c r="F361" s="230"/>
      <c r="G361" s="231"/>
      <c r="H361" s="232"/>
    </row>
    <row r="362" spans="1:8" x14ac:dyDescent="0.2">
      <c r="A362" s="276" t="s">
        <v>2934</v>
      </c>
      <c r="B362" s="276"/>
      <c r="C362" s="276"/>
      <c r="D362" s="276"/>
      <c r="E362" s="276"/>
      <c r="F362" s="276"/>
      <c r="G362" s="276"/>
      <c r="H362" s="276"/>
    </row>
    <row r="363" spans="1:8" x14ac:dyDescent="0.2">
      <c r="A363" s="276" t="s">
        <v>4764</v>
      </c>
      <c r="B363" s="276"/>
      <c r="C363" s="276"/>
      <c r="D363" s="276"/>
      <c r="E363" s="276"/>
      <c r="F363" s="276"/>
      <c r="G363" s="276"/>
      <c r="H363" s="276"/>
    </row>
    <row r="364" spans="1:8" x14ac:dyDescent="0.2">
      <c r="A364" s="26" t="s">
        <v>4774</v>
      </c>
      <c r="B364" s="252"/>
      <c r="C364" s="26"/>
      <c r="D364" s="234"/>
      <c r="E364" s="31"/>
      <c r="F364" s="216"/>
      <c r="G364" s="31"/>
      <c r="H364" s="217"/>
    </row>
  </sheetData>
  <mergeCells count="4">
    <mergeCell ref="A1:H1"/>
    <mergeCell ref="F2:H2"/>
    <mergeCell ref="A362:H362"/>
    <mergeCell ref="A363:H36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31</vt:i4>
      </vt:variant>
    </vt:vector>
  </HeadingPairs>
  <TitlesOfParts>
    <vt:vector size="60" baseType="lpstr">
      <vt:lpstr>1905</vt:lpstr>
      <vt:lpstr>1909</vt:lpstr>
      <vt:lpstr>1913</vt:lpstr>
      <vt:lpstr>1917</vt:lpstr>
      <vt:lpstr>1921</vt:lpstr>
      <vt:lpstr>1926</vt:lpstr>
      <vt:lpstr>1930</vt:lpstr>
      <vt:lpstr>1935</vt:lpstr>
      <vt:lpstr>1940</vt:lpstr>
      <vt:lpstr>1944</vt:lpstr>
      <vt:lpstr>1948</vt:lpstr>
      <vt:lpstr>1952</vt:lpstr>
      <vt:lpstr>1955</vt:lpstr>
      <vt:lpstr>1959</vt:lpstr>
      <vt:lpstr>1963</vt:lpstr>
      <vt:lpstr>1967</vt:lpstr>
      <vt:lpstr>1971</vt:lpstr>
      <vt:lpstr>1975</vt:lpstr>
      <vt:lpstr>1979</vt:lpstr>
      <vt:lpstr>1982</vt:lpstr>
      <vt:lpstr>1986</vt:lpstr>
      <vt:lpstr>1989</vt:lpstr>
      <vt:lpstr>1993</vt:lpstr>
      <vt:lpstr>1997</vt:lpstr>
      <vt:lpstr>2001</vt:lpstr>
      <vt:lpstr>2004</vt:lpstr>
      <vt:lpstr>2008</vt:lpstr>
      <vt:lpstr>2012</vt:lpstr>
      <vt:lpstr>2015</vt:lpstr>
      <vt:lpstr>'1905'!Print_Area</vt:lpstr>
      <vt:lpstr>'1909'!Print_Area</vt:lpstr>
      <vt:lpstr>'1913'!Print_Area</vt:lpstr>
      <vt:lpstr>'1917'!Print_Area</vt:lpstr>
      <vt:lpstr>'1921'!Print_Area</vt:lpstr>
      <vt:lpstr>'1926'!Print_Area</vt:lpstr>
      <vt:lpstr>'1930'!Print_Area</vt:lpstr>
      <vt:lpstr>'1935'!Print_Area</vt:lpstr>
      <vt:lpstr>'1982'!Print_Area</vt:lpstr>
      <vt:lpstr>'1986'!Print_Area</vt:lpstr>
      <vt:lpstr>'1989'!Print_Area</vt:lpstr>
      <vt:lpstr>'1993'!Print_Area</vt:lpstr>
      <vt:lpstr>'1997'!Print_Area</vt:lpstr>
      <vt:lpstr>'2001'!Print_Area</vt:lpstr>
      <vt:lpstr>'1905'!Print_Titles</vt:lpstr>
      <vt:lpstr>'1909'!Print_Titles</vt:lpstr>
      <vt:lpstr>'1913'!Print_Titles</vt:lpstr>
      <vt:lpstr>'1917'!Print_Titles</vt:lpstr>
      <vt:lpstr>'1921'!Print_Titles</vt:lpstr>
      <vt:lpstr>'1926'!Print_Titles</vt:lpstr>
      <vt:lpstr>'1930'!Print_Titles</vt:lpstr>
      <vt:lpstr>'1935'!Print_Titles</vt:lpstr>
      <vt:lpstr>'1982'!Print_Titles</vt:lpstr>
      <vt:lpstr>'1986'!Print_Titles</vt:lpstr>
      <vt:lpstr>'1989'!Print_Titles</vt:lpstr>
      <vt:lpstr>'1993'!Print_Titles</vt:lpstr>
      <vt:lpstr>'1997'!Print_Titles</vt:lpstr>
      <vt:lpstr>'2001'!Print_Titles</vt:lpstr>
      <vt:lpstr>'2004'!Print_Titles</vt:lpstr>
      <vt:lpstr>'2008'!Print_Titles</vt:lpstr>
      <vt:lpstr>'2012'!Print_Titles</vt:lpstr>
    </vt:vector>
  </TitlesOfParts>
  <Company>Eections Alberta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Ryan Phillips</cp:lastModifiedBy>
  <cp:lastPrinted>2015-06-29T20:12:15Z</cp:lastPrinted>
  <dcterms:created xsi:type="dcterms:W3CDTF">2004-07-20T14:20:41Z</dcterms:created>
  <dcterms:modified xsi:type="dcterms:W3CDTF">2017-08-09T15:17:05Z</dcterms:modified>
</cp:coreProperties>
</file>