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biu365-my.sharepoint.com/personal/kaspiom_biu_ac_il/Documents/Projects/Police/Glass/Python/"/>
    </mc:Choice>
  </mc:AlternateContent>
  <xr:revisionPtr revIDLastSave="234" documentId="11_2D827874CA9A3ADFE0D129C4F5FEB68FB68FA7F1" xr6:coauthVersionLast="47" xr6:coauthVersionMax="47" xr10:uidLastSave="{B129D69C-3B29-40A2-ADAA-6C5A614B019B}"/>
  <bookViews>
    <workbookView xWindow="3510" yWindow="3510" windowWidth="21600" windowHeight="10350" xr2:uid="{00000000-000D-0000-FFFF-FFFF00000000}"/>
  </bookViews>
  <sheets>
    <sheet name="all" sheetId="1" r:id="rId1"/>
    <sheet name="concat" sheetId="3" r:id="rId2"/>
    <sheet name="concat - noHU" sheetId="6" r:id="rId3"/>
    <sheet name="info" sheetId="2" r:id="rId4"/>
    <sheet name="unknown_bina" sheetId="4" r:id="rId5"/>
    <sheet name="unknown_irb" sheetId="5" r:id="rId6"/>
    <sheet name="unknown_irb_sideA" sheetId="9" r:id="rId7"/>
    <sheet name="unknown_irb_290821_surface" sheetId="8" r:id="rId8"/>
    <sheet name="unknown_irb_270921" sheetId="10" r:id="rId9"/>
    <sheet name="unknown_irb_290921_bulk" sheetId="11" r:id="rId10"/>
    <sheet name="unknown_hu" sheetId="7" r:id="rId11"/>
  </sheets>
  <definedNames>
    <definedName name="_xlnm._FilterDatabase" localSheetId="0" hidden="1">all!$D$1:$AD$381</definedName>
    <definedName name="glass_180321_peaks" localSheetId="0">all!$B$286:$AB$381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0" i="1" l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X789" i="1"/>
  <c r="AW789" i="1"/>
  <c r="AK789" i="1"/>
  <c r="AA789" i="1"/>
  <c r="U789" i="1"/>
  <c r="T789" i="1"/>
  <c r="R789" i="1"/>
  <c r="P789" i="1"/>
  <c r="N789" i="1"/>
  <c r="M789" i="1"/>
  <c r="L789" i="1"/>
  <c r="K789" i="1"/>
  <c r="J789" i="1"/>
  <c r="I789" i="1"/>
  <c r="H789" i="1"/>
  <c r="AX788" i="1"/>
  <c r="AW788" i="1"/>
  <c r="AK788" i="1"/>
  <c r="AA788" i="1"/>
  <c r="U788" i="1"/>
  <c r="T788" i="1"/>
  <c r="R788" i="1"/>
  <c r="P788" i="1"/>
  <c r="N788" i="1"/>
  <c r="M788" i="1"/>
  <c r="L788" i="1"/>
  <c r="K788" i="1"/>
  <c r="J788" i="1"/>
  <c r="I788" i="1"/>
  <c r="H788" i="1"/>
  <c r="AX787" i="1"/>
  <c r="AW787" i="1"/>
  <c r="AK787" i="1"/>
  <c r="AA787" i="1"/>
  <c r="U787" i="1"/>
  <c r="T787" i="1"/>
  <c r="R787" i="1"/>
  <c r="P787" i="1"/>
  <c r="N787" i="1"/>
  <c r="M787" i="1"/>
  <c r="L787" i="1"/>
  <c r="K787" i="1"/>
  <c r="J787" i="1"/>
  <c r="I787" i="1"/>
  <c r="H787" i="1"/>
  <c r="AX786" i="1"/>
  <c r="AW786" i="1"/>
  <c r="AK786" i="1"/>
  <c r="AA786" i="1"/>
  <c r="U786" i="1"/>
  <c r="T786" i="1"/>
  <c r="R786" i="1"/>
  <c r="P786" i="1"/>
  <c r="N786" i="1"/>
  <c r="M786" i="1"/>
  <c r="L786" i="1"/>
  <c r="K786" i="1"/>
  <c r="J786" i="1"/>
  <c r="I786" i="1"/>
  <c r="H786" i="1"/>
  <c r="AX785" i="1"/>
  <c r="AW785" i="1"/>
  <c r="AK785" i="1"/>
  <c r="AA785" i="1"/>
  <c r="U785" i="1"/>
  <c r="T785" i="1"/>
  <c r="R785" i="1"/>
  <c r="P785" i="1"/>
  <c r="N785" i="1"/>
  <c r="M785" i="1"/>
  <c r="L785" i="1"/>
  <c r="K785" i="1"/>
  <c r="J785" i="1"/>
  <c r="I785" i="1"/>
  <c r="H785" i="1"/>
  <c r="AX784" i="1"/>
  <c r="AW784" i="1"/>
  <c r="AK784" i="1"/>
  <c r="AA784" i="1"/>
  <c r="U784" i="1"/>
  <c r="T784" i="1"/>
  <c r="R784" i="1"/>
  <c r="P784" i="1"/>
  <c r="N784" i="1"/>
  <c r="M784" i="1"/>
  <c r="L784" i="1"/>
  <c r="K784" i="1"/>
  <c r="J784" i="1"/>
  <c r="I784" i="1"/>
  <c r="H784" i="1"/>
  <c r="AX783" i="1"/>
  <c r="AW783" i="1"/>
  <c r="AK783" i="1"/>
  <c r="AA783" i="1"/>
  <c r="U783" i="1"/>
  <c r="T783" i="1"/>
  <c r="R783" i="1"/>
  <c r="P783" i="1"/>
  <c r="N783" i="1"/>
  <c r="M783" i="1"/>
  <c r="L783" i="1"/>
  <c r="K783" i="1"/>
  <c r="J783" i="1"/>
  <c r="I783" i="1"/>
  <c r="H783" i="1"/>
  <c r="AX782" i="1"/>
  <c r="AW782" i="1"/>
  <c r="AK782" i="1"/>
  <c r="AA782" i="1"/>
  <c r="U782" i="1"/>
  <c r="T782" i="1"/>
  <c r="R782" i="1"/>
  <c r="P782" i="1"/>
  <c r="N782" i="1"/>
  <c r="M782" i="1"/>
  <c r="L782" i="1"/>
  <c r="K782" i="1"/>
  <c r="J782" i="1"/>
  <c r="I782" i="1"/>
  <c r="H782" i="1"/>
  <c r="AX781" i="1"/>
  <c r="AW781" i="1"/>
  <c r="AK781" i="1"/>
  <c r="AA781" i="1"/>
  <c r="U781" i="1"/>
  <c r="T781" i="1"/>
  <c r="R781" i="1"/>
  <c r="P781" i="1"/>
  <c r="N781" i="1"/>
  <c r="M781" i="1"/>
  <c r="L781" i="1"/>
  <c r="K781" i="1"/>
  <c r="J781" i="1"/>
  <c r="I781" i="1"/>
  <c r="H781" i="1"/>
  <c r="AX780" i="1"/>
  <c r="AW780" i="1"/>
  <c r="AK780" i="1"/>
  <c r="AA780" i="1"/>
  <c r="U780" i="1"/>
  <c r="T780" i="1"/>
  <c r="R780" i="1"/>
  <c r="P780" i="1"/>
  <c r="N780" i="1"/>
  <c r="M780" i="1"/>
  <c r="L780" i="1"/>
  <c r="K780" i="1"/>
  <c r="J780" i="1"/>
  <c r="I780" i="1"/>
  <c r="H780" i="1"/>
  <c r="AX779" i="1"/>
  <c r="AW779" i="1"/>
  <c r="AK779" i="1"/>
  <c r="AA779" i="1"/>
  <c r="U779" i="1"/>
  <c r="T779" i="1"/>
  <c r="R779" i="1"/>
  <c r="P779" i="1"/>
  <c r="N779" i="1"/>
  <c r="M779" i="1"/>
  <c r="L779" i="1"/>
  <c r="K779" i="1"/>
  <c r="J779" i="1"/>
  <c r="I779" i="1"/>
  <c r="H779" i="1"/>
  <c r="AX778" i="1"/>
  <c r="AW778" i="1"/>
  <c r="AK778" i="1"/>
  <c r="AA778" i="1"/>
  <c r="U778" i="1"/>
  <c r="T778" i="1"/>
  <c r="R778" i="1"/>
  <c r="P778" i="1"/>
  <c r="N778" i="1"/>
  <c r="M778" i="1"/>
  <c r="L778" i="1"/>
  <c r="K778" i="1"/>
  <c r="J778" i="1"/>
  <c r="I778" i="1"/>
  <c r="H778" i="1"/>
  <c r="AX777" i="1"/>
  <c r="AW777" i="1"/>
  <c r="AK777" i="1"/>
  <c r="AA777" i="1"/>
  <c r="U777" i="1"/>
  <c r="T777" i="1"/>
  <c r="R777" i="1"/>
  <c r="P777" i="1"/>
  <c r="N777" i="1"/>
  <c r="M777" i="1"/>
  <c r="L777" i="1"/>
  <c r="K777" i="1"/>
  <c r="J777" i="1"/>
  <c r="I777" i="1"/>
  <c r="H777" i="1"/>
  <c r="AX776" i="1"/>
  <c r="AW776" i="1"/>
  <c r="AK776" i="1"/>
  <c r="AA776" i="1"/>
  <c r="U776" i="1"/>
  <c r="T776" i="1"/>
  <c r="R776" i="1"/>
  <c r="P776" i="1"/>
  <c r="N776" i="1"/>
  <c r="M776" i="1"/>
  <c r="L776" i="1"/>
  <c r="K776" i="1"/>
  <c r="J776" i="1"/>
  <c r="I776" i="1"/>
  <c r="H776" i="1"/>
  <c r="AX775" i="1"/>
  <c r="AW775" i="1"/>
  <c r="AK775" i="1"/>
  <c r="AA775" i="1"/>
  <c r="U775" i="1"/>
  <c r="T775" i="1"/>
  <c r="R775" i="1"/>
  <c r="P775" i="1"/>
  <c r="N775" i="1"/>
  <c r="M775" i="1"/>
  <c r="L775" i="1"/>
  <c r="K775" i="1"/>
  <c r="J775" i="1"/>
  <c r="I775" i="1"/>
  <c r="H775" i="1"/>
  <c r="AX774" i="1"/>
  <c r="AW774" i="1"/>
  <c r="AK774" i="1"/>
  <c r="AA774" i="1"/>
  <c r="U774" i="1"/>
  <c r="T774" i="1"/>
  <c r="R774" i="1"/>
  <c r="P774" i="1"/>
  <c r="N774" i="1"/>
  <c r="M774" i="1"/>
  <c r="L774" i="1"/>
  <c r="K774" i="1"/>
  <c r="J774" i="1"/>
  <c r="I774" i="1"/>
  <c r="H774" i="1"/>
  <c r="AX773" i="1"/>
  <c r="AW773" i="1"/>
  <c r="AK773" i="1"/>
  <c r="AA773" i="1"/>
  <c r="U773" i="1"/>
  <c r="T773" i="1"/>
  <c r="R773" i="1"/>
  <c r="P773" i="1"/>
  <c r="N773" i="1"/>
  <c r="M773" i="1"/>
  <c r="L773" i="1"/>
  <c r="K773" i="1"/>
  <c r="J773" i="1"/>
  <c r="I773" i="1"/>
  <c r="H773" i="1"/>
  <c r="AX772" i="1"/>
  <c r="AW772" i="1"/>
  <c r="AK772" i="1"/>
  <c r="AA772" i="1"/>
  <c r="U772" i="1"/>
  <c r="T772" i="1"/>
  <c r="R772" i="1"/>
  <c r="P772" i="1"/>
  <c r="N772" i="1"/>
  <c r="M772" i="1"/>
  <c r="L772" i="1"/>
  <c r="K772" i="1"/>
  <c r="J772" i="1"/>
  <c r="I772" i="1"/>
  <c r="H772" i="1"/>
  <c r="AX771" i="1"/>
  <c r="AW771" i="1"/>
  <c r="AK771" i="1"/>
  <c r="AA771" i="1"/>
  <c r="U771" i="1"/>
  <c r="T771" i="1"/>
  <c r="R771" i="1"/>
  <c r="P771" i="1"/>
  <c r="N771" i="1"/>
  <c r="M771" i="1"/>
  <c r="L771" i="1"/>
  <c r="K771" i="1"/>
  <c r="J771" i="1"/>
  <c r="I771" i="1"/>
  <c r="H771" i="1"/>
  <c r="AX770" i="1"/>
  <c r="AW770" i="1"/>
  <c r="AK770" i="1"/>
  <c r="AA770" i="1"/>
  <c r="U770" i="1"/>
  <c r="T770" i="1"/>
  <c r="R770" i="1"/>
  <c r="P770" i="1"/>
  <c r="N770" i="1"/>
  <c r="M770" i="1"/>
  <c r="L770" i="1"/>
  <c r="K770" i="1"/>
  <c r="J770" i="1"/>
  <c r="I770" i="1"/>
  <c r="H770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BJ721" i="1"/>
  <c r="BI721" i="1"/>
  <c r="BH721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BJ720" i="1"/>
  <c r="BI720" i="1"/>
  <c r="BH720" i="1"/>
  <c r="BG720" i="1"/>
  <c r="BF720" i="1"/>
  <c r="BE720" i="1"/>
  <c r="BD720" i="1"/>
  <c r="BC720" i="1"/>
  <c r="BB720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BJ719" i="1"/>
  <c r="BI719" i="1"/>
  <c r="BH719" i="1"/>
  <c r="BG719" i="1"/>
  <c r="BF719" i="1"/>
  <c r="BE719" i="1"/>
  <c r="BD719" i="1"/>
  <c r="BC719" i="1"/>
  <c r="BB719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BJ718" i="1"/>
  <c r="BI718" i="1"/>
  <c r="BH718" i="1"/>
  <c r="BG718" i="1"/>
  <c r="BF718" i="1"/>
  <c r="BE718" i="1"/>
  <c r="BD718" i="1"/>
  <c r="BC718" i="1"/>
  <c r="BB718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BJ717" i="1"/>
  <c r="BI717" i="1"/>
  <c r="BH717" i="1"/>
  <c r="BG717" i="1"/>
  <c r="BF717" i="1"/>
  <c r="BE717" i="1"/>
  <c r="BD717" i="1"/>
  <c r="BC717" i="1"/>
  <c r="BB717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BJ716" i="1"/>
  <c r="BI716" i="1"/>
  <c r="BH716" i="1"/>
  <c r="BG716" i="1"/>
  <c r="BF716" i="1"/>
  <c r="BE716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BJ715" i="1"/>
  <c r="BI715" i="1"/>
  <c r="BH715" i="1"/>
  <c r="BG715" i="1"/>
  <c r="BF715" i="1"/>
  <c r="BE715" i="1"/>
  <c r="BD715" i="1"/>
  <c r="BC715" i="1"/>
  <c r="BB715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BJ714" i="1"/>
  <c r="BI714" i="1"/>
  <c r="BH714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BJ713" i="1"/>
  <c r="BI713" i="1"/>
  <c r="BH713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BJ712" i="1"/>
  <c r="BI712" i="1"/>
  <c r="BH712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BJ711" i="1"/>
  <c r="BI711" i="1"/>
  <c r="BH711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BJ710" i="1"/>
  <c r="BI710" i="1"/>
  <c r="BH710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BJ709" i="1"/>
  <c r="BI709" i="1"/>
  <c r="BH709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BJ708" i="1"/>
  <c r="BI708" i="1"/>
  <c r="BH708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BJ707" i="1"/>
  <c r="BI707" i="1"/>
  <c r="BH707" i="1"/>
  <c r="BG707" i="1"/>
  <c r="BF707" i="1"/>
  <c r="BE707" i="1"/>
  <c r="BD707" i="1"/>
  <c r="BC707" i="1"/>
  <c r="BB707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BJ706" i="1"/>
  <c r="BI706" i="1"/>
  <c r="BH706" i="1"/>
  <c r="BG706" i="1"/>
  <c r="BF706" i="1"/>
  <c r="BE706" i="1"/>
  <c r="BD706" i="1"/>
  <c r="BC706" i="1"/>
  <c r="BB706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BJ705" i="1"/>
  <c r="BI705" i="1"/>
  <c r="BH705" i="1"/>
  <c r="BG705" i="1"/>
  <c r="BF705" i="1"/>
  <c r="BE705" i="1"/>
  <c r="BD705" i="1"/>
  <c r="BC705" i="1"/>
  <c r="BB705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BJ704" i="1"/>
  <c r="BI704" i="1"/>
  <c r="BH704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BJ703" i="1"/>
  <c r="BI703" i="1"/>
  <c r="BH703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BJ702" i="1"/>
  <c r="BI702" i="1"/>
  <c r="BH702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BJ701" i="1"/>
  <c r="BI701" i="1"/>
  <c r="BH701" i="1"/>
  <c r="BG701" i="1"/>
  <c r="BF701" i="1"/>
  <c r="BE701" i="1"/>
  <c r="BD701" i="1"/>
  <c r="BC701" i="1"/>
  <c r="BB701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BJ700" i="1"/>
  <c r="BI700" i="1"/>
  <c r="BH700" i="1"/>
  <c r="BG700" i="1"/>
  <c r="BF700" i="1"/>
  <c r="BE700" i="1"/>
  <c r="BD700" i="1"/>
  <c r="BC700" i="1"/>
  <c r="BB700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BJ699" i="1"/>
  <c r="BI699" i="1"/>
  <c r="BH699" i="1"/>
  <c r="BG699" i="1"/>
  <c r="BF699" i="1"/>
  <c r="BE699" i="1"/>
  <c r="BD699" i="1"/>
  <c r="BC699" i="1"/>
  <c r="BB699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BJ698" i="1"/>
  <c r="BI698" i="1"/>
  <c r="BH698" i="1"/>
  <c r="BG698" i="1"/>
  <c r="BF698" i="1"/>
  <c r="BE698" i="1"/>
  <c r="BD698" i="1"/>
  <c r="BC698" i="1"/>
  <c r="BB698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BJ697" i="1"/>
  <c r="BI697" i="1"/>
  <c r="BH697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BJ696" i="1"/>
  <c r="BI696" i="1"/>
  <c r="BH696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BJ695" i="1"/>
  <c r="BI695" i="1"/>
  <c r="BH695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BJ694" i="1"/>
  <c r="BI694" i="1"/>
  <c r="BH694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BJ693" i="1"/>
  <c r="BI693" i="1"/>
  <c r="BH693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BJ692" i="1"/>
  <c r="BI692" i="1"/>
  <c r="BH692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BJ691" i="1"/>
  <c r="BI691" i="1"/>
  <c r="BH691" i="1"/>
  <c r="BG69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BJ690" i="1"/>
  <c r="BI690" i="1"/>
  <c r="BH690" i="1"/>
  <c r="BG690" i="1"/>
  <c r="BF690" i="1"/>
  <c r="BE690" i="1"/>
  <c r="BD690" i="1"/>
  <c r="BC690" i="1"/>
  <c r="BB690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BJ689" i="1"/>
  <c r="BI689" i="1"/>
  <c r="BH689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BJ688" i="1"/>
  <c r="BI688" i="1"/>
  <c r="BH688" i="1"/>
  <c r="BG688" i="1"/>
  <c r="BF688" i="1"/>
  <c r="BE688" i="1"/>
  <c r="BD688" i="1"/>
  <c r="BC688" i="1"/>
  <c r="BB688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BJ687" i="1"/>
  <c r="BI687" i="1"/>
  <c r="BH687" i="1"/>
  <c r="BG687" i="1"/>
  <c r="BF687" i="1"/>
  <c r="BE687" i="1"/>
  <c r="BD687" i="1"/>
  <c r="BC687" i="1"/>
  <c r="BB687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BJ686" i="1"/>
  <c r="BI686" i="1"/>
  <c r="BH686" i="1"/>
  <c r="BG686" i="1"/>
  <c r="BF686" i="1"/>
  <c r="BE686" i="1"/>
  <c r="BD686" i="1"/>
  <c r="BC686" i="1"/>
  <c r="BB686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BJ685" i="1"/>
  <c r="BI685" i="1"/>
  <c r="BH685" i="1"/>
  <c r="BG685" i="1"/>
  <c r="BF685" i="1"/>
  <c r="BE685" i="1"/>
  <c r="BD685" i="1"/>
  <c r="BC685" i="1"/>
  <c r="BB685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BJ684" i="1"/>
  <c r="BI684" i="1"/>
  <c r="BH684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BJ683" i="1"/>
  <c r="BI683" i="1"/>
  <c r="BH683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BJ682" i="1"/>
  <c r="BI682" i="1"/>
  <c r="BH682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BJ681" i="1"/>
  <c r="BI681" i="1"/>
  <c r="BH681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BJ680" i="1"/>
  <c r="BI680" i="1"/>
  <c r="BH680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BJ679" i="1"/>
  <c r="BI679" i="1"/>
  <c r="BH679" i="1"/>
  <c r="BG679" i="1"/>
  <c r="BF679" i="1"/>
  <c r="BE679" i="1"/>
  <c r="BD679" i="1"/>
  <c r="BC679" i="1"/>
  <c r="BB679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BJ678" i="1"/>
  <c r="BI678" i="1"/>
  <c r="BH678" i="1"/>
  <c r="BG678" i="1"/>
  <c r="BF678" i="1"/>
  <c r="BE678" i="1"/>
  <c r="BD678" i="1"/>
  <c r="BC678" i="1"/>
  <c r="BB678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BJ677" i="1"/>
  <c r="BI677" i="1"/>
  <c r="BH677" i="1"/>
  <c r="BG677" i="1"/>
  <c r="BF677" i="1"/>
  <c r="BE677" i="1"/>
  <c r="BD677" i="1"/>
  <c r="BC677" i="1"/>
  <c r="BB677" i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BJ676" i="1"/>
  <c r="BI676" i="1"/>
  <c r="BH676" i="1"/>
  <c r="BG676" i="1"/>
  <c r="BF676" i="1"/>
  <c r="BE676" i="1"/>
  <c r="BD676" i="1"/>
  <c r="BC676" i="1"/>
  <c r="BB676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BJ675" i="1"/>
  <c r="BI675" i="1"/>
  <c r="BH675" i="1"/>
  <c r="BG675" i="1"/>
  <c r="BF675" i="1"/>
  <c r="BE675" i="1"/>
  <c r="BD675" i="1"/>
  <c r="BC675" i="1"/>
  <c r="BB675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BJ674" i="1"/>
  <c r="BI674" i="1"/>
  <c r="BH674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B721" i="1"/>
  <c r="AA721" i="1"/>
  <c r="AB720" i="1"/>
  <c r="AA720" i="1"/>
  <c r="AB719" i="1"/>
  <c r="AA719" i="1"/>
  <c r="AB718" i="1"/>
  <c r="AA718" i="1"/>
  <c r="AB717" i="1"/>
  <c r="AA717" i="1"/>
  <c r="AB716" i="1"/>
  <c r="AA716" i="1"/>
  <c r="AB715" i="1"/>
  <c r="AA715" i="1"/>
  <c r="AB714" i="1"/>
  <c r="AA714" i="1"/>
  <c r="AB713" i="1"/>
  <c r="AA713" i="1"/>
  <c r="AB712" i="1"/>
  <c r="AA712" i="1"/>
  <c r="AB711" i="1"/>
  <c r="AA711" i="1"/>
  <c r="AB710" i="1"/>
  <c r="AA710" i="1"/>
  <c r="AB709" i="1"/>
  <c r="AA709" i="1"/>
  <c r="AB708" i="1"/>
  <c r="AA708" i="1"/>
  <c r="AB707" i="1"/>
  <c r="AA707" i="1"/>
  <c r="AB706" i="1"/>
  <c r="AA706" i="1"/>
  <c r="AB705" i="1"/>
  <c r="AA705" i="1"/>
  <c r="AB704" i="1"/>
  <c r="AA704" i="1"/>
  <c r="AB703" i="1"/>
  <c r="AA703" i="1"/>
  <c r="AB702" i="1"/>
  <c r="AA702" i="1"/>
  <c r="AB701" i="1"/>
  <c r="AA701" i="1"/>
  <c r="AB700" i="1"/>
  <c r="AA700" i="1"/>
  <c r="AB699" i="1"/>
  <c r="AA699" i="1"/>
  <c r="AB698" i="1"/>
  <c r="AA698" i="1"/>
  <c r="AB697" i="1"/>
  <c r="AA697" i="1"/>
  <c r="AB696" i="1"/>
  <c r="AA696" i="1"/>
  <c r="AB695" i="1"/>
  <c r="AA695" i="1"/>
  <c r="AB694" i="1"/>
  <c r="AA694" i="1"/>
  <c r="AB693" i="1"/>
  <c r="AA693" i="1"/>
  <c r="AB692" i="1"/>
  <c r="AA692" i="1"/>
  <c r="AB691" i="1"/>
  <c r="AA691" i="1"/>
  <c r="AB690" i="1"/>
  <c r="AA690" i="1"/>
  <c r="AB689" i="1"/>
  <c r="AA689" i="1"/>
  <c r="AB688" i="1"/>
  <c r="AA688" i="1"/>
  <c r="AB687" i="1"/>
  <c r="AA687" i="1"/>
  <c r="AB686" i="1"/>
  <c r="AA686" i="1"/>
  <c r="AB685" i="1"/>
  <c r="AA685" i="1"/>
  <c r="AB684" i="1"/>
  <c r="AA684" i="1"/>
  <c r="AB683" i="1"/>
  <c r="AA683" i="1"/>
  <c r="AB682" i="1"/>
  <c r="AA682" i="1"/>
  <c r="AB681" i="1"/>
  <c r="AA681" i="1"/>
  <c r="AB680" i="1"/>
  <c r="AA680" i="1"/>
  <c r="AB679" i="1"/>
  <c r="AA679" i="1"/>
  <c r="AB678" i="1"/>
  <c r="AA678" i="1"/>
  <c r="AB677" i="1"/>
  <c r="AA677" i="1"/>
  <c r="AB676" i="1"/>
  <c r="AA676" i="1"/>
  <c r="AB675" i="1"/>
  <c r="AA675" i="1"/>
  <c r="AB674" i="1"/>
  <c r="AA674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K721" i="1"/>
  <c r="J721" i="1"/>
  <c r="I721" i="1"/>
  <c r="H721" i="1"/>
  <c r="K720" i="1"/>
  <c r="J720" i="1"/>
  <c r="I720" i="1"/>
  <c r="H720" i="1"/>
  <c r="K719" i="1"/>
  <c r="J719" i="1"/>
  <c r="I719" i="1"/>
  <c r="H719" i="1"/>
  <c r="K718" i="1"/>
  <c r="J718" i="1"/>
  <c r="I718" i="1"/>
  <c r="H718" i="1"/>
  <c r="K717" i="1"/>
  <c r="J717" i="1"/>
  <c r="I717" i="1"/>
  <c r="H717" i="1"/>
  <c r="K716" i="1"/>
  <c r="J716" i="1"/>
  <c r="I716" i="1"/>
  <c r="H716" i="1"/>
  <c r="K715" i="1"/>
  <c r="J715" i="1"/>
  <c r="I715" i="1"/>
  <c r="H715" i="1"/>
  <c r="K714" i="1"/>
  <c r="J714" i="1"/>
  <c r="I714" i="1"/>
  <c r="H714" i="1"/>
  <c r="K713" i="1"/>
  <c r="J713" i="1"/>
  <c r="I713" i="1"/>
  <c r="H713" i="1"/>
  <c r="K712" i="1"/>
  <c r="J712" i="1"/>
  <c r="I712" i="1"/>
  <c r="H712" i="1"/>
  <c r="K711" i="1"/>
  <c r="J711" i="1"/>
  <c r="I711" i="1"/>
  <c r="H711" i="1"/>
  <c r="K710" i="1"/>
  <c r="J710" i="1"/>
  <c r="I710" i="1"/>
  <c r="H710" i="1"/>
  <c r="K709" i="1"/>
  <c r="J709" i="1"/>
  <c r="I709" i="1"/>
  <c r="H709" i="1"/>
  <c r="K708" i="1"/>
  <c r="J708" i="1"/>
  <c r="I708" i="1"/>
  <c r="H708" i="1"/>
  <c r="K707" i="1"/>
  <c r="J707" i="1"/>
  <c r="I707" i="1"/>
  <c r="H707" i="1"/>
  <c r="K706" i="1"/>
  <c r="J706" i="1"/>
  <c r="I706" i="1"/>
  <c r="H706" i="1"/>
  <c r="K705" i="1"/>
  <c r="J705" i="1"/>
  <c r="I705" i="1"/>
  <c r="H705" i="1"/>
  <c r="K704" i="1"/>
  <c r="J704" i="1"/>
  <c r="I704" i="1"/>
  <c r="H704" i="1"/>
  <c r="K703" i="1"/>
  <c r="J703" i="1"/>
  <c r="I703" i="1"/>
  <c r="H703" i="1"/>
  <c r="K702" i="1"/>
  <c r="J702" i="1"/>
  <c r="I702" i="1"/>
  <c r="H702" i="1"/>
  <c r="K701" i="1"/>
  <c r="J701" i="1"/>
  <c r="I701" i="1"/>
  <c r="H701" i="1"/>
  <c r="K700" i="1"/>
  <c r="J700" i="1"/>
  <c r="I700" i="1"/>
  <c r="H700" i="1"/>
  <c r="K699" i="1"/>
  <c r="J699" i="1"/>
  <c r="I699" i="1"/>
  <c r="H699" i="1"/>
  <c r="K698" i="1"/>
  <c r="J698" i="1"/>
  <c r="I698" i="1"/>
  <c r="H698" i="1"/>
  <c r="K697" i="1"/>
  <c r="J697" i="1"/>
  <c r="I697" i="1"/>
  <c r="H697" i="1"/>
  <c r="K696" i="1"/>
  <c r="J696" i="1"/>
  <c r="I696" i="1"/>
  <c r="H696" i="1"/>
  <c r="K695" i="1"/>
  <c r="J695" i="1"/>
  <c r="I695" i="1"/>
  <c r="H695" i="1"/>
  <c r="K694" i="1"/>
  <c r="J694" i="1"/>
  <c r="I694" i="1"/>
  <c r="H694" i="1"/>
  <c r="K693" i="1"/>
  <c r="J693" i="1"/>
  <c r="I693" i="1"/>
  <c r="H693" i="1"/>
  <c r="K692" i="1"/>
  <c r="J692" i="1"/>
  <c r="I692" i="1"/>
  <c r="H692" i="1"/>
  <c r="K691" i="1"/>
  <c r="J691" i="1"/>
  <c r="I691" i="1"/>
  <c r="H691" i="1"/>
  <c r="K690" i="1"/>
  <c r="J690" i="1"/>
  <c r="I690" i="1"/>
  <c r="H690" i="1"/>
  <c r="K689" i="1"/>
  <c r="J689" i="1"/>
  <c r="I689" i="1"/>
  <c r="H689" i="1"/>
  <c r="K688" i="1"/>
  <c r="J688" i="1"/>
  <c r="I688" i="1"/>
  <c r="H688" i="1"/>
  <c r="K687" i="1"/>
  <c r="J687" i="1"/>
  <c r="I687" i="1"/>
  <c r="H687" i="1"/>
  <c r="K686" i="1"/>
  <c r="J686" i="1"/>
  <c r="I686" i="1"/>
  <c r="H686" i="1"/>
  <c r="K685" i="1"/>
  <c r="J685" i="1"/>
  <c r="I685" i="1"/>
  <c r="H685" i="1"/>
  <c r="K684" i="1"/>
  <c r="J684" i="1"/>
  <c r="I684" i="1"/>
  <c r="H684" i="1"/>
  <c r="K683" i="1"/>
  <c r="J683" i="1"/>
  <c r="I683" i="1"/>
  <c r="H683" i="1"/>
  <c r="K682" i="1"/>
  <c r="J682" i="1"/>
  <c r="I682" i="1"/>
  <c r="H682" i="1"/>
  <c r="K681" i="1"/>
  <c r="J681" i="1"/>
  <c r="I681" i="1"/>
  <c r="H681" i="1"/>
  <c r="K680" i="1"/>
  <c r="J680" i="1"/>
  <c r="I680" i="1"/>
  <c r="H680" i="1"/>
  <c r="K679" i="1"/>
  <c r="J679" i="1"/>
  <c r="I679" i="1"/>
  <c r="H679" i="1"/>
  <c r="K678" i="1"/>
  <c r="J678" i="1"/>
  <c r="I678" i="1"/>
  <c r="H678" i="1"/>
  <c r="K677" i="1"/>
  <c r="J677" i="1"/>
  <c r="I677" i="1"/>
  <c r="H677" i="1"/>
  <c r="K676" i="1"/>
  <c r="J676" i="1"/>
  <c r="I676" i="1"/>
  <c r="H676" i="1"/>
  <c r="K675" i="1"/>
  <c r="J675" i="1"/>
  <c r="I675" i="1"/>
  <c r="H675" i="1"/>
  <c r="K674" i="1"/>
  <c r="J674" i="1"/>
  <c r="I674" i="1"/>
  <c r="H674" i="1"/>
  <c r="F721" i="1" l="1"/>
  <c r="A721" i="1"/>
  <c r="F720" i="1"/>
  <c r="A720" i="1"/>
  <c r="F719" i="1"/>
  <c r="A719" i="1"/>
  <c r="F718" i="1"/>
  <c r="A718" i="1"/>
  <c r="F717" i="1"/>
  <c r="A717" i="1"/>
  <c r="F716" i="1"/>
  <c r="A716" i="1"/>
  <c r="F715" i="1"/>
  <c r="A715" i="1"/>
  <c r="F714" i="1"/>
  <c r="A714" i="1"/>
  <c r="F713" i="1"/>
  <c r="A713" i="1"/>
  <c r="F712" i="1"/>
  <c r="A712" i="1"/>
  <c r="F711" i="1"/>
  <c r="A711" i="1"/>
  <c r="F710" i="1"/>
  <c r="A710" i="1"/>
  <c r="F709" i="1"/>
  <c r="A709" i="1"/>
  <c r="F708" i="1"/>
  <c r="A708" i="1"/>
  <c r="F707" i="1"/>
  <c r="A707" i="1"/>
  <c r="F706" i="1"/>
  <c r="A706" i="1"/>
  <c r="F705" i="1"/>
  <c r="A705" i="1"/>
  <c r="F704" i="1"/>
  <c r="A704" i="1"/>
  <c r="F703" i="1"/>
  <c r="A703" i="1"/>
  <c r="F702" i="1"/>
  <c r="A702" i="1"/>
  <c r="F701" i="1"/>
  <c r="A701" i="1"/>
  <c r="F700" i="1"/>
  <c r="A700" i="1"/>
  <c r="F699" i="1"/>
  <c r="A699" i="1"/>
  <c r="F698" i="1"/>
  <c r="A698" i="1"/>
  <c r="F697" i="1"/>
  <c r="A697" i="1"/>
  <c r="F696" i="1"/>
  <c r="A696" i="1"/>
  <c r="F695" i="1"/>
  <c r="A695" i="1"/>
  <c r="F694" i="1"/>
  <c r="A694" i="1"/>
  <c r="F693" i="1"/>
  <c r="A693" i="1"/>
  <c r="F692" i="1"/>
  <c r="A692" i="1"/>
  <c r="F691" i="1"/>
  <c r="A691" i="1"/>
  <c r="F690" i="1"/>
  <c r="A690" i="1"/>
  <c r="F689" i="1"/>
  <c r="A689" i="1"/>
  <c r="F688" i="1"/>
  <c r="A688" i="1"/>
  <c r="F687" i="1"/>
  <c r="A687" i="1"/>
  <c r="F686" i="1"/>
  <c r="A686" i="1"/>
  <c r="F685" i="1"/>
  <c r="A685" i="1"/>
  <c r="F684" i="1"/>
  <c r="A684" i="1"/>
  <c r="F683" i="1"/>
  <c r="A683" i="1"/>
  <c r="F682" i="1"/>
  <c r="A682" i="1"/>
  <c r="F681" i="1"/>
  <c r="A681" i="1"/>
  <c r="F680" i="1"/>
  <c r="A680" i="1"/>
  <c r="F679" i="1"/>
  <c r="A679" i="1"/>
  <c r="F678" i="1"/>
  <c r="A678" i="1"/>
  <c r="F677" i="1"/>
  <c r="A677" i="1"/>
  <c r="F676" i="1"/>
  <c r="A676" i="1"/>
  <c r="F675" i="1"/>
  <c r="A675" i="1"/>
  <c r="F674" i="1"/>
  <c r="A674" i="1"/>
  <c r="F578" i="1" l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G482" i="1" l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G384" i="1" l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382" i="1"/>
  <c r="G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382" i="1"/>
  <c r="F383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86" i="6" l="1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BW1" i="4" l="1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BA1" i="3" l="1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AZ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C1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Omer Kaspi</author>
  </authors>
  <commentList>
    <comment ref="T10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Omer Kaspi:</t>
        </r>
        <r>
          <rPr>
            <sz val="9"/>
            <color indexed="81"/>
            <rFont val="Tahoma"/>
            <family val="2"/>
          </rPr>
          <t xml:space="preserve">
was 19.4</t>
        </r>
      </text>
    </comment>
    <comment ref="L16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Omer Kaspi:</t>
        </r>
        <r>
          <rPr>
            <sz val="9"/>
            <color indexed="81"/>
            <rFont val="Tahoma"/>
            <family val="2"/>
          </rPr>
          <t xml:space="preserve">
Averaged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Omer Kaspi</author>
  </authors>
  <commentList>
    <comment ref="AO1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Omer Kaspi:</t>
        </r>
        <r>
          <rPr>
            <sz val="9"/>
            <color indexed="81"/>
            <rFont val="Tahoma"/>
            <family val="2"/>
          </rPr>
          <t xml:space="preserve">
was 19.4</t>
        </r>
      </text>
    </comment>
    <comment ref="AG6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Omer Kaspi:</t>
        </r>
        <r>
          <rPr>
            <sz val="9"/>
            <color indexed="81"/>
            <rFont val="Tahoma"/>
            <family val="2"/>
          </rPr>
          <t xml:space="preserve">
Averaged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Omer Kaspi</author>
  </authors>
  <commentList>
    <comment ref="AO1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Omer Kaspi:</t>
        </r>
        <r>
          <rPr>
            <sz val="9"/>
            <color indexed="81"/>
            <rFont val="Tahoma"/>
            <family val="2"/>
          </rPr>
          <t xml:space="preserve">
was 19.4</t>
        </r>
      </text>
    </comment>
    <comment ref="AG6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Omer Kaspi:</t>
        </r>
        <r>
          <rPr>
            <sz val="9"/>
            <color indexed="81"/>
            <rFont val="Tahoma"/>
            <family val="2"/>
          </rPr>
          <t xml:space="preserve">
Averaged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lass_180321_peaks" type="6" refreshedVersion="6" background="1" saveData="1">
    <textPr codePage="1251" sourceFile="C:\Users\kaspiom\OneDrive - Bar Ilan University\Projects\Police\Glass\Data\HELSINKI\Original\VS__Progress_report_on_unification_of_databases\glass_180321_peaks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<sst xmlns="http://schemas.openxmlformats.org/spreadsheetml/2006/main" count="3383" uniqueCount="409">
  <si>
    <t>model</t>
  </si>
  <si>
    <t>Source</t>
  </si>
  <si>
    <t>type</t>
  </si>
  <si>
    <t>file</t>
  </si>
  <si>
    <t>plate number</t>
  </si>
  <si>
    <t>side</t>
  </si>
  <si>
    <t>NaK</t>
  </si>
  <si>
    <t>MgK</t>
  </si>
  <si>
    <t>AlK</t>
  </si>
  <si>
    <t>SiK</t>
  </si>
  <si>
    <t>S K</t>
  </si>
  <si>
    <t>ClK</t>
  </si>
  <si>
    <t>K KA</t>
  </si>
  <si>
    <t>K KB</t>
  </si>
  <si>
    <t>CaKA</t>
  </si>
  <si>
    <t>CaKB</t>
  </si>
  <si>
    <t>TiK</t>
  </si>
  <si>
    <t>CrK</t>
  </si>
  <si>
    <t>MnK</t>
  </si>
  <si>
    <t>FeK</t>
  </si>
  <si>
    <t>CoKA</t>
  </si>
  <si>
    <t>CuKA</t>
  </si>
  <si>
    <t>CuKB</t>
  </si>
  <si>
    <t>ZnKA</t>
  </si>
  <si>
    <t>ZnKB</t>
  </si>
  <si>
    <t>SrK</t>
  </si>
  <si>
    <t>SnL1</t>
  </si>
  <si>
    <t>SnL2</t>
  </si>
  <si>
    <t>SnL3</t>
  </si>
  <si>
    <t>BINA</t>
  </si>
  <si>
    <t>rack</t>
  </si>
  <si>
    <t>01R6-SUM-12uC.PIX</t>
  </si>
  <si>
    <t>front</t>
  </si>
  <si>
    <t>02R6-SUM-12uC.PIX</t>
  </si>
  <si>
    <t>back</t>
  </si>
  <si>
    <t>03R6-SUM-12uC.PIX</t>
  </si>
  <si>
    <t>04R6-SUM-12uC.PIX</t>
  </si>
  <si>
    <t>05R6-SUM-12uC.PIX</t>
  </si>
  <si>
    <t>06R6-SUM-12uC.PIX</t>
  </si>
  <si>
    <t>07R6-SUM-12uC.PIX</t>
  </si>
  <si>
    <t>08R6-SUM-12uC.PIX</t>
  </si>
  <si>
    <t>09R6-SUM-12uC.PIX</t>
  </si>
  <si>
    <t>10R6-SUM-12uC.PIX</t>
  </si>
  <si>
    <t>11R6-SUM-12uC.PIX</t>
  </si>
  <si>
    <t>12R6-SUM-12uC.PIX</t>
  </si>
  <si>
    <t>14R6-SUM-12uC.PIX</t>
  </si>
  <si>
    <t>15R6-SUM-12uC.PIX</t>
  </si>
  <si>
    <t>16R6-SUM-12uC.PIX</t>
  </si>
  <si>
    <t>17R6-SUM-12uC.PIX</t>
  </si>
  <si>
    <t>18R6-SUM-12uC.PIX</t>
  </si>
  <si>
    <t>20R6-SUM-12uC.PIX</t>
  </si>
  <si>
    <t>21R6-SUM-12uC.PIX</t>
  </si>
  <si>
    <t>back triangle</t>
  </si>
  <si>
    <t>22R6-SUM-12uC.PIX</t>
  </si>
  <si>
    <t>23R6-SUM-12uC.PIX</t>
  </si>
  <si>
    <t>24R6-SUM-12uC.PIX</t>
  </si>
  <si>
    <t>25R6-SUM-12uC.PIX</t>
  </si>
  <si>
    <t>26R6-SUM-12uC.PIX</t>
  </si>
  <si>
    <t>27R6-SUM-12uC.PIX</t>
  </si>
  <si>
    <t>28R6-SUM-12uC.PIX</t>
  </si>
  <si>
    <t>29R6-SUM-12uC.PIX</t>
  </si>
  <si>
    <t>30R6-SUM-12uC.PIX</t>
  </si>
  <si>
    <t>31R6-SUM-12uC.PIX</t>
  </si>
  <si>
    <t>32R6-SUM-12uC.PIX</t>
  </si>
  <si>
    <t>33R6-SUM-12uC.PIX</t>
  </si>
  <si>
    <t>34R6-SUM-12uC.PIX</t>
  </si>
  <si>
    <t>35R6-SUM-12uC.PIX</t>
  </si>
  <si>
    <t>36R6-SUM-12uC.PIX</t>
  </si>
  <si>
    <t>37R6-SUM-12uC.PIX</t>
  </si>
  <si>
    <t>38R6-SUM-12uC.PIX</t>
  </si>
  <si>
    <t>39R6-SUM-12uC.PIX</t>
  </si>
  <si>
    <t>40R6-SUM-12uC.PIX</t>
  </si>
  <si>
    <t>41R6-SUM-12uC.PIX</t>
  </si>
  <si>
    <t>42R6-SUM-12uC.PIX</t>
  </si>
  <si>
    <t>43R6-SUM-12uC.PIX</t>
  </si>
  <si>
    <t>44R6-SUM-12uC.PIX</t>
  </si>
  <si>
    <t>45R6-SUM-12uC.PIX</t>
  </si>
  <si>
    <t>surface</t>
  </si>
  <si>
    <t>01S6-SUM-12uC.PIX</t>
  </si>
  <si>
    <t>02S6-SUM-12uC.PIX</t>
  </si>
  <si>
    <t>02S7-SUM-12uC.PIX</t>
  </si>
  <si>
    <t>03S6-SUM-12uC.PIX</t>
  </si>
  <si>
    <t>03S7-SUM-12uC.PIX</t>
  </si>
  <si>
    <t>04S6-SUM-12uC.PIX</t>
  </si>
  <si>
    <t>05S6-SUM-12uC.PIX</t>
  </si>
  <si>
    <t>05S7-SUM-12uC.PIX</t>
  </si>
  <si>
    <t>06S6-SUM-12uC.PIX</t>
  </si>
  <si>
    <t>06S7-SUM-12uC.PIX</t>
  </si>
  <si>
    <t>08S6-SUM-12uC.PIX</t>
  </si>
  <si>
    <t>08S7-SUM-12uC.PIX</t>
  </si>
  <si>
    <t>09S6-SUM-12uC.PIX</t>
  </si>
  <si>
    <t>10S6-SUM-12uC.PIX</t>
  </si>
  <si>
    <t>11S6-SUM-12uC.PIX</t>
  </si>
  <si>
    <t>12S6-SUM-12uC.PIX</t>
  </si>
  <si>
    <t>12S7-SUM-12uC.PIX</t>
  </si>
  <si>
    <t>14S6-SUM-12uC.PIX</t>
  </si>
  <si>
    <t>15S6-SUM-12uC.PIX</t>
  </si>
  <si>
    <t>16S6-SUM-12uC.PIX</t>
  </si>
  <si>
    <t>17S6-SUM-12uC.PIX</t>
  </si>
  <si>
    <t>18S6-SUM-12uC.PIX</t>
  </si>
  <si>
    <t>19S6-SUM-12uC.PIX</t>
  </si>
  <si>
    <t>20S6-SUM-12uC.PIX</t>
  </si>
  <si>
    <t>21S6-SUM-12uC.PIX</t>
  </si>
  <si>
    <t>22S6-SUM-12uC.PIX</t>
  </si>
  <si>
    <t>23S6-SUM-12uC.PIX</t>
  </si>
  <si>
    <t>24S6-SUM-12uC.PIX</t>
  </si>
  <si>
    <t>25S6-SUM-12uC.PIX</t>
  </si>
  <si>
    <t>25S7-SUM-12uC.PIX</t>
  </si>
  <si>
    <t>26S6-SUM-12uC.PIX</t>
  </si>
  <si>
    <t>27S6-SUM-12uC.PIX</t>
  </si>
  <si>
    <t>28S6-SUM-12uC.PIX</t>
  </si>
  <si>
    <t>28S7-SUM-12uC.PIX</t>
  </si>
  <si>
    <t>29S6-SUM-12uC.PIX</t>
  </si>
  <si>
    <t>30S6-SUM-12uC.PIX</t>
  </si>
  <si>
    <t>31S6-SUM-12uC.PIX</t>
  </si>
  <si>
    <t>32S6-SUM-12uC.PIX</t>
  </si>
  <si>
    <t>33S6-SUM-12uC.PIX</t>
  </si>
  <si>
    <t>34S6-SUM-12uC.PIX</t>
  </si>
  <si>
    <t>35S6-SUM-12uC.PIX</t>
  </si>
  <si>
    <t>36S6-SUM-12uC.PIX</t>
  </si>
  <si>
    <t>37S6-SUM-12uC.PIX</t>
  </si>
  <si>
    <t>39S6-SUM-12uC.PIX</t>
  </si>
  <si>
    <t>40S6-SUM-12uC.PIX</t>
  </si>
  <si>
    <t>41S6-SUM-12uC.PIX</t>
  </si>
  <si>
    <t>42S6-SUM-12uC.PIX</t>
  </si>
  <si>
    <t>43S6-SUM-12uC.PIX</t>
  </si>
  <si>
    <t>44S6-SUM-12uC.PIX</t>
  </si>
  <si>
    <t>sample_id</t>
  </si>
  <si>
    <t>A2011182</t>
  </si>
  <si>
    <t>A2011183</t>
  </si>
  <si>
    <t>A2011168</t>
  </si>
  <si>
    <t>A2011169</t>
  </si>
  <si>
    <t>A2011170</t>
  </si>
  <si>
    <t>A2011171</t>
  </si>
  <si>
    <t>A2011172</t>
  </si>
  <si>
    <t>A2011173</t>
  </si>
  <si>
    <t>A2011174</t>
  </si>
  <si>
    <t>A2011178</t>
  </si>
  <si>
    <t>A2011177</t>
  </si>
  <si>
    <t>A2011179</t>
  </si>
  <si>
    <t>A2011180</t>
  </si>
  <si>
    <t>A2011184</t>
  </si>
  <si>
    <t>A2011200</t>
  </si>
  <si>
    <t>A2011185</t>
  </si>
  <si>
    <t>A2011199</t>
  </si>
  <si>
    <t>A2011198</t>
  </si>
  <si>
    <t>A2011197</t>
  </si>
  <si>
    <t>A2011196</t>
  </si>
  <si>
    <t>A2011195</t>
  </si>
  <si>
    <t>A2011194</t>
  </si>
  <si>
    <t>A2011193</t>
  </si>
  <si>
    <t>A2011192</t>
  </si>
  <si>
    <t>A2011190</t>
  </si>
  <si>
    <t>A2011191</t>
  </si>
  <si>
    <t>A2011204</t>
  </si>
  <si>
    <t>A2011205</t>
  </si>
  <si>
    <t>A2011206</t>
  </si>
  <si>
    <t>A2011207</t>
  </si>
  <si>
    <t>A2011208</t>
  </si>
  <si>
    <t>A2011209</t>
  </si>
  <si>
    <t>A2011210</t>
  </si>
  <si>
    <t>A2011211</t>
  </si>
  <si>
    <t>A2011212</t>
  </si>
  <si>
    <t>A2011213</t>
  </si>
  <si>
    <t>A2011214</t>
  </si>
  <si>
    <t>A2011215</t>
  </si>
  <si>
    <t>A2011216</t>
  </si>
  <si>
    <t>A2011217</t>
  </si>
  <si>
    <t>A2011218</t>
  </si>
  <si>
    <t>A2011219</t>
  </si>
  <si>
    <t>A2011230</t>
  </si>
  <si>
    <t>A2011222</t>
  </si>
  <si>
    <t>A2011223</t>
  </si>
  <si>
    <t>A2011224</t>
  </si>
  <si>
    <t>A2011225</t>
  </si>
  <si>
    <t>A2011226</t>
  </si>
  <si>
    <t>A2009002</t>
  </si>
  <si>
    <t>A2009003</t>
  </si>
  <si>
    <t>A2009004</t>
  </si>
  <si>
    <t>A2009005</t>
  </si>
  <si>
    <t>A2009006</t>
  </si>
  <si>
    <t>A2009007</t>
  </si>
  <si>
    <t>A2009008</t>
  </si>
  <si>
    <t>A2009009</t>
  </si>
  <si>
    <t>A2009010</t>
  </si>
  <si>
    <t>A2009011</t>
  </si>
  <si>
    <t>A2009012</t>
  </si>
  <si>
    <t>A2009013</t>
  </si>
  <si>
    <t>A2009014</t>
  </si>
  <si>
    <t>A2009015</t>
  </si>
  <si>
    <t>A2009016</t>
  </si>
  <si>
    <t>A2010009</t>
  </si>
  <si>
    <t>A2010010</t>
  </si>
  <si>
    <t>A2010011</t>
  </si>
  <si>
    <t>A2010012</t>
  </si>
  <si>
    <t>A2010013</t>
  </si>
  <si>
    <t>A2010014</t>
  </si>
  <si>
    <t>A2010015</t>
  </si>
  <si>
    <t>A2010016</t>
  </si>
  <si>
    <t>A2010017</t>
  </si>
  <si>
    <t>A2010020</t>
  </si>
  <si>
    <t>A2010021</t>
  </si>
  <si>
    <t>A2010022</t>
  </si>
  <si>
    <t>A2010023</t>
  </si>
  <si>
    <t>A2010024</t>
  </si>
  <si>
    <t>A2010025</t>
  </si>
  <si>
    <t>A2010026</t>
  </si>
  <si>
    <t>A2010027</t>
  </si>
  <si>
    <t>A2010028</t>
  </si>
  <si>
    <t>A2010029</t>
  </si>
  <si>
    <t>A2010030</t>
  </si>
  <si>
    <t>A2010031</t>
  </si>
  <si>
    <t>A2010032</t>
  </si>
  <si>
    <t>A2010033</t>
  </si>
  <si>
    <t>A2010034</t>
  </si>
  <si>
    <t>A2010036</t>
  </si>
  <si>
    <t>A2010037</t>
  </si>
  <si>
    <t>A2010038</t>
  </si>
  <si>
    <t>A2010039</t>
  </si>
  <si>
    <t>A2010040</t>
  </si>
  <si>
    <t>A2010041</t>
  </si>
  <si>
    <t>A2010042</t>
  </si>
  <si>
    <t>A2010043</t>
  </si>
  <si>
    <t>A2010044</t>
  </si>
  <si>
    <t>Mazda</t>
  </si>
  <si>
    <t>Hyundai</t>
  </si>
  <si>
    <t>Honda</t>
  </si>
  <si>
    <t>Ford</t>
  </si>
  <si>
    <t>Daewoo</t>
  </si>
  <si>
    <t>Fiat</t>
  </si>
  <si>
    <t>Mitsubishi</t>
  </si>
  <si>
    <t>Subaru</t>
  </si>
  <si>
    <t>Renault</t>
  </si>
  <si>
    <t>IRB</t>
  </si>
  <si>
    <t>Peugeot</t>
  </si>
  <si>
    <t>L.N.</t>
  </si>
  <si>
    <t>#</t>
  </si>
  <si>
    <t>manufacture</t>
  </si>
  <si>
    <t>right/left</t>
  </si>
  <si>
    <t>back/front</t>
  </si>
  <si>
    <t>notes</t>
  </si>
  <si>
    <t>lantis</t>
  </si>
  <si>
    <t>left</t>
  </si>
  <si>
    <t>right</t>
  </si>
  <si>
    <t>possibly not original</t>
  </si>
  <si>
    <t>accent</t>
  </si>
  <si>
    <t>civic</t>
  </si>
  <si>
    <t>focus</t>
  </si>
  <si>
    <t>lanos</t>
  </si>
  <si>
    <t>elantra</t>
  </si>
  <si>
    <t>punto</t>
  </si>
  <si>
    <t xml:space="preserve">left </t>
  </si>
  <si>
    <t>pajero</t>
  </si>
  <si>
    <t>impreza</t>
  </si>
  <si>
    <t>clio</t>
  </si>
  <si>
    <t>n1BL</t>
  </si>
  <si>
    <t>n2FL</t>
  </si>
  <si>
    <t>n3FL</t>
  </si>
  <si>
    <t>n4FL</t>
  </si>
  <si>
    <t>n5FL</t>
  </si>
  <si>
    <t>n6FL</t>
  </si>
  <si>
    <t>n7BL</t>
  </si>
  <si>
    <t>n8BL</t>
  </si>
  <si>
    <t>n9FL</t>
  </si>
  <si>
    <t>n10FL</t>
  </si>
  <si>
    <t>n11BL</t>
  </si>
  <si>
    <t>n12BL</t>
  </si>
  <si>
    <t>n13FL</t>
  </si>
  <si>
    <t>n14FL</t>
  </si>
  <si>
    <t>n15BL</t>
  </si>
  <si>
    <t>n16BL</t>
  </si>
  <si>
    <t>n17BL</t>
  </si>
  <si>
    <t>n18BL</t>
  </si>
  <si>
    <t>n19BL</t>
  </si>
  <si>
    <t>n20BL</t>
  </si>
  <si>
    <t>n21FL</t>
  </si>
  <si>
    <t>n22BL</t>
  </si>
  <si>
    <t>n23FL</t>
  </si>
  <si>
    <t>n24BL</t>
  </si>
  <si>
    <t>n25FL</t>
  </si>
  <si>
    <t>n26BL</t>
  </si>
  <si>
    <t>n27BL</t>
  </si>
  <si>
    <t>n28BL</t>
  </si>
  <si>
    <t>n29FL</t>
  </si>
  <si>
    <t>n30FL</t>
  </si>
  <si>
    <t>n31BL</t>
  </si>
  <si>
    <t>n32FL</t>
  </si>
  <si>
    <t>n33FL</t>
  </si>
  <si>
    <t>n34BL</t>
  </si>
  <si>
    <t>n35BL</t>
  </si>
  <si>
    <t>n36FL</t>
  </si>
  <si>
    <t>n37FL</t>
  </si>
  <si>
    <t>n38BL</t>
  </si>
  <si>
    <t>n39BL</t>
  </si>
  <si>
    <t>n40BL</t>
  </si>
  <si>
    <t>n41BL</t>
  </si>
  <si>
    <t>n42FL</t>
  </si>
  <si>
    <t>n43FL</t>
  </si>
  <si>
    <t>n44FL</t>
  </si>
  <si>
    <t>n45BL</t>
  </si>
  <si>
    <t>n46BL</t>
  </si>
  <si>
    <t>n47BL</t>
  </si>
  <si>
    <t>n48BL</t>
  </si>
  <si>
    <t>n1FL</t>
  </si>
  <si>
    <t>n2BL</t>
  </si>
  <si>
    <t>n3BL</t>
  </si>
  <si>
    <t>n4BL</t>
  </si>
  <si>
    <t>n5BL</t>
  </si>
  <si>
    <t>n6BL</t>
  </si>
  <si>
    <t>n7FL</t>
  </si>
  <si>
    <t>n8FL</t>
  </si>
  <si>
    <t>n9BL</t>
  </si>
  <si>
    <t>n10BL</t>
  </si>
  <si>
    <t>n11FL</t>
  </si>
  <si>
    <t>n12FL</t>
  </si>
  <si>
    <t>n13BL</t>
  </si>
  <si>
    <t>n14BL</t>
  </si>
  <si>
    <t>n15FL</t>
  </si>
  <si>
    <t>n16FL</t>
  </si>
  <si>
    <t>n17FL</t>
  </si>
  <si>
    <t>n18FL</t>
  </si>
  <si>
    <t>n19FL</t>
  </si>
  <si>
    <t>n20FL</t>
  </si>
  <si>
    <t>n21BL</t>
  </si>
  <si>
    <t>n22FL</t>
  </si>
  <si>
    <t>n23BL</t>
  </si>
  <si>
    <t>n24FL</t>
  </si>
  <si>
    <t>n25BL</t>
  </si>
  <si>
    <t>n26FL</t>
  </si>
  <si>
    <t>n27FL</t>
  </si>
  <si>
    <t>n28FL</t>
  </si>
  <si>
    <t>n29BL</t>
  </si>
  <si>
    <t>n30BL</t>
  </si>
  <si>
    <t>n31FL</t>
  </si>
  <si>
    <t>n32BL</t>
  </si>
  <si>
    <t>n33BL</t>
  </si>
  <si>
    <t>n34FL</t>
  </si>
  <si>
    <t>n35FL</t>
  </si>
  <si>
    <t>n36BL</t>
  </si>
  <si>
    <t>n37BL</t>
  </si>
  <si>
    <t>n38FL</t>
  </si>
  <si>
    <t>n39FL</t>
  </si>
  <si>
    <t>n40FL</t>
  </si>
  <si>
    <t>n41FL</t>
  </si>
  <si>
    <t>n42BL</t>
  </si>
  <si>
    <t>n43BL</t>
  </si>
  <si>
    <t>n44BL</t>
  </si>
  <si>
    <t>n45FL</t>
  </si>
  <si>
    <t>n46FL</t>
  </si>
  <si>
    <t>n47FL</t>
  </si>
  <si>
    <t>n48FL</t>
  </si>
  <si>
    <t>unknown</t>
  </si>
  <si>
    <t>Ar</t>
  </si>
  <si>
    <t>bag</t>
  </si>
  <si>
    <t>beach</t>
  </si>
  <si>
    <t>suspect</t>
  </si>
  <si>
    <t>scence</t>
  </si>
  <si>
    <t>13R6-SUM-20uC.PIX</t>
  </si>
  <si>
    <t>19R6-SUM-24uC.PIX</t>
  </si>
  <si>
    <t>07S6-SUM-12uC.PIX</t>
  </si>
  <si>
    <t>13S6-SUM-20uC.PIX</t>
  </si>
  <si>
    <t>13S7-SUM-20uC.PIX</t>
  </si>
  <si>
    <t>21S7-SUM-20uC.PIX</t>
  </si>
  <si>
    <t>38S6-SUM-12uC.PIX</t>
  </si>
  <si>
    <t>45-SUM-24uC.PIX</t>
  </si>
  <si>
    <t>BINA_H_const</t>
  </si>
  <si>
    <t>HU_1</t>
  </si>
  <si>
    <t>HU_2</t>
  </si>
  <si>
    <t>HU_3</t>
  </si>
  <si>
    <t>S1</t>
  </si>
  <si>
    <t>S2</t>
  </si>
  <si>
    <t>S3</t>
  </si>
  <si>
    <t>SEM</t>
  </si>
  <si>
    <t>DEB</t>
  </si>
  <si>
    <t>Ba</t>
  </si>
  <si>
    <t>Zr</t>
  </si>
  <si>
    <t>Ce</t>
  </si>
  <si>
    <t>Rb</t>
  </si>
  <si>
    <t>Ga</t>
  </si>
  <si>
    <t>B</t>
  </si>
  <si>
    <t>La</t>
  </si>
  <si>
    <t>Nd</t>
  </si>
  <si>
    <t>Y</t>
  </si>
  <si>
    <t>Pb</t>
  </si>
  <si>
    <t>Th</t>
  </si>
  <si>
    <t>Hf</t>
  </si>
  <si>
    <t>Pr</t>
  </si>
  <si>
    <t>As</t>
  </si>
  <si>
    <t>Ge</t>
  </si>
  <si>
    <t>U</t>
  </si>
  <si>
    <t>Nb</t>
  </si>
  <si>
    <t>Sm</t>
  </si>
  <si>
    <t>Gd</t>
  </si>
  <si>
    <t>Dy</t>
  </si>
  <si>
    <t>Yb</t>
  </si>
  <si>
    <t>Er</t>
  </si>
  <si>
    <t>Cs</t>
  </si>
  <si>
    <t>Sb</t>
  </si>
  <si>
    <t>Ho</t>
  </si>
  <si>
    <t>Eu</t>
  </si>
  <si>
    <t>Tb</t>
  </si>
  <si>
    <t>In</t>
  </si>
  <si>
    <t>Lu</t>
  </si>
  <si>
    <t>Tm</t>
  </si>
  <si>
    <t>Bi</t>
  </si>
  <si>
    <t>BARC</t>
  </si>
  <si>
    <t>Sc</t>
  </si>
  <si>
    <t>Ta</t>
  </si>
  <si>
    <t>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</si>
</sst>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charset val="238"/>
      <scheme val="minor"/>
    </font>
    <font>
      <sz val="11"/>
      <color theme="1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i/>
      <u/>
      <sz val="10"/>
      <color rgb="FF000000"/>
      <name val="Liberation Sans"/>
      <charset val="1"/>
    </font>
    <font>
      <sz val="10"/>
      <color theme="1"/>
      <name val="Arial"/>
      <family val="2"/>
    </font>
    <font>
      <sz val="11"/>
      <color rgb="FFC00000"/>
      <name val="Calibri"/>
      <family val="2"/>
      <scheme val="minor"/>
    </font>
    <font>
      <b/>
      <sz val="10"/>
      <color rgb="FF0070C0"/>
      <name val="Arial"/>
      <family val="2"/>
      <charset val="238"/>
    </font>
    <font>
      <sz val="12"/>
      <color theme="1"/>
      <name val="Times New Roman"/>
      <family val="1"/>
    </font>
    <font>
      <sz val="8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064A2"/>
        <bgColor rgb="FF8064A2"/>
      </patternFill>
    </fill>
    <fill>
      <patternFill patternType="solid">
        <fgColor rgb="FF9BBB59"/>
        <bgColor rgb="FF9BBB59"/>
      </patternFill>
    </fill>
    <fill>
      <patternFill patternType="solid">
        <fgColor rgb="FF00B050"/>
        <bgColor rgb="FF00B050"/>
      </patternFill>
    </fill>
    <fill>
      <patternFill patternType="solid">
        <fgColor rgb="FF8DB3E2"/>
        <bgColor rgb="FF8DB3E2"/>
      </patternFill>
    </fill>
    <fill>
      <patternFill patternType="solid">
        <fgColor rgb="FFC4BD97"/>
        <bgColor rgb="FFC4BD97"/>
      </patternFill>
    </fill>
    <fill>
      <patternFill patternType="solid">
        <fgColor rgb="FF938953"/>
        <bgColor rgb="FF938953"/>
      </patternFill>
    </fill>
    <fill>
      <patternFill patternType="solid">
        <fgColor rgb="FFFFFF00"/>
        <bgColor rgb="FFFFFF00"/>
      </patternFill>
    </fill>
    <fill>
      <patternFill patternType="solid">
        <fgColor rgb="FF366092"/>
        <bgColor rgb="FF366092"/>
      </patternFill>
    </fill>
    <fill>
      <patternFill patternType="solid">
        <fgColor rgb="FF76923C"/>
        <bgColor rgb="FF76923C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0">
    <xf numFmtId="0" fontId="0" fillId="0" borderId="0"/>
    <xf numFmtId="0" fontId="7" fillId="0" borderId="0"/>
    <xf numFmtId="0" fontId="15" fillId="0" borderId="0"/>
    <xf numFmtId="0" fontId="16" fillId="0" borderId="0"/>
    <xf numFmtId="0" fontId="13" fillId="23" borderId="0"/>
    <xf numFmtId="0" fontId="10" fillId="21" borderId="0"/>
    <xf numFmtId="0" fontId="18" fillId="24" borderId="0"/>
    <xf numFmtId="0" fontId="19" fillId="24" borderId="2"/>
    <xf numFmtId="0" fontId="8" fillId="0" borderId="0"/>
    <xf numFmtId="0" fontId="9" fillId="18" borderId="0"/>
    <xf numFmtId="0" fontId="9" fillId="19" borderId="0"/>
    <xf numFmtId="0" fontId="8" fillId="20" borderId="0"/>
    <xf numFmtId="0" fontId="11" fillId="22" borderId="0"/>
    <xf numFmtId="0" fontId="12" fillId="0" borderId="0"/>
    <xf numFmtId="0" fontId="14" fillId="0" borderId="0"/>
    <xf numFmtId="0" fontId="17" fillId="0" borderId="0"/>
    <xf numFmtId="0" fontId="20" fillId="0" borderId="0"/>
    <xf numFmtId="0" fontId="7" fillId="0" borderId="0"/>
    <xf numFmtId="0" fontId="7" fillId="0" borderId="0"/>
    <xf numFmtId="0" fontId="10" fillId="0" borderId="0"/>
  </cellStyleXfs>
  <cellXfs count="51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1" fontId="0" fillId="3" borderId="0" xfId="0" applyNumberFormat="1" applyFill="1"/>
    <xf numFmtId="164" fontId="0" fillId="0" borderId="0" xfId="0" applyNumberFormat="1"/>
    <xf numFmtId="1" fontId="0" fillId="4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0" borderId="1" xfId="0" applyNumberFormat="1" applyBorder="1"/>
    <xf numFmtId="0" fontId="3" fillId="0" borderId="0" xfId="0" applyFont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0" borderId="0" xfId="0" applyFont="1" applyAlignment="1"/>
    <xf numFmtId="0" fontId="4" fillId="6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4" fillId="15" borderId="0" xfId="0" applyFont="1" applyFill="1" applyBorder="1" applyAlignment="1">
      <alignment horizontal="center"/>
    </xf>
    <xf numFmtId="0" fontId="4" fillId="16" borderId="0" xfId="0" applyFont="1" applyFill="1" applyBorder="1" applyAlignment="1">
      <alignment horizontal="center"/>
    </xf>
    <xf numFmtId="0" fontId="4" fillId="17" borderId="0" xfId="0" applyFont="1" applyFill="1" applyBorder="1" applyAlignment="1">
      <alignment horizontal="center"/>
    </xf>
    <xf numFmtId="0" fontId="5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2" fontId="0" fillId="0" borderId="0" xfId="0" applyNumberFormat="1"/>
    <xf numFmtId="0" fontId="0" fillId="0" borderId="0" xfId="0" applyNumberFormat="1"/>
    <xf numFmtId="0" fontId="6" fillId="0" borderId="1" xfId="0" applyFont="1" applyBorder="1" applyAlignment="1">
      <alignment horizontal="center"/>
    </xf>
    <xf numFmtId="0" fontId="0" fillId="0" borderId="0" xfId="0" applyFont="1"/>
    <xf numFmtId="165" fontId="0" fillId="0" borderId="0" xfId="0" applyNumberFormat="1"/>
    <xf numFmtId="11" fontId="0" fillId="0" borderId="0" xfId="0" applyNumberFormat="1"/>
    <xf numFmtId="0" fontId="7" fillId="0" borderId="0" xfId="1"/>
    <xf numFmtId="0" fontId="21" fillId="0" borderId="0" xfId="1" applyFont="1"/>
    <xf numFmtId="165" fontId="21" fillId="0" borderId="0" xfId="1" applyNumberFormat="1" applyFont="1"/>
    <xf numFmtId="164" fontId="7" fillId="0" borderId="0" xfId="1" applyNumberFormat="1"/>
    <xf numFmtId="165" fontId="21" fillId="0" borderId="0" xfId="1" applyNumberFormat="1" applyFont="1" applyFill="1"/>
    <xf numFmtId="1" fontId="22" fillId="0" borderId="0" xfId="0" applyNumberFormat="1" applyFont="1"/>
    <xf numFmtId="164" fontId="22" fillId="0" borderId="0" xfId="0" applyNumberFormat="1" applyFont="1"/>
    <xf numFmtId="0" fontId="23" fillId="0" borderId="0" xfId="0" applyFont="1" applyFill="1" applyAlignment="1">
      <alignment horizontal="center"/>
    </xf>
    <xf numFmtId="165" fontId="23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2" fontId="0" fillId="0" borderId="0" xfId="0" applyNumberFormat="1" applyFill="1"/>
    <xf numFmtId="2" fontId="24" fillId="25" borderId="3" xfId="0" applyNumberFormat="1" applyFont="1" applyFill="1" applyBorder="1" applyAlignment="1">
      <alignment horizontal="center" wrapText="1"/>
    </xf>
    <xf numFmtId="2" fontId="25" fillId="0" borderId="4" xfId="0" applyNumberFormat="1" applyFont="1" applyBorder="1" applyAlignment="1">
      <alignment horizontal="center" vertical="center" wrapText="1"/>
    </xf>
    <xf numFmtId="2" fontId="25" fillId="0" borderId="5" xfId="0" applyNumberFormat="1" applyFont="1" applyBorder="1" applyAlignment="1">
      <alignment horizontal="center" vertical="center" wrapText="1"/>
    </xf>
  </cellXfs>
  <cellStyles count="20">
    <cellStyle name="Accent" xfId="8" xr:uid="{00000000-0005-0000-0000-000000000000}"/>
    <cellStyle name="Accent 1" xfId="9" xr:uid="{00000000-0005-0000-0000-000001000000}"/>
    <cellStyle name="Accent 2" xfId="10" xr:uid="{00000000-0005-0000-0000-000002000000}"/>
    <cellStyle name="Accent 3" xfId="11" xr:uid="{00000000-0005-0000-0000-000003000000}"/>
    <cellStyle name="Bad 2" xfId="5" xr:uid="{00000000-0005-0000-0000-000004000000}"/>
    <cellStyle name="Error" xfId="12" xr:uid="{00000000-0005-0000-0000-000005000000}"/>
    <cellStyle name="Footnote" xfId="13" xr:uid="{00000000-0005-0000-0000-000006000000}"/>
    <cellStyle name="Good 2" xfId="4" xr:uid="{00000000-0005-0000-0000-000007000000}"/>
    <cellStyle name="Heading (user)" xfId="14" xr:uid="{00000000-0005-0000-0000-000008000000}"/>
    <cellStyle name="Heading 1 2" xfId="2" xr:uid="{00000000-0005-0000-0000-000009000000}"/>
    <cellStyle name="Heading 2 2" xfId="3" xr:uid="{00000000-0005-0000-0000-00000A000000}"/>
    <cellStyle name="Hyperlink" xfId="15" xr:uid="{00000000-0005-0000-0000-00000B000000}"/>
    <cellStyle name="Neutral 2" xfId="6" xr:uid="{00000000-0005-0000-0000-00000C000000}"/>
    <cellStyle name="Normal" xfId="0" builtinId="0"/>
    <cellStyle name="Normal 2" xfId="1" xr:uid="{00000000-0005-0000-0000-00000E000000}"/>
    <cellStyle name="Note 2" xfId="7" xr:uid="{00000000-0005-0000-0000-00000F000000}"/>
    <cellStyle name="Result (user)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lass_180321_peak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89"/>
  <sheetViews>
    <sheetView tabSelected="1" zoomScaleNormal="100" workbookViewId="0">
      <pane ySplit="1" topLeftCell="A756" activePane="bottomLeft" state="frozen"/>
      <selection pane="bottomLeft" activeCell="AL770" sqref="AL770:AV789"/>
    </sheetView>
  </sheetViews>
  <sheetFormatPr defaultRowHeight="15"/>
  <cols>
    <col min="1" max="1" width="10.28515625" bestFit="1" customWidth="1"/>
    <col min="2" max="2" width="9.7109375" customWidth="1"/>
    <col min="3" max="3" width="13.85546875" bestFit="1" customWidth="1"/>
    <col min="4" max="4" width="9.140625" bestFit="1" customWidth="1"/>
    <col min="5" max="5" width="18.5703125" bestFit="1" customWidth="1"/>
    <col min="6" max="6" width="9.140625" customWidth="1"/>
    <col min="7" max="7" width="9.140625" style="1" customWidth="1"/>
    <col min="8" max="8" width="12.140625" bestFit="1" customWidth="1"/>
    <col min="9" max="9" width="11.28515625" bestFit="1" customWidth="1"/>
    <col min="10" max="10" width="10" bestFit="1" customWidth="1"/>
    <col min="11" max="11" width="12.5703125" bestFit="1" customWidth="1"/>
    <col min="12" max="13" width="9.140625" bestFit="1" customWidth="1"/>
    <col min="14" max="14" width="9.28515625" bestFit="1" customWidth="1"/>
    <col min="15" max="15" width="7.140625" bestFit="1" customWidth="1"/>
    <col min="16" max="16" width="11.28515625" bestFit="1" customWidth="1"/>
    <col min="17" max="17" width="7.7109375" bestFit="1" customWidth="1"/>
    <col min="18" max="18" width="8.140625" bestFit="1" customWidth="1"/>
    <col min="19" max="19" width="7.140625" customWidth="1"/>
    <col min="20" max="20" width="7.7109375" bestFit="1" customWidth="1"/>
    <col min="21" max="21" width="10" bestFit="1" customWidth="1"/>
    <col min="22" max="22" width="8.28515625" bestFit="1" customWidth="1"/>
    <col min="23" max="23" width="8" bestFit="1" customWidth="1"/>
    <col min="24" max="24" width="7.85546875" bestFit="1" customWidth="1"/>
    <col min="25" max="25" width="8" bestFit="1" customWidth="1"/>
    <col min="26" max="26" width="7.7109375" bestFit="1" customWidth="1"/>
    <col min="27" max="27" width="11.140625" customWidth="1"/>
    <col min="28" max="28" width="10.140625" bestFit="1" customWidth="1"/>
    <col min="29" max="30" width="9.28515625" bestFit="1" customWidth="1"/>
    <col min="32" max="35" width="9.28515625" bestFit="1" customWidth="1"/>
    <col min="38" max="38" width="9.28515625" bestFit="1" customWidth="1"/>
    <col min="42" max="43" width="9.28515625" bestFit="1" customWidth="1"/>
    <col min="49" max="49" width="9.28515625" bestFit="1" customWidth="1"/>
    <col min="52" max="52" width="9.28515625" bestFit="1" customWidth="1"/>
    <col min="54" max="54" width="9.28515625" bestFit="1" customWidth="1"/>
    <col min="57" max="57" width="9.28515625" bestFit="1" customWidth="1"/>
    <col min="63" max="64" width="9.28515625" bestFit="1" customWidth="1"/>
  </cols>
  <sheetData>
    <row r="1" spans="1:64">
      <c r="A1" t="s">
        <v>0</v>
      </c>
      <c r="B1" t="s">
        <v>127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352</v>
      </c>
      <c r="AF1" s="44" t="s">
        <v>374</v>
      </c>
      <c r="AG1" s="44" t="s">
        <v>375</v>
      </c>
      <c r="AH1" s="44" t="s">
        <v>376</v>
      </c>
      <c r="AI1" s="44" t="s">
        <v>377</v>
      </c>
      <c r="AJ1" s="44" t="s">
        <v>378</v>
      </c>
      <c r="AK1" s="45" t="s">
        <v>379</v>
      </c>
      <c r="AL1" s="46" t="s">
        <v>380</v>
      </c>
      <c r="AM1" s="45" t="s">
        <v>381</v>
      </c>
      <c r="AN1" s="45" t="s">
        <v>382</v>
      </c>
      <c r="AO1" s="44" t="s">
        <v>383</v>
      </c>
      <c r="AP1" s="45" t="s">
        <v>384</v>
      </c>
      <c r="AQ1" s="45" t="s">
        <v>385</v>
      </c>
      <c r="AR1" s="45" t="s">
        <v>386</v>
      </c>
      <c r="AS1" s="46" t="s">
        <v>387</v>
      </c>
      <c r="AT1" s="44" t="s">
        <v>388</v>
      </c>
      <c r="AU1" s="45" t="s">
        <v>389</v>
      </c>
      <c r="AV1" s="44" t="s">
        <v>390</v>
      </c>
      <c r="AW1" s="45" t="s">
        <v>391</v>
      </c>
      <c r="AX1" s="45" t="s">
        <v>392</v>
      </c>
      <c r="AY1" s="45" t="s">
        <v>393</v>
      </c>
      <c r="AZ1" s="45" t="s">
        <v>394</v>
      </c>
      <c r="BA1" s="45" t="s">
        <v>395</v>
      </c>
      <c r="BB1" s="44" t="s">
        <v>396</v>
      </c>
      <c r="BC1" s="46" t="s">
        <v>397</v>
      </c>
      <c r="BD1" s="45" t="s">
        <v>398</v>
      </c>
      <c r="BE1" s="44" t="s">
        <v>399</v>
      </c>
      <c r="BF1" s="45" t="s">
        <v>400</v>
      </c>
      <c r="BG1" s="46" t="s">
        <v>401</v>
      </c>
      <c r="BH1" s="45" t="s">
        <v>402</v>
      </c>
      <c r="BI1" s="45" t="s">
        <v>403</v>
      </c>
      <c r="BJ1" s="44" t="s">
        <v>404</v>
      </c>
      <c r="BK1" s="45" t="s">
        <v>406</v>
      </c>
      <c r="BL1" s="45" t="s">
        <v>407</v>
      </c>
    </row>
    <row r="2" spans="1:64">
      <c r="A2" t="str">
        <f>VLOOKUP(F2,info!$A$2:$G$49,3,FALSE)</f>
        <v>Mazda</v>
      </c>
      <c r="B2">
        <v>1</v>
      </c>
      <c r="C2" t="s">
        <v>29</v>
      </c>
      <c r="D2" t="s">
        <v>30</v>
      </c>
      <c r="E2" t="s">
        <v>31</v>
      </c>
      <c r="F2">
        <v>3550828</v>
      </c>
      <c r="G2" s="1" t="s">
        <v>32</v>
      </c>
      <c r="H2">
        <v>107918</v>
      </c>
      <c r="I2">
        <v>29218</v>
      </c>
      <c r="J2">
        <v>9671</v>
      </c>
      <c r="K2">
        <v>354625</v>
      </c>
      <c r="L2">
        <v>575.6</v>
      </c>
      <c r="M2">
        <v>316.8</v>
      </c>
      <c r="N2">
        <v>6087</v>
      </c>
      <c r="O2">
        <v>34019</v>
      </c>
      <c r="P2">
        <v>61127</v>
      </c>
      <c r="Q2">
        <v>55469</v>
      </c>
      <c r="R2">
        <v>181.2</v>
      </c>
      <c r="S2">
        <v>291.7</v>
      </c>
      <c r="T2">
        <v>76.89</v>
      </c>
      <c r="U2">
        <v>3678</v>
      </c>
      <c r="V2">
        <v>30.85</v>
      </c>
      <c r="W2">
        <v>5.8710000000000004</v>
      </c>
      <c r="X2">
        <v>3.8929999999999998</v>
      </c>
      <c r="Y2">
        <v>22.42</v>
      </c>
      <c r="Z2">
        <v>8.56</v>
      </c>
      <c r="AA2">
        <v>17.66</v>
      </c>
      <c r="AB2">
        <v>6942</v>
      </c>
      <c r="AC2">
        <v>31241</v>
      </c>
      <c r="AD2">
        <v>3973</v>
      </c>
    </row>
    <row r="3" spans="1:64">
      <c r="A3" t="str">
        <f>VLOOKUP(F3,info!$A$2:$G$49,3,FALSE)</f>
        <v>Mazda</v>
      </c>
      <c r="B3">
        <v>2</v>
      </c>
      <c r="C3" t="s">
        <v>29</v>
      </c>
      <c r="D3" t="s">
        <v>30</v>
      </c>
      <c r="E3" t="s">
        <v>33</v>
      </c>
      <c r="F3">
        <v>3550828</v>
      </c>
      <c r="G3" s="1" t="s">
        <v>34</v>
      </c>
      <c r="H3">
        <v>109257</v>
      </c>
      <c r="I3">
        <v>29082</v>
      </c>
      <c r="J3">
        <v>9318</v>
      </c>
      <c r="K3">
        <v>358228</v>
      </c>
      <c r="L3">
        <v>577</v>
      </c>
      <c r="M3">
        <v>218.6</v>
      </c>
      <c r="N3">
        <v>5844</v>
      </c>
      <c r="O3">
        <v>32669</v>
      </c>
      <c r="P3">
        <v>61719</v>
      </c>
      <c r="Q3">
        <v>55688</v>
      </c>
      <c r="R3">
        <v>187.2</v>
      </c>
      <c r="S3">
        <v>349.1</v>
      </c>
      <c r="T3">
        <v>90.81</v>
      </c>
      <c r="U3">
        <v>3968</v>
      </c>
      <c r="V3">
        <v>22.17</v>
      </c>
      <c r="W3">
        <v>10.67</v>
      </c>
      <c r="X3">
        <v>0</v>
      </c>
      <c r="Y3">
        <v>33.869999999999997</v>
      </c>
      <c r="Z3">
        <v>24.43</v>
      </c>
      <c r="AA3">
        <v>22.67</v>
      </c>
      <c r="AB3">
        <v>10255</v>
      </c>
      <c r="AC3">
        <v>28940</v>
      </c>
      <c r="AD3">
        <v>3724</v>
      </c>
    </row>
    <row r="4" spans="1:64">
      <c r="A4" t="str">
        <f>VLOOKUP(F4,info!$A$2:$G$49,3,FALSE)</f>
        <v>Mazda</v>
      </c>
      <c r="B4">
        <v>3</v>
      </c>
      <c r="C4" t="s">
        <v>29</v>
      </c>
      <c r="D4" t="s">
        <v>30</v>
      </c>
      <c r="E4" t="s">
        <v>35</v>
      </c>
      <c r="F4">
        <v>3550828</v>
      </c>
      <c r="G4" s="1" t="s">
        <v>34</v>
      </c>
      <c r="H4">
        <v>118923</v>
      </c>
      <c r="I4">
        <v>30661</v>
      </c>
      <c r="J4">
        <v>9702</v>
      </c>
      <c r="K4">
        <v>368493</v>
      </c>
      <c r="L4">
        <v>597.29999999999995</v>
      </c>
      <c r="M4">
        <v>191.1</v>
      </c>
      <c r="N4">
        <v>5958</v>
      </c>
      <c r="O4">
        <v>34131</v>
      </c>
      <c r="P4">
        <v>62099</v>
      </c>
      <c r="Q4">
        <v>56355</v>
      </c>
      <c r="R4">
        <v>187.6</v>
      </c>
      <c r="S4">
        <v>216.2</v>
      </c>
      <c r="T4">
        <v>81.27</v>
      </c>
      <c r="U4">
        <v>3402</v>
      </c>
      <c r="V4">
        <v>13.61</v>
      </c>
      <c r="W4">
        <v>4.3689999999999998</v>
      </c>
      <c r="X4">
        <v>4.6769999999999996</v>
      </c>
      <c r="Y4">
        <v>23.66</v>
      </c>
      <c r="Z4">
        <v>10.56</v>
      </c>
      <c r="AA4">
        <v>40.33</v>
      </c>
      <c r="AB4">
        <v>10081</v>
      </c>
      <c r="AC4">
        <v>30973</v>
      </c>
      <c r="AD4">
        <v>4043</v>
      </c>
    </row>
    <row r="5" spans="1:64">
      <c r="A5" t="str">
        <f>VLOOKUP(F5,info!$A$2:$G$49,3,FALSE)</f>
        <v>Peugeot</v>
      </c>
      <c r="B5">
        <v>4</v>
      </c>
      <c r="C5" t="s">
        <v>29</v>
      </c>
      <c r="D5" t="s">
        <v>30</v>
      </c>
      <c r="E5" t="s">
        <v>36</v>
      </c>
      <c r="F5">
        <v>9367324</v>
      </c>
      <c r="G5" s="1" t="s">
        <v>32</v>
      </c>
      <c r="H5">
        <v>125580</v>
      </c>
      <c r="I5">
        <v>27236</v>
      </c>
      <c r="J5">
        <v>4452</v>
      </c>
      <c r="K5">
        <v>356948</v>
      </c>
      <c r="L5">
        <v>546.1</v>
      </c>
      <c r="M5">
        <v>233.3</v>
      </c>
      <c r="N5">
        <v>1480</v>
      </c>
      <c r="O5">
        <v>24849</v>
      </c>
      <c r="P5">
        <v>60582</v>
      </c>
      <c r="Q5">
        <v>55057</v>
      </c>
      <c r="R5">
        <v>193.8</v>
      </c>
      <c r="S5">
        <v>81.2</v>
      </c>
      <c r="T5">
        <v>99.5</v>
      </c>
      <c r="U5">
        <v>4461</v>
      </c>
      <c r="V5">
        <v>11.09</v>
      </c>
      <c r="W5">
        <v>5.5919999999999996</v>
      </c>
      <c r="X5">
        <v>0</v>
      </c>
      <c r="Y5">
        <v>25.75</v>
      </c>
      <c r="Z5">
        <v>27.63</v>
      </c>
      <c r="AA5">
        <v>47.19</v>
      </c>
      <c r="AB5">
        <v>10304</v>
      </c>
      <c r="AC5">
        <v>29804</v>
      </c>
      <c r="AD5">
        <v>2558</v>
      </c>
    </row>
    <row r="6" spans="1:64">
      <c r="A6" t="str">
        <f>VLOOKUP(F6,info!$A$2:$G$49,3,FALSE)</f>
        <v>Peugeot</v>
      </c>
      <c r="B6">
        <v>5</v>
      </c>
      <c r="C6" t="s">
        <v>29</v>
      </c>
      <c r="D6" t="s">
        <v>30</v>
      </c>
      <c r="E6" t="s">
        <v>37</v>
      </c>
      <c r="F6">
        <v>9367324</v>
      </c>
      <c r="G6" s="1" t="s">
        <v>32</v>
      </c>
      <c r="H6">
        <v>83854</v>
      </c>
      <c r="I6">
        <v>19619</v>
      </c>
      <c r="J6">
        <v>2036</v>
      </c>
      <c r="K6">
        <v>269736</v>
      </c>
      <c r="L6">
        <v>511.7</v>
      </c>
      <c r="M6">
        <v>133</v>
      </c>
      <c r="N6">
        <v>531.9</v>
      </c>
      <c r="O6">
        <v>17401</v>
      </c>
      <c r="P6">
        <v>50408</v>
      </c>
      <c r="Q6">
        <v>46197</v>
      </c>
      <c r="R6">
        <v>52.14</v>
      </c>
      <c r="S6">
        <v>233.2</v>
      </c>
      <c r="T6">
        <v>97.64</v>
      </c>
      <c r="U6">
        <v>4897</v>
      </c>
      <c r="V6">
        <v>26.32</v>
      </c>
      <c r="W6">
        <v>8.4380000000000006</v>
      </c>
      <c r="X6">
        <v>6.1959999999999997</v>
      </c>
      <c r="Y6">
        <v>20.190000000000001</v>
      </c>
      <c r="Z6">
        <v>17.329999999999998</v>
      </c>
      <c r="AA6">
        <v>0</v>
      </c>
      <c r="AB6">
        <v>4817</v>
      </c>
      <c r="AC6">
        <v>21078</v>
      </c>
      <c r="AD6">
        <v>1631</v>
      </c>
    </row>
    <row r="7" spans="1:64">
      <c r="A7" t="str">
        <f>VLOOKUP(F7,info!$A$2:$G$49,3,FALSE)</f>
        <v>Mazda</v>
      </c>
      <c r="B7">
        <v>6</v>
      </c>
      <c r="C7" t="s">
        <v>29</v>
      </c>
      <c r="D7" t="s">
        <v>30</v>
      </c>
      <c r="E7" t="s">
        <v>38</v>
      </c>
      <c r="F7" s="2">
        <v>3550828</v>
      </c>
      <c r="G7" s="1" t="s">
        <v>32</v>
      </c>
      <c r="H7">
        <v>100377</v>
      </c>
      <c r="I7">
        <v>26472</v>
      </c>
      <c r="J7">
        <v>8280</v>
      </c>
      <c r="K7">
        <v>319164</v>
      </c>
      <c r="L7">
        <v>594.5</v>
      </c>
      <c r="M7">
        <v>192.4</v>
      </c>
      <c r="N7">
        <v>5511</v>
      </c>
      <c r="O7">
        <v>30079</v>
      </c>
      <c r="P7">
        <v>56186</v>
      </c>
      <c r="Q7">
        <v>51235</v>
      </c>
      <c r="R7">
        <v>184.5</v>
      </c>
      <c r="S7">
        <v>219</v>
      </c>
      <c r="T7">
        <v>74.14</v>
      </c>
      <c r="U7">
        <v>3317</v>
      </c>
      <c r="V7">
        <v>12.31</v>
      </c>
      <c r="W7">
        <v>7.1470000000000002</v>
      </c>
      <c r="X7">
        <v>0</v>
      </c>
      <c r="Y7">
        <v>21.63</v>
      </c>
      <c r="Z7">
        <v>19</v>
      </c>
      <c r="AA7">
        <v>21.16</v>
      </c>
      <c r="AB7">
        <v>8799</v>
      </c>
      <c r="AC7">
        <v>25974</v>
      </c>
      <c r="AD7">
        <v>3478</v>
      </c>
    </row>
    <row r="8" spans="1:64">
      <c r="A8" t="str">
        <f>VLOOKUP(F8,info!$A$2:$G$49,3,FALSE)</f>
        <v>Hyundai</v>
      </c>
      <c r="B8">
        <v>7</v>
      </c>
      <c r="C8" t="s">
        <v>29</v>
      </c>
      <c r="D8" t="s">
        <v>30</v>
      </c>
      <c r="E8" t="s">
        <v>39</v>
      </c>
      <c r="F8">
        <v>9540217</v>
      </c>
      <c r="G8" s="1" t="s">
        <v>34</v>
      </c>
      <c r="H8">
        <v>114128</v>
      </c>
      <c r="I8">
        <v>27526</v>
      </c>
      <c r="J8">
        <v>6651</v>
      </c>
      <c r="K8">
        <v>340085</v>
      </c>
      <c r="L8">
        <v>654.79999999999995</v>
      </c>
      <c r="M8">
        <v>258.60000000000002</v>
      </c>
      <c r="N8">
        <v>2969</v>
      </c>
      <c r="O8">
        <v>29918</v>
      </c>
      <c r="P8">
        <v>67195</v>
      </c>
      <c r="Q8">
        <v>61019</v>
      </c>
      <c r="R8">
        <v>232.5</v>
      </c>
      <c r="S8">
        <v>143.19999999999999</v>
      </c>
      <c r="T8">
        <v>77.98</v>
      </c>
      <c r="U8">
        <v>3002</v>
      </c>
      <c r="V8">
        <v>21.91</v>
      </c>
      <c r="W8">
        <v>8.7569999999999997</v>
      </c>
      <c r="X8">
        <v>0</v>
      </c>
      <c r="Y8">
        <v>19.690000000000001</v>
      </c>
      <c r="Z8">
        <v>18.29</v>
      </c>
      <c r="AA8">
        <v>20.8</v>
      </c>
      <c r="AB8">
        <v>10162</v>
      </c>
      <c r="AC8">
        <v>32676</v>
      </c>
      <c r="AD8">
        <v>3294</v>
      </c>
    </row>
    <row r="9" spans="1:64">
      <c r="A9" t="str">
        <f>VLOOKUP(F9,info!$A$2:$G$49,3,FALSE)</f>
        <v>Honda</v>
      </c>
      <c r="B9">
        <v>8</v>
      </c>
      <c r="C9" t="s">
        <v>29</v>
      </c>
      <c r="D9" t="s">
        <v>30</v>
      </c>
      <c r="E9" t="s">
        <v>40</v>
      </c>
      <c r="F9">
        <v>8096906</v>
      </c>
      <c r="G9" s="1" t="s">
        <v>32</v>
      </c>
      <c r="H9">
        <v>125698</v>
      </c>
      <c r="I9">
        <v>27975</v>
      </c>
      <c r="J9">
        <v>1614</v>
      </c>
      <c r="K9">
        <v>364931</v>
      </c>
      <c r="L9">
        <v>603.29999999999995</v>
      </c>
      <c r="M9">
        <v>329.2</v>
      </c>
      <c r="N9">
        <v>466.1</v>
      </c>
      <c r="O9">
        <v>23703</v>
      </c>
      <c r="P9">
        <v>60078</v>
      </c>
      <c r="Q9">
        <v>54792</v>
      </c>
      <c r="R9">
        <v>68.23</v>
      </c>
      <c r="S9">
        <v>67.42</v>
      </c>
      <c r="T9">
        <v>22.1</v>
      </c>
      <c r="U9">
        <v>2710</v>
      </c>
      <c r="V9">
        <v>10.57</v>
      </c>
      <c r="W9">
        <v>6.4939999999999998</v>
      </c>
      <c r="X9">
        <v>0</v>
      </c>
      <c r="Y9">
        <v>14.5</v>
      </c>
      <c r="Z9">
        <v>23.44</v>
      </c>
      <c r="AA9">
        <v>22.55</v>
      </c>
      <c r="AB9">
        <v>8026</v>
      </c>
      <c r="AC9">
        <v>31622</v>
      </c>
      <c r="AD9">
        <v>2159</v>
      </c>
    </row>
    <row r="10" spans="1:64">
      <c r="A10" t="str">
        <f>VLOOKUP(F10,info!$A$2:$G$49,3,FALSE)</f>
        <v>Honda</v>
      </c>
      <c r="B10">
        <v>9</v>
      </c>
      <c r="C10" t="s">
        <v>29</v>
      </c>
      <c r="D10" t="s">
        <v>30</v>
      </c>
      <c r="E10" t="s">
        <v>41</v>
      </c>
      <c r="F10" s="2">
        <v>8096906</v>
      </c>
      <c r="G10" s="1" t="s">
        <v>34</v>
      </c>
      <c r="H10">
        <v>115074</v>
      </c>
      <c r="I10">
        <v>27758</v>
      </c>
      <c r="J10">
        <v>2912</v>
      </c>
      <c r="K10">
        <v>376071</v>
      </c>
      <c r="L10">
        <v>752.2</v>
      </c>
      <c r="M10">
        <v>500.2</v>
      </c>
      <c r="N10">
        <v>499.6</v>
      </c>
      <c r="O10">
        <v>23335</v>
      </c>
      <c r="P10">
        <v>63697</v>
      </c>
      <c r="Q10">
        <v>57879</v>
      </c>
      <c r="R10">
        <v>75.78</v>
      </c>
      <c r="S10">
        <v>345.4</v>
      </c>
      <c r="T10">
        <v>42.54</v>
      </c>
      <c r="U10">
        <v>3892</v>
      </c>
      <c r="V10">
        <v>31.88</v>
      </c>
      <c r="W10">
        <v>11.02</v>
      </c>
      <c r="X10">
        <v>0</v>
      </c>
      <c r="Y10">
        <v>15.22</v>
      </c>
      <c r="Z10">
        <v>16.02</v>
      </c>
      <c r="AA10">
        <v>25.99</v>
      </c>
      <c r="AB10">
        <v>8179</v>
      </c>
      <c r="AC10">
        <v>30424</v>
      </c>
      <c r="AD10">
        <v>2067</v>
      </c>
    </row>
    <row r="11" spans="1:64">
      <c r="A11" t="str">
        <f>VLOOKUP(F11,info!$A$2:$G$49,3,FALSE)</f>
        <v>Ford</v>
      </c>
      <c r="B11">
        <v>10</v>
      </c>
      <c r="C11" t="s">
        <v>29</v>
      </c>
      <c r="D11" t="s">
        <v>30</v>
      </c>
      <c r="E11" t="s">
        <v>42</v>
      </c>
      <c r="F11">
        <v>6917835</v>
      </c>
      <c r="G11" s="1" t="s">
        <v>32</v>
      </c>
      <c r="H11">
        <v>115497</v>
      </c>
      <c r="I11">
        <v>31202</v>
      </c>
      <c r="J11">
        <v>6374</v>
      </c>
      <c r="K11">
        <v>387897</v>
      </c>
      <c r="L11">
        <v>612.6</v>
      </c>
      <c r="M11">
        <v>175.7</v>
      </c>
      <c r="N11">
        <v>2759</v>
      </c>
      <c r="O11">
        <v>27021</v>
      </c>
      <c r="P11">
        <v>64507</v>
      </c>
      <c r="Q11">
        <v>57726</v>
      </c>
      <c r="R11">
        <v>241.1</v>
      </c>
      <c r="S11">
        <v>397.4</v>
      </c>
      <c r="T11">
        <v>65.97</v>
      </c>
      <c r="U11">
        <v>6962</v>
      </c>
      <c r="V11">
        <v>46.19</v>
      </c>
      <c r="W11">
        <v>7.992</v>
      </c>
      <c r="X11">
        <v>11.27</v>
      </c>
      <c r="Y11">
        <v>14.08</v>
      </c>
      <c r="Z11">
        <v>2.3929999999999998</v>
      </c>
      <c r="AA11">
        <v>25.52</v>
      </c>
      <c r="AB11">
        <v>11581</v>
      </c>
      <c r="AC11">
        <v>27970</v>
      </c>
      <c r="AD11">
        <v>2854</v>
      </c>
    </row>
    <row r="12" spans="1:64">
      <c r="A12" t="str">
        <f>VLOOKUP(F12,info!$A$2:$G$49,3,FALSE)</f>
        <v>Honda</v>
      </c>
      <c r="B12">
        <v>11</v>
      </c>
      <c r="C12" t="s">
        <v>29</v>
      </c>
      <c r="D12" t="s">
        <v>30</v>
      </c>
      <c r="E12" t="s">
        <v>43</v>
      </c>
      <c r="F12" s="2">
        <v>8096906</v>
      </c>
      <c r="G12" s="1" t="s">
        <v>34</v>
      </c>
      <c r="H12">
        <v>123496</v>
      </c>
      <c r="I12">
        <v>29582</v>
      </c>
      <c r="J12">
        <v>1835</v>
      </c>
      <c r="K12">
        <v>400003</v>
      </c>
      <c r="L12">
        <v>651.79999999999995</v>
      </c>
      <c r="M12">
        <v>366.2</v>
      </c>
      <c r="N12">
        <v>498.8</v>
      </c>
      <c r="O12">
        <v>24587</v>
      </c>
      <c r="P12">
        <v>66312</v>
      </c>
      <c r="Q12">
        <v>60030</v>
      </c>
      <c r="R12">
        <v>80</v>
      </c>
      <c r="S12">
        <v>383.9</v>
      </c>
      <c r="T12">
        <v>64.17</v>
      </c>
      <c r="U12">
        <v>4092</v>
      </c>
      <c r="V12">
        <v>24.2</v>
      </c>
      <c r="W12">
        <v>8.8970000000000002</v>
      </c>
      <c r="X12">
        <v>15.82</v>
      </c>
      <c r="Y12">
        <v>22.16</v>
      </c>
      <c r="Z12">
        <v>26.21</v>
      </c>
      <c r="AA12">
        <v>11.63</v>
      </c>
      <c r="AB12">
        <v>10004</v>
      </c>
      <c r="AC12">
        <v>32471</v>
      </c>
      <c r="AD12">
        <v>2256</v>
      </c>
    </row>
    <row r="13" spans="1:64">
      <c r="A13" t="str">
        <f>VLOOKUP(F13,info!$A$2:$G$49,3,FALSE)</f>
        <v>Daewoo</v>
      </c>
      <c r="B13">
        <v>12</v>
      </c>
      <c r="C13" t="s">
        <v>29</v>
      </c>
      <c r="D13" t="s">
        <v>30</v>
      </c>
      <c r="E13" t="s">
        <v>44</v>
      </c>
      <c r="F13">
        <v>8501017</v>
      </c>
      <c r="G13" s="1" t="s">
        <v>34</v>
      </c>
      <c r="H13">
        <v>112212</v>
      </c>
      <c r="I13">
        <v>28485</v>
      </c>
      <c r="J13">
        <v>7314</v>
      </c>
      <c r="K13">
        <v>368190</v>
      </c>
      <c r="L13">
        <v>653</v>
      </c>
      <c r="M13">
        <v>97.07</v>
      </c>
      <c r="N13">
        <v>4668</v>
      </c>
      <c r="O13">
        <v>31960</v>
      </c>
      <c r="P13">
        <v>59334</v>
      </c>
      <c r="Q13">
        <v>53817</v>
      </c>
      <c r="R13">
        <v>215.2</v>
      </c>
      <c r="S13">
        <v>255.1</v>
      </c>
      <c r="T13">
        <v>62.02</v>
      </c>
      <c r="U13">
        <v>3624</v>
      </c>
      <c r="V13">
        <v>21.05</v>
      </c>
      <c r="W13">
        <v>9.8780000000000001</v>
      </c>
      <c r="X13">
        <v>0</v>
      </c>
      <c r="Y13">
        <v>24.09</v>
      </c>
      <c r="Z13">
        <v>28.46</v>
      </c>
      <c r="AA13">
        <v>10.18</v>
      </c>
      <c r="AB13">
        <v>9327</v>
      </c>
      <c r="AC13">
        <v>29387</v>
      </c>
      <c r="AD13">
        <v>3823</v>
      </c>
    </row>
    <row r="14" spans="1:64">
      <c r="A14" t="str">
        <f>VLOOKUP(F14,info!$A$2:$G$49,3,FALSE)</f>
        <v>Peugeot</v>
      </c>
      <c r="B14">
        <v>14</v>
      </c>
      <c r="C14" t="s">
        <v>29</v>
      </c>
      <c r="D14" t="s">
        <v>30</v>
      </c>
      <c r="E14" t="s">
        <v>45</v>
      </c>
      <c r="F14">
        <v>9367324</v>
      </c>
      <c r="G14" s="1" t="s">
        <v>34</v>
      </c>
      <c r="H14">
        <v>132119</v>
      </c>
      <c r="I14">
        <v>31421</v>
      </c>
      <c r="J14">
        <v>7687</v>
      </c>
      <c r="K14">
        <v>388868</v>
      </c>
      <c r="L14">
        <v>751.3</v>
      </c>
      <c r="M14">
        <v>362.4</v>
      </c>
      <c r="N14">
        <v>3346</v>
      </c>
      <c r="O14">
        <v>33412</v>
      </c>
      <c r="P14">
        <v>73509</v>
      </c>
      <c r="Q14">
        <v>66347</v>
      </c>
      <c r="R14">
        <v>257.89999999999998</v>
      </c>
      <c r="S14">
        <v>151</v>
      </c>
      <c r="T14">
        <v>74.95</v>
      </c>
      <c r="U14">
        <v>3173</v>
      </c>
      <c r="V14">
        <v>20.3</v>
      </c>
      <c r="W14">
        <v>6.2729999999999997</v>
      </c>
      <c r="X14">
        <v>0</v>
      </c>
      <c r="Y14">
        <v>22.37</v>
      </c>
      <c r="Z14">
        <v>15.12</v>
      </c>
      <c r="AA14">
        <v>23.57</v>
      </c>
      <c r="AB14">
        <v>11173</v>
      </c>
      <c r="AC14">
        <v>36340</v>
      </c>
      <c r="AD14">
        <v>3696</v>
      </c>
    </row>
    <row r="15" spans="1:64">
      <c r="A15" t="str">
        <f>VLOOKUP(F15,info!$A$2:$G$49,3,FALSE)</f>
        <v>Ford</v>
      </c>
      <c r="B15">
        <v>15</v>
      </c>
      <c r="C15" t="s">
        <v>29</v>
      </c>
      <c r="D15" t="s">
        <v>30</v>
      </c>
      <c r="E15" t="s">
        <v>46</v>
      </c>
      <c r="F15">
        <v>6917835</v>
      </c>
      <c r="G15" s="1" t="s">
        <v>34</v>
      </c>
      <c r="H15">
        <v>129921</v>
      </c>
      <c r="I15">
        <v>33740</v>
      </c>
      <c r="J15">
        <v>6700</v>
      </c>
      <c r="K15">
        <v>412414</v>
      </c>
      <c r="L15">
        <v>600.4</v>
      </c>
      <c r="M15">
        <v>147</v>
      </c>
      <c r="N15">
        <v>2801</v>
      </c>
      <c r="O15">
        <v>29818</v>
      </c>
      <c r="P15">
        <v>66157</v>
      </c>
      <c r="Q15">
        <v>59147</v>
      </c>
      <c r="R15">
        <v>262.60000000000002</v>
      </c>
      <c r="S15">
        <v>259.2</v>
      </c>
      <c r="T15">
        <v>58.92</v>
      </c>
      <c r="U15">
        <v>6444</v>
      </c>
      <c r="V15">
        <v>32.6</v>
      </c>
      <c r="W15">
        <v>13.01</v>
      </c>
      <c r="X15">
        <v>20.58</v>
      </c>
      <c r="Y15">
        <v>27.39</v>
      </c>
      <c r="Z15">
        <v>18.37</v>
      </c>
      <c r="AA15">
        <v>61.95</v>
      </c>
      <c r="AB15">
        <v>14090</v>
      </c>
      <c r="AC15">
        <v>30906</v>
      </c>
      <c r="AD15">
        <v>3253</v>
      </c>
    </row>
    <row r="16" spans="1:64">
      <c r="A16" t="str">
        <f>VLOOKUP(F16,info!$A$2:$G$49,3,FALSE)</f>
        <v>Hyundai</v>
      </c>
      <c r="B16">
        <v>16</v>
      </c>
      <c r="C16" t="s">
        <v>29</v>
      </c>
      <c r="D16" t="s">
        <v>30</v>
      </c>
      <c r="E16" t="s">
        <v>47</v>
      </c>
      <c r="F16">
        <v>6316720</v>
      </c>
      <c r="G16" s="1" t="s">
        <v>34</v>
      </c>
      <c r="H16">
        <v>114587</v>
      </c>
      <c r="I16">
        <v>29061</v>
      </c>
      <c r="J16">
        <v>7977</v>
      </c>
      <c r="K16">
        <v>366277</v>
      </c>
      <c r="L16">
        <v>742.1</v>
      </c>
      <c r="M16">
        <v>441.7</v>
      </c>
      <c r="N16">
        <v>3201</v>
      </c>
      <c r="O16">
        <v>33336</v>
      </c>
      <c r="P16">
        <v>72831</v>
      </c>
      <c r="Q16">
        <v>66169</v>
      </c>
      <c r="R16">
        <v>237.5</v>
      </c>
      <c r="S16">
        <v>374.3</v>
      </c>
      <c r="T16">
        <v>107.3</v>
      </c>
      <c r="U16">
        <v>4100</v>
      </c>
      <c r="V16">
        <v>42.47</v>
      </c>
      <c r="W16">
        <v>14.66</v>
      </c>
      <c r="X16">
        <v>11.19</v>
      </c>
      <c r="Y16">
        <v>25.09</v>
      </c>
      <c r="Z16">
        <v>36.72</v>
      </c>
      <c r="AA16">
        <v>43.55</v>
      </c>
      <c r="AB16">
        <v>11163</v>
      </c>
      <c r="AC16">
        <v>35293</v>
      </c>
      <c r="AD16">
        <v>3699</v>
      </c>
    </row>
    <row r="17" spans="1:30">
      <c r="A17" t="str">
        <f>VLOOKUP(F17,info!$A$2:$G$49,3,FALSE)</f>
        <v>Hyundai</v>
      </c>
      <c r="B17">
        <v>17</v>
      </c>
      <c r="C17" t="s">
        <v>29</v>
      </c>
      <c r="D17" t="s">
        <v>30</v>
      </c>
      <c r="E17" t="s">
        <v>48</v>
      </c>
      <c r="F17">
        <v>6316720</v>
      </c>
      <c r="G17" s="1" t="s">
        <v>34</v>
      </c>
      <c r="H17">
        <v>120465</v>
      </c>
      <c r="I17">
        <v>29641</v>
      </c>
      <c r="J17">
        <v>7314</v>
      </c>
      <c r="K17">
        <v>380756</v>
      </c>
      <c r="L17">
        <v>852.2</v>
      </c>
      <c r="M17">
        <v>518</v>
      </c>
      <c r="N17">
        <v>3247</v>
      </c>
      <c r="O17">
        <v>32455</v>
      </c>
      <c r="P17">
        <v>74011</v>
      </c>
      <c r="Q17">
        <v>66203</v>
      </c>
      <c r="R17">
        <v>240.8</v>
      </c>
      <c r="S17">
        <v>371.1</v>
      </c>
      <c r="T17">
        <v>93.73</v>
      </c>
      <c r="U17">
        <v>3912</v>
      </c>
      <c r="V17">
        <v>22.88</v>
      </c>
      <c r="W17">
        <v>16.95</v>
      </c>
      <c r="X17">
        <v>35.270000000000003</v>
      </c>
      <c r="Y17">
        <v>19.93</v>
      </c>
      <c r="Z17">
        <v>8.9730000000000008</v>
      </c>
      <c r="AA17">
        <v>15.38</v>
      </c>
      <c r="AB17">
        <v>11986</v>
      </c>
      <c r="AC17">
        <v>34008</v>
      </c>
      <c r="AD17">
        <v>3559</v>
      </c>
    </row>
    <row r="18" spans="1:30">
      <c r="A18" t="str">
        <f>VLOOKUP(F18,info!$A$2:$G$49,3,FALSE)</f>
        <v>Honda</v>
      </c>
      <c r="B18">
        <v>18</v>
      </c>
      <c r="C18" t="s">
        <v>29</v>
      </c>
      <c r="D18" t="s">
        <v>30</v>
      </c>
      <c r="E18" t="s">
        <v>49</v>
      </c>
      <c r="F18">
        <v>8096906</v>
      </c>
      <c r="G18" s="1" t="s">
        <v>32</v>
      </c>
      <c r="H18">
        <v>126316</v>
      </c>
      <c r="I18">
        <v>29633</v>
      </c>
      <c r="J18">
        <v>2125</v>
      </c>
      <c r="K18">
        <v>398969</v>
      </c>
      <c r="L18">
        <v>729.7</v>
      </c>
      <c r="M18">
        <v>387.7</v>
      </c>
      <c r="N18">
        <v>460</v>
      </c>
      <c r="O18">
        <v>24472</v>
      </c>
      <c r="P18">
        <v>65219</v>
      </c>
      <c r="Q18">
        <v>59040</v>
      </c>
      <c r="R18">
        <v>73.94</v>
      </c>
      <c r="S18">
        <v>271.89999999999998</v>
      </c>
      <c r="T18">
        <v>34.01</v>
      </c>
      <c r="U18">
        <v>3601</v>
      </c>
      <c r="V18">
        <v>16.64</v>
      </c>
      <c r="W18">
        <v>15.01</v>
      </c>
      <c r="X18">
        <v>2.0539999999999998</v>
      </c>
      <c r="Y18">
        <v>11.88</v>
      </c>
      <c r="Z18">
        <v>18.48</v>
      </c>
      <c r="AA18">
        <v>13.93</v>
      </c>
      <c r="AB18">
        <v>8389</v>
      </c>
      <c r="AC18">
        <v>32477</v>
      </c>
      <c r="AD18">
        <v>2232</v>
      </c>
    </row>
    <row r="19" spans="1:30">
      <c r="A19" t="str">
        <f>VLOOKUP(F19,info!$A$2:$G$49,3,FALSE)</f>
        <v>Fiat</v>
      </c>
      <c r="B19">
        <v>20</v>
      </c>
      <c r="C19" t="s">
        <v>29</v>
      </c>
      <c r="D19" t="s">
        <v>30</v>
      </c>
      <c r="E19" t="s">
        <v>50</v>
      </c>
      <c r="F19">
        <v>5751910</v>
      </c>
      <c r="G19" s="1" t="s">
        <v>34</v>
      </c>
      <c r="H19">
        <v>116638</v>
      </c>
      <c r="I19">
        <v>28481</v>
      </c>
      <c r="J19">
        <v>4984</v>
      </c>
      <c r="K19">
        <v>381510</v>
      </c>
      <c r="L19">
        <v>481.8</v>
      </c>
      <c r="M19">
        <v>151.4</v>
      </c>
      <c r="N19">
        <v>2902</v>
      </c>
      <c r="O19">
        <v>27032</v>
      </c>
      <c r="P19">
        <v>59301</v>
      </c>
      <c r="Q19">
        <v>53445</v>
      </c>
      <c r="R19">
        <v>255.1</v>
      </c>
      <c r="S19">
        <v>361.8</v>
      </c>
      <c r="T19">
        <v>72.33</v>
      </c>
      <c r="U19">
        <v>5781</v>
      </c>
      <c r="V19">
        <v>28.95</v>
      </c>
      <c r="W19">
        <v>13.94</v>
      </c>
      <c r="X19">
        <v>3.0009999999999999</v>
      </c>
      <c r="Y19">
        <v>18.61</v>
      </c>
      <c r="Z19">
        <v>14.61</v>
      </c>
      <c r="AA19">
        <v>14.49</v>
      </c>
      <c r="AB19">
        <v>11458</v>
      </c>
      <c r="AC19">
        <v>27152</v>
      </c>
      <c r="AD19">
        <v>2917</v>
      </c>
    </row>
    <row r="20" spans="1:30">
      <c r="A20" t="str">
        <f>VLOOKUP(F20,info!$A$2:$G$49,3,FALSE)</f>
        <v>Hyundai</v>
      </c>
      <c r="B20">
        <v>21</v>
      </c>
      <c r="C20" t="s">
        <v>29</v>
      </c>
      <c r="D20" t="s">
        <v>30</v>
      </c>
      <c r="E20" t="s">
        <v>51</v>
      </c>
      <c r="F20">
        <v>5826120</v>
      </c>
      <c r="G20" s="1" t="s">
        <v>52</v>
      </c>
      <c r="H20">
        <v>102694</v>
      </c>
      <c r="I20">
        <v>25870</v>
      </c>
      <c r="J20">
        <v>11787</v>
      </c>
      <c r="K20">
        <v>332531</v>
      </c>
      <c r="L20">
        <v>733.4</v>
      </c>
      <c r="M20">
        <v>428.4</v>
      </c>
      <c r="N20">
        <v>2453</v>
      </c>
      <c r="O20">
        <v>26542</v>
      </c>
      <c r="P20">
        <v>68586</v>
      </c>
      <c r="Q20">
        <v>61941</v>
      </c>
      <c r="R20">
        <v>237</v>
      </c>
      <c r="S20">
        <v>388.9</v>
      </c>
      <c r="T20">
        <v>121.6</v>
      </c>
      <c r="U20">
        <v>4104</v>
      </c>
      <c r="V20">
        <v>32.799999999999997</v>
      </c>
      <c r="W20">
        <v>11.64</v>
      </c>
      <c r="X20">
        <v>0</v>
      </c>
      <c r="Y20">
        <v>20.98</v>
      </c>
      <c r="Z20">
        <v>9.5289999999999999</v>
      </c>
      <c r="AA20">
        <v>25.66</v>
      </c>
      <c r="AB20">
        <v>4340</v>
      </c>
      <c r="AC20">
        <v>31493</v>
      </c>
      <c r="AD20">
        <v>2750</v>
      </c>
    </row>
    <row r="21" spans="1:30">
      <c r="A21" t="str">
        <f>VLOOKUP(F21,info!$A$2:$G$49,3,FALSE)</f>
        <v>Daewoo</v>
      </c>
      <c r="B21">
        <v>22</v>
      </c>
      <c r="C21" t="s">
        <v>29</v>
      </c>
      <c r="D21" t="s">
        <v>30</v>
      </c>
      <c r="E21" t="s">
        <v>53</v>
      </c>
      <c r="F21">
        <v>8501017</v>
      </c>
      <c r="G21" s="1" t="s">
        <v>32</v>
      </c>
      <c r="H21">
        <v>109879</v>
      </c>
      <c r="I21">
        <v>27956</v>
      </c>
      <c r="J21">
        <v>7257</v>
      </c>
      <c r="K21">
        <v>364818</v>
      </c>
      <c r="L21">
        <v>799.7</v>
      </c>
      <c r="M21">
        <v>162.19999999999999</v>
      </c>
      <c r="N21">
        <v>4696</v>
      </c>
      <c r="O21">
        <v>31443</v>
      </c>
      <c r="P21">
        <v>58980</v>
      </c>
      <c r="Q21">
        <v>53249</v>
      </c>
      <c r="R21">
        <v>209.1</v>
      </c>
      <c r="S21">
        <v>275.60000000000002</v>
      </c>
      <c r="T21">
        <v>64.52</v>
      </c>
      <c r="U21">
        <v>3586</v>
      </c>
      <c r="V21">
        <v>25.88</v>
      </c>
      <c r="W21">
        <v>8.0229999999999997</v>
      </c>
      <c r="X21">
        <v>0</v>
      </c>
      <c r="Y21">
        <v>20.04</v>
      </c>
      <c r="Z21">
        <v>9.7189999999999994</v>
      </c>
      <c r="AA21">
        <v>25.36</v>
      </c>
      <c r="AB21">
        <v>9646</v>
      </c>
      <c r="AC21">
        <v>29239</v>
      </c>
      <c r="AD21">
        <v>3908</v>
      </c>
    </row>
    <row r="22" spans="1:30">
      <c r="A22" t="str">
        <f>VLOOKUP(F22,info!$A$2:$G$49,3,FALSE)</f>
        <v>Daewoo</v>
      </c>
      <c r="B22">
        <v>23</v>
      </c>
      <c r="C22" t="s">
        <v>29</v>
      </c>
      <c r="D22" t="s">
        <v>30</v>
      </c>
      <c r="E22" t="s">
        <v>54</v>
      </c>
      <c r="F22">
        <v>8501017</v>
      </c>
      <c r="G22" s="1" t="s">
        <v>34</v>
      </c>
      <c r="H22">
        <v>116802</v>
      </c>
      <c r="I22">
        <v>29019</v>
      </c>
      <c r="J22">
        <v>7395</v>
      </c>
      <c r="K22">
        <v>371677</v>
      </c>
      <c r="L22">
        <v>818.3</v>
      </c>
      <c r="M22">
        <v>106.6</v>
      </c>
      <c r="N22">
        <v>4659</v>
      </c>
      <c r="O22">
        <v>32272</v>
      </c>
      <c r="P22">
        <v>59157</v>
      </c>
      <c r="Q22">
        <v>53750</v>
      </c>
      <c r="R22">
        <v>215.2</v>
      </c>
      <c r="S22">
        <v>163.80000000000001</v>
      </c>
      <c r="T22">
        <v>46.94</v>
      </c>
      <c r="U22">
        <v>3191</v>
      </c>
      <c r="V22">
        <v>26.06</v>
      </c>
      <c r="W22">
        <v>7.6689999999999996</v>
      </c>
      <c r="X22">
        <v>5.24</v>
      </c>
      <c r="Y22">
        <v>19.09</v>
      </c>
      <c r="Z22">
        <v>16.760000000000002</v>
      </c>
      <c r="AA22">
        <v>30.04</v>
      </c>
      <c r="AB22">
        <v>10495</v>
      </c>
      <c r="AC22">
        <v>30603</v>
      </c>
      <c r="AD22">
        <v>3852</v>
      </c>
    </row>
    <row r="23" spans="1:30">
      <c r="A23" t="str">
        <f>VLOOKUP(F23,info!$A$2:$G$49,3,FALSE)</f>
        <v>Mitsubishi</v>
      </c>
      <c r="B23">
        <v>24</v>
      </c>
      <c r="C23" t="s">
        <v>29</v>
      </c>
      <c r="D23" t="s">
        <v>30</v>
      </c>
      <c r="E23" t="s">
        <v>55</v>
      </c>
      <c r="F23">
        <v>7027220</v>
      </c>
      <c r="G23" s="1" t="s">
        <v>32</v>
      </c>
      <c r="H23">
        <v>129829</v>
      </c>
      <c r="I23">
        <v>35131</v>
      </c>
      <c r="J23">
        <v>12039</v>
      </c>
      <c r="K23">
        <v>400736</v>
      </c>
      <c r="L23">
        <v>513.1</v>
      </c>
      <c r="M23">
        <v>97.41</v>
      </c>
      <c r="N23">
        <v>2513</v>
      </c>
      <c r="O23">
        <v>30176</v>
      </c>
      <c r="P23">
        <v>64289</v>
      </c>
      <c r="Q23">
        <v>58013</v>
      </c>
      <c r="R23">
        <v>336.3</v>
      </c>
      <c r="S23">
        <v>106</v>
      </c>
      <c r="T23">
        <v>136.6</v>
      </c>
      <c r="U23">
        <v>2355</v>
      </c>
      <c r="V23">
        <v>20.18</v>
      </c>
      <c r="W23">
        <v>4.4550000000000001</v>
      </c>
      <c r="X23">
        <v>12.11</v>
      </c>
      <c r="Y23">
        <v>22.47</v>
      </c>
      <c r="Z23">
        <v>25.2</v>
      </c>
      <c r="AA23">
        <v>55.26</v>
      </c>
      <c r="AB23">
        <v>10902</v>
      </c>
      <c r="AC23">
        <v>33062</v>
      </c>
      <c r="AD23">
        <v>3328</v>
      </c>
    </row>
    <row r="24" spans="1:30">
      <c r="A24" t="str">
        <f>VLOOKUP(F24,info!$A$2:$G$49,3,FALSE)</f>
        <v>Subaru</v>
      </c>
      <c r="B24">
        <v>25</v>
      </c>
      <c r="C24" t="s">
        <v>29</v>
      </c>
      <c r="D24" t="s">
        <v>30</v>
      </c>
      <c r="E24" t="s">
        <v>56</v>
      </c>
      <c r="F24">
        <v>2675308</v>
      </c>
      <c r="G24" s="1" t="s">
        <v>32</v>
      </c>
      <c r="H24">
        <v>120756</v>
      </c>
      <c r="I24">
        <v>29037</v>
      </c>
      <c r="J24">
        <v>10612</v>
      </c>
      <c r="K24">
        <v>381853</v>
      </c>
      <c r="L24">
        <v>678.2</v>
      </c>
      <c r="M24">
        <v>342.9</v>
      </c>
      <c r="N24">
        <v>5437</v>
      </c>
      <c r="O24">
        <v>35647</v>
      </c>
      <c r="P24">
        <v>66084</v>
      </c>
      <c r="Q24">
        <v>59866</v>
      </c>
      <c r="R24">
        <v>167</v>
      </c>
      <c r="S24">
        <v>255.4</v>
      </c>
      <c r="T24">
        <v>70.34</v>
      </c>
      <c r="U24">
        <v>2770</v>
      </c>
      <c r="V24">
        <v>25.82</v>
      </c>
      <c r="W24">
        <v>11.73</v>
      </c>
      <c r="X24">
        <v>0</v>
      </c>
      <c r="Y24">
        <v>27.94</v>
      </c>
      <c r="Z24">
        <v>25.28</v>
      </c>
      <c r="AA24">
        <v>8.9629999999999992</v>
      </c>
      <c r="AB24">
        <v>4070</v>
      </c>
      <c r="AC24">
        <v>35248</v>
      </c>
      <c r="AD24">
        <v>4291</v>
      </c>
    </row>
    <row r="25" spans="1:30">
      <c r="A25" t="str">
        <f>VLOOKUP(F25,info!$A$2:$G$49,3,FALSE)</f>
        <v>Mitsubishi</v>
      </c>
      <c r="B25">
        <v>26</v>
      </c>
      <c r="C25" t="s">
        <v>29</v>
      </c>
      <c r="D25" t="s">
        <v>30</v>
      </c>
      <c r="E25" t="s">
        <v>57</v>
      </c>
      <c r="F25">
        <v>7027220</v>
      </c>
      <c r="G25" s="1" t="s">
        <v>34</v>
      </c>
      <c r="H25">
        <v>114750</v>
      </c>
      <c r="I25">
        <v>32789</v>
      </c>
      <c r="J25">
        <v>11189</v>
      </c>
      <c r="K25">
        <v>368880</v>
      </c>
      <c r="L25">
        <v>672.2</v>
      </c>
      <c r="M25">
        <v>188.4</v>
      </c>
      <c r="N25">
        <v>4387</v>
      </c>
      <c r="O25">
        <v>30898</v>
      </c>
      <c r="P25">
        <v>59707</v>
      </c>
      <c r="Q25">
        <v>53787</v>
      </c>
      <c r="R25">
        <v>460.4</v>
      </c>
      <c r="S25">
        <v>324.3</v>
      </c>
      <c r="T25">
        <v>123.5</v>
      </c>
      <c r="U25">
        <v>3069</v>
      </c>
      <c r="V25">
        <v>23.04</v>
      </c>
      <c r="W25">
        <v>11.91</v>
      </c>
      <c r="X25">
        <v>7.3220000000000001</v>
      </c>
      <c r="Y25">
        <v>23.59</v>
      </c>
      <c r="Z25">
        <v>5.8860000000000001</v>
      </c>
      <c r="AA25">
        <v>30.54</v>
      </c>
      <c r="AB25">
        <v>10870</v>
      </c>
      <c r="AC25">
        <v>28194</v>
      </c>
      <c r="AD25">
        <v>3634</v>
      </c>
    </row>
    <row r="26" spans="1:30">
      <c r="A26" t="str">
        <f>VLOOKUP(F26,info!$A$2:$G$49,3,FALSE)</f>
        <v>Fiat</v>
      </c>
      <c r="B26">
        <v>27</v>
      </c>
      <c r="C26" t="s">
        <v>29</v>
      </c>
      <c r="D26" t="s">
        <v>30</v>
      </c>
      <c r="E26" t="s">
        <v>58</v>
      </c>
      <c r="F26">
        <v>5751910</v>
      </c>
      <c r="G26" s="1" t="s">
        <v>32</v>
      </c>
      <c r="H26">
        <v>120056</v>
      </c>
      <c r="I26">
        <v>29006</v>
      </c>
      <c r="J26">
        <v>4852</v>
      </c>
      <c r="K26">
        <v>375591</v>
      </c>
      <c r="L26">
        <v>481.6</v>
      </c>
      <c r="M26">
        <v>241.9</v>
      </c>
      <c r="N26">
        <v>2784</v>
      </c>
      <c r="O26">
        <v>28094</v>
      </c>
      <c r="P26">
        <v>58461</v>
      </c>
      <c r="Q26">
        <v>52934</v>
      </c>
      <c r="R26">
        <v>240.3</v>
      </c>
      <c r="S26">
        <v>251.1</v>
      </c>
      <c r="T26">
        <v>68.69</v>
      </c>
      <c r="U26">
        <v>5351</v>
      </c>
      <c r="V26">
        <v>33.29</v>
      </c>
      <c r="W26">
        <v>9.1150000000000002</v>
      </c>
      <c r="X26">
        <v>1.5589999999999999</v>
      </c>
      <c r="Y26">
        <v>21.34</v>
      </c>
      <c r="Z26">
        <v>43.21</v>
      </c>
      <c r="AA26">
        <v>0</v>
      </c>
      <c r="AB26">
        <v>9970</v>
      </c>
      <c r="AC26">
        <v>27342</v>
      </c>
      <c r="AD26">
        <v>3218</v>
      </c>
    </row>
    <row r="27" spans="1:30">
      <c r="A27" t="str">
        <f>VLOOKUP(F27,info!$A$2:$G$49,3,FALSE)</f>
        <v>Subaru</v>
      </c>
      <c r="B27">
        <v>28</v>
      </c>
      <c r="C27" t="s">
        <v>29</v>
      </c>
      <c r="D27" t="s">
        <v>30</v>
      </c>
      <c r="E27" t="s">
        <v>59</v>
      </c>
      <c r="F27">
        <v>2675308</v>
      </c>
      <c r="G27" s="1" t="s">
        <v>32</v>
      </c>
      <c r="H27">
        <v>125667</v>
      </c>
      <c r="I27">
        <v>29408</v>
      </c>
      <c r="J27">
        <v>10530</v>
      </c>
      <c r="K27">
        <v>382671</v>
      </c>
      <c r="L27">
        <v>639.9</v>
      </c>
      <c r="M27">
        <v>289.5</v>
      </c>
      <c r="N27">
        <v>5376</v>
      </c>
      <c r="O27">
        <v>35665</v>
      </c>
      <c r="P27">
        <v>65589</v>
      </c>
      <c r="Q27">
        <v>59434</v>
      </c>
      <c r="R27">
        <v>187.1</v>
      </c>
      <c r="S27">
        <v>145.6</v>
      </c>
      <c r="T27">
        <v>65.930000000000007</v>
      </c>
      <c r="U27">
        <v>2309</v>
      </c>
      <c r="V27">
        <v>21.04</v>
      </c>
      <c r="W27">
        <v>7.3390000000000004</v>
      </c>
      <c r="X27">
        <v>14.23</v>
      </c>
      <c r="Y27">
        <v>27.73</v>
      </c>
      <c r="Z27">
        <v>24.63</v>
      </c>
      <c r="AA27">
        <v>8.9039999999999999</v>
      </c>
      <c r="AB27">
        <v>8763</v>
      </c>
      <c r="AC27">
        <v>33932</v>
      </c>
      <c r="AD27">
        <v>4205</v>
      </c>
    </row>
    <row r="28" spans="1:30">
      <c r="A28" t="str">
        <f>VLOOKUP(F28,info!$A$2:$G$49,3,FALSE)</f>
        <v>Renault</v>
      </c>
      <c r="B28">
        <v>29</v>
      </c>
      <c r="C28" t="s">
        <v>29</v>
      </c>
      <c r="D28" t="s">
        <v>30</v>
      </c>
      <c r="E28" t="s">
        <v>60</v>
      </c>
      <c r="F28">
        <v>1147816</v>
      </c>
      <c r="G28" s="1" t="s">
        <v>52</v>
      </c>
      <c r="H28">
        <v>109678</v>
      </c>
      <c r="I28">
        <v>27119</v>
      </c>
      <c r="J28">
        <v>6440</v>
      </c>
      <c r="K28">
        <v>307492</v>
      </c>
      <c r="L28">
        <v>528.6</v>
      </c>
      <c r="M28">
        <v>168.7</v>
      </c>
      <c r="N28">
        <v>1042</v>
      </c>
      <c r="O28">
        <v>22833</v>
      </c>
      <c r="P28">
        <v>52928</v>
      </c>
      <c r="Q28">
        <v>49093</v>
      </c>
      <c r="R28">
        <v>247.7</v>
      </c>
      <c r="S28">
        <v>15.35</v>
      </c>
      <c r="T28">
        <v>140.19999999999999</v>
      </c>
      <c r="U28">
        <v>2958</v>
      </c>
      <c r="V28">
        <v>20.9</v>
      </c>
      <c r="W28">
        <v>6.9930000000000003</v>
      </c>
      <c r="X28">
        <v>7.2469999999999999</v>
      </c>
      <c r="Y28">
        <v>9.3780000000000001</v>
      </c>
      <c r="Z28">
        <v>2.8279999999999998</v>
      </c>
      <c r="AA28">
        <v>40.5</v>
      </c>
      <c r="AB28">
        <v>8759</v>
      </c>
      <c r="AC28">
        <v>27267</v>
      </c>
      <c r="AD28">
        <v>2360</v>
      </c>
    </row>
    <row r="29" spans="1:30">
      <c r="A29" t="str">
        <f>VLOOKUP(F29,info!$A$2:$G$49,3,FALSE)</f>
        <v>Ford</v>
      </c>
      <c r="B29">
        <v>30</v>
      </c>
      <c r="C29" t="s">
        <v>29</v>
      </c>
      <c r="D29" t="s">
        <v>30</v>
      </c>
      <c r="E29" t="s">
        <v>61</v>
      </c>
      <c r="F29">
        <v>6917835</v>
      </c>
      <c r="G29" s="1" t="s">
        <v>34</v>
      </c>
      <c r="H29">
        <v>101977</v>
      </c>
      <c r="I29">
        <v>26208</v>
      </c>
      <c r="J29">
        <v>5379</v>
      </c>
      <c r="K29">
        <v>318642</v>
      </c>
      <c r="L29">
        <v>479.3</v>
      </c>
      <c r="M29">
        <v>146.80000000000001</v>
      </c>
      <c r="N29">
        <v>2257</v>
      </c>
      <c r="O29">
        <v>24829</v>
      </c>
      <c r="P29">
        <v>54981</v>
      </c>
      <c r="Q29">
        <v>50346</v>
      </c>
      <c r="R29">
        <v>207.6</v>
      </c>
      <c r="S29">
        <v>12.09</v>
      </c>
      <c r="T29">
        <v>24.91</v>
      </c>
      <c r="U29">
        <v>5151</v>
      </c>
      <c r="V29">
        <v>20.61</v>
      </c>
      <c r="W29">
        <v>7.0369999999999999</v>
      </c>
      <c r="X29">
        <v>0</v>
      </c>
      <c r="Y29">
        <v>5.5590000000000002</v>
      </c>
      <c r="Z29">
        <v>7.6180000000000003</v>
      </c>
      <c r="AA29">
        <v>36.409999999999997</v>
      </c>
      <c r="AB29">
        <v>9911</v>
      </c>
      <c r="AC29">
        <v>25222</v>
      </c>
      <c r="AD29">
        <v>2758</v>
      </c>
    </row>
    <row r="30" spans="1:30">
      <c r="A30" t="str">
        <f>VLOOKUP(F30,info!$A$2:$G$49,3,FALSE)</f>
        <v>Hyundai</v>
      </c>
      <c r="B30">
        <v>31</v>
      </c>
      <c r="C30" t="s">
        <v>29</v>
      </c>
      <c r="D30" t="s">
        <v>30</v>
      </c>
      <c r="E30" t="s">
        <v>62</v>
      </c>
      <c r="F30">
        <v>9602910</v>
      </c>
      <c r="G30" s="1" t="s">
        <v>52</v>
      </c>
      <c r="H30">
        <v>107807</v>
      </c>
      <c r="I30">
        <v>26643</v>
      </c>
      <c r="J30">
        <v>7300</v>
      </c>
      <c r="K30">
        <v>331481</v>
      </c>
      <c r="L30">
        <v>516.79999999999995</v>
      </c>
      <c r="M30">
        <v>276.39999999999998</v>
      </c>
      <c r="N30">
        <v>3440</v>
      </c>
      <c r="O30">
        <v>30817</v>
      </c>
      <c r="P30">
        <v>65498</v>
      </c>
      <c r="Q30">
        <v>59304</v>
      </c>
      <c r="R30">
        <v>230.6</v>
      </c>
      <c r="S30">
        <v>16.41</v>
      </c>
      <c r="T30">
        <v>51.11</v>
      </c>
      <c r="U30">
        <v>2469</v>
      </c>
      <c r="V30">
        <v>17.649999999999999</v>
      </c>
      <c r="W30">
        <v>6.3040000000000003</v>
      </c>
      <c r="X30">
        <v>4.3070000000000004</v>
      </c>
      <c r="Y30">
        <v>3.609</v>
      </c>
      <c r="Z30">
        <v>9.8260000000000005</v>
      </c>
      <c r="AA30">
        <v>41.68</v>
      </c>
      <c r="AB30">
        <v>9509</v>
      </c>
      <c r="AC30">
        <v>30078</v>
      </c>
      <c r="AD30">
        <v>3431</v>
      </c>
    </row>
    <row r="31" spans="1:30">
      <c r="A31" t="str">
        <f>VLOOKUP(F31,info!$A$2:$G$49,3,FALSE)</f>
        <v>Hyundai</v>
      </c>
      <c r="B31">
        <v>32</v>
      </c>
      <c r="C31" t="s">
        <v>29</v>
      </c>
      <c r="D31" t="s">
        <v>30</v>
      </c>
      <c r="E31" t="s">
        <v>63</v>
      </c>
      <c r="F31">
        <v>9602910</v>
      </c>
      <c r="G31" s="1" t="s">
        <v>52</v>
      </c>
      <c r="H31">
        <v>93078</v>
      </c>
      <c r="I31">
        <v>23701</v>
      </c>
      <c r="J31">
        <v>6662</v>
      </c>
      <c r="K31">
        <v>303542</v>
      </c>
      <c r="L31">
        <v>515</v>
      </c>
      <c r="M31">
        <v>276.39999999999998</v>
      </c>
      <c r="N31">
        <v>3256</v>
      </c>
      <c r="O31">
        <v>29273</v>
      </c>
      <c r="P31">
        <v>62272</v>
      </c>
      <c r="Q31">
        <v>56731</v>
      </c>
      <c r="R31">
        <v>191.3</v>
      </c>
      <c r="S31">
        <v>15.1</v>
      </c>
      <c r="T31">
        <v>59.44</v>
      </c>
      <c r="U31">
        <v>2422</v>
      </c>
      <c r="V31">
        <v>23.81</v>
      </c>
      <c r="W31">
        <v>8.1310000000000002</v>
      </c>
      <c r="X31">
        <v>0</v>
      </c>
      <c r="Y31">
        <v>9.3140000000000001</v>
      </c>
      <c r="Z31">
        <v>9.907</v>
      </c>
      <c r="AA31">
        <v>45.21</v>
      </c>
      <c r="AB31">
        <v>2334</v>
      </c>
      <c r="AC31">
        <v>29205</v>
      </c>
      <c r="AD31">
        <v>3244</v>
      </c>
    </row>
    <row r="32" spans="1:30">
      <c r="A32" t="str">
        <f>VLOOKUP(F32,info!$A$2:$G$49,3,FALSE)</f>
        <v>Hyundai</v>
      </c>
      <c r="B32">
        <v>33</v>
      </c>
      <c r="C32" t="s">
        <v>29</v>
      </c>
      <c r="D32" t="s">
        <v>30</v>
      </c>
      <c r="E32" t="s">
        <v>64</v>
      </c>
      <c r="F32">
        <v>9602910</v>
      </c>
      <c r="G32" s="1" t="s">
        <v>34</v>
      </c>
      <c r="H32">
        <v>97835</v>
      </c>
      <c r="I32">
        <v>23776</v>
      </c>
      <c r="J32">
        <v>6186</v>
      </c>
      <c r="K32">
        <v>299212</v>
      </c>
      <c r="L32">
        <v>581.9</v>
      </c>
      <c r="M32">
        <v>303.60000000000002</v>
      </c>
      <c r="N32">
        <v>2691</v>
      </c>
      <c r="O32">
        <v>27259</v>
      </c>
      <c r="P32">
        <v>60273</v>
      </c>
      <c r="Q32">
        <v>55101</v>
      </c>
      <c r="R32">
        <v>192.8</v>
      </c>
      <c r="S32">
        <v>12.68</v>
      </c>
      <c r="T32">
        <v>49.67</v>
      </c>
      <c r="U32">
        <v>2433</v>
      </c>
      <c r="V32">
        <v>11.31</v>
      </c>
      <c r="W32">
        <v>8.1890000000000001</v>
      </c>
      <c r="X32">
        <v>9.2940000000000005</v>
      </c>
      <c r="Y32">
        <v>5.58</v>
      </c>
      <c r="Z32">
        <v>0</v>
      </c>
      <c r="AA32">
        <v>15.19</v>
      </c>
      <c r="AB32">
        <v>5352</v>
      </c>
      <c r="AC32">
        <v>28719</v>
      </c>
      <c r="AD32">
        <v>2908</v>
      </c>
    </row>
    <row r="33" spans="1:30">
      <c r="A33" t="str">
        <f>VLOOKUP(F33,info!$A$2:$G$49,3,FALSE)</f>
        <v>Hyundai</v>
      </c>
      <c r="B33">
        <v>34</v>
      </c>
      <c r="C33" t="s">
        <v>29</v>
      </c>
      <c r="D33" t="s">
        <v>30</v>
      </c>
      <c r="E33" t="s">
        <v>65</v>
      </c>
      <c r="F33">
        <v>9602910</v>
      </c>
      <c r="G33" s="1" t="s">
        <v>52</v>
      </c>
      <c r="H33">
        <v>105655</v>
      </c>
      <c r="I33">
        <v>25814</v>
      </c>
      <c r="J33">
        <v>6623</v>
      </c>
      <c r="K33">
        <v>325135</v>
      </c>
      <c r="L33">
        <v>567.20000000000005</v>
      </c>
      <c r="M33">
        <v>377.1</v>
      </c>
      <c r="N33">
        <v>2844</v>
      </c>
      <c r="O33">
        <v>28807</v>
      </c>
      <c r="P33">
        <v>65439</v>
      </c>
      <c r="Q33">
        <v>59466</v>
      </c>
      <c r="R33">
        <v>212.2</v>
      </c>
      <c r="S33">
        <v>11.35</v>
      </c>
      <c r="T33">
        <v>59.96</v>
      </c>
      <c r="U33">
        <v>2494</v>
      </c>
      <c r="V33">
        <v>15.98</v>
      </c>
      <c r="W33">
        <v>6.681</v>
      </c>
      <c r="X33">
        <v>0</v>
      </c>
      <c r="Y33">
        <v>1.6120000000000001</v>
      </c>
      <c r="Z33">
        <v>2.0569999999999999</v>
      </c>
      <c r="AA33">
        <v>17.5</v>
      </c>
      <c r="AB33">
        <v>5775</v>
      </c>
      <c r="AC33">
        <v>30170</v>
      </c>
      <c r="AD33">
        <v>2985</v>
      </c>
    </row>
    <row r="34" spans="1:30">
      <c r="A34" t="str">
        <f>VLOOKUP(F34,info!$A$2:$G$49,3,FALSE)</f>
        <v>Hyundai</v>
      </c>
      <c r="B34">
        <v>35</v>
      </c>
      <c r="C34" t="s">
        <v>29</v>
      </c>
      <c r="D34" t="s">
        <v>30</v>
      </c>
      <c r="E34" t="s">
        <v>66</v>
      </c>
      <c r="F34">
        <v>5826120</v>
      </c>
      <c r="G34" s="1" t="s">
        <v>32</v>
      </c>
      <c r="H34">
        <v>104443</v>
      </c>
      <c r="I34">
        <v>25381</v>
      </c>
      <c r="J34">
        <v>6194</v>
      </c>
      <c r="K34">
        <v>325508</v>
      </c>
      <c r="L34">
        <v>724.3</v>
      </c>
      <c r="M34">
        <v>346</v>
      </c>
      <c r="N34">
        <v>2401</v>
      </c>
      <c r="O34">
        <v>28589</v>
      </c>
      <c r="P34">
        <v>66315</v>
      </c>
      <c r="Q34">
        <v>59995</v>
      </c>
      <c r="R34">
        <v>228.7</v>
      </c>
      <c r="S34">
        <v>14.35</v>
      </c>
      <c r="T34">
        <v>64.67</v>
      </c>
      <c r="U34">
        <v>2463</v>
      </c>
      <c r="V34">
        <v>9.5310000000000006</v>
      </c>
      <c r="W34">
        <v>7.6159999999999997</v>
      </c>
      <c r="X34">
        <v>10.27</v>
      </c>
      <c r="Y34">
        <v>3.0819999999999999</v>
      </c>
      <c r="Z34">
        <v>9.3249999999999993</v>
      </c>
      <c r="AA34">
        <v>18.11</v>
      </c>
      <c r="AB34">
        <v>4989</v>
      </c>
      <c r="AC34">
        <v>30475</v>
      </c>
      <c r="AD34">
        <v>3059</v>
      </c>
    </row>
    <row r="35" spans="1:30">
      <c r="A35" t="str">
        <f>VLOOKUP(F35,info!$A$2:$G$49,3,FALSE)</f>
        <v>Hyundai</v>
      </c>
      <c r="B35">
        <v>36</v>
      </c>
      <c r="C35" t="s">
        <v>29</v>
      </c>
      <c r="D35" t="s">
        <v>30</v>
      </c>
      <c r="E35" t="s">
        <v>67</v>
      </c>
      <c r="F35">
        <v>5826120</v>
      </c>
      <c r="G35" s="1" t="s">
        <v>34</v>
      </c>
      <c r="H35">
        <v>102036</v>
      </c>
      <c r="I35">
        <v>28906</v>
      </c>
      <c r="J35">
        <v>10473</v>
      </c>
      <c r="K35">
        <v>323518</v>
      </c>
      <c r="L35">
        <v>554.20000000000005</v>
      </c>
      <c r="M35">
        <v>33.42</v>
      </c>
      <c r="N35">
        <v>5572</v>
      </c>
      <c r="O35">
        <v>31458</v>
      </c>
      <c r="P35">
        <v>57097</v>
      </c>
      <c r="Q35">
        <v>52228</v>
      </c>
      <c r="R35">
        <v>274.60000000000002</v>
      </c>
      <c r="S35">
        <v>10.68</v>
      </c>
      <c r="T35">
        <v>135.69999999999999</v>
      </c>
      <c r="U35">
        <v>2403</v>
      </c>
      <c r="V35">
        <v>8.9559999999999995</v>
      </c>
      <c r="W35">
        <v>9.3780000000000001</v>
      </c>
      <c r="X35">
        <v>0</v>
      </c>
      <c r="Y35">
        <v>9.2289999999999992</v>
      </c>
      <c r="Z35">
        <v>22.25</v>
      </c>
      <c r="AA35">
        <v>45.08</v>
      </c>
      <c r="AB35">
        <v>9717</v>
      </c>
      <c r="AC35">
        <v>29023</v>
      </c>
      <c r="AD35">
        <v>3673</v>
      </c>
    </row>
    <row r="36" spans="1:30">
      <c r="A36" t="str">
        <f>VLOOKUP(F36,info!$A$2:$G$49,3,FALSE)</f>
        <v>Ford</v>
      </c>
      <c r="B36">
        <v>37</v>
      </c>
      <c r="C36" t="s">
        <v>29</v>
      </c>
      <c r="D36" t="s">
        <v>30</v>
      </c>
      <c r="E36" t="s">
        <v>68</v>
      </c>
      <c r="F36">
        <v>6917835</v>
      </c>
      <c r="G36" s="1" t="s">
        <v>32</v>
      </c>
      <c r="H36">
        <v>107206</v>
      </c>
      <c r="I36">
        <v>27594</v>
      </c>
      <c r="J36">
        <v>5663</v>
      </c>
      <c r="K36">
        <v>335440</v>
      </c>
      <c r="L36">
        <v>465</v>
      </c>
      <c r="M36">
        <v>181.4</v>
      </c>
      <c r="N36">
        <v>2440</v>
      </c>
      <c r="O36">
        <v>25580</v>
      </c>
      <c r="P36">
        <v>57187</v>
      </c>
      <c r="Q36">
        <v>51928</v>
      </c>
      <c r="R36">
        <v>216.6</v>
      </c>
      <c r="S36">
        <v>14.05</v>
      </c>
      <c r="T36">
        <v>27.02</v>
      </c>
      <c r="U36">
        <v>5200</v>
      </c>
      <c r="V36">
        <v>20.97</v>
      </c>
      <c r="W36">
        <v>7.4960000000000004</v>
      </c>
      <c r="X36">
        <v>7.6360000000000001</v>
      </c>
      <c r="Y36">
        <v>5.42</v>
      </c>
      <c r="Z36">
        <v>6.4630000000000001</v>
      </c>
      <c r="AA36">
        <v>47.32</v>
      </c>
      <c r="AB36">
        <v>9914</v>
      </c>
      <c r="AC36">
        <v>26518</v>
      </c>
      <c r="AD36">
        <v>2677</v>
      </c>
    </row>
    <row r="37" spans="1:30">
      <c r="A37" t="str">
        <f>VLOOKUP(F37,info!$A$2:$G$49,3,FALSE)</f>
        <v>Hyundai</v>
      </c>
      <c r="B37">
        <v>38</v>
      </c>
      <c r="C37" t="s">
        <v>29</v>
      </c>
      <c r="D37" t="s">
        <v>30</v>
      </c>
      <c r="E37" t="s">
        <v>69</v>
      </c>
      <c r="F37">
        <v>5826120</v>
      </c>
      <c r="G37" s="1" t="s">
        <v>34</v>
      </c>
      <c r="H37">
        <v>112179</v>
      </c>
      <c r="I37">
        <v>26070</v>
      </c>
      <c r="J37">
        <v>6233</v>
      </c>
      <c r="K37">
        <v>318727</v>
      </c>
      <c r="L37">
        <v>657.5</v>
      </c>
      <c r="M37">
        <v>355</v>
      </c>
      <c r="N37">
        <v>2301</v>
      </c>
      <c r="O37">
        <v>27645</v>
      </c>
      <c r="P37">
        <v>64190</v>
      </c>
      <c r="Q37">
        <v>58534</v>
      </c>
      <c r="R37">
        <v>245.9</v>
      </c>
      <c r="S37">
        <v>14.52</v>
      </c>
      <c r="T37">
        <v>59.98</v>
      </c>
      <c r="U37">
        <v>2425</v>
      </c>
      <c r="V37">
        <v>17.5</v>
      </c>
      <c r="W37">
        <v>3.1309999999999998</v>
      </c>
      <c r="X37">
        <v>10.039999999999999</v>
      </c>
      <c r="Y37">
        <v>1.2010000000000001</v>
      </c>
      <c r="Z37">
        <v>9.3610000000000007</v>
      </c>
      <c r="AA37">
        <v>42.63</v>
      </c>
      <c r="AB37">
        <v>9384</v>
      </c>
      <c r="AC37">
        <v>30329</v>
      </c>
      <c r="AD37">
        <v>2930</v>
      </c>
    </row>
    <row r="38" spans="1:30">
      <c r="A38" t="str">
        <f>VLOOKUP(F38,info!$A$2:$G$49,3,FALSE)</f>
        <v>Renault</v>
      </c>
      <c r="B38">
        <v>39</v>
      </c>
      <c r="C38" t="s">
        <v>29</v>
      </c>
      <c r="D38" t="s">
        <v>30</v>
      </c>
      <c r="E38" t="s">
        <v>70</v>
      </c>
      <c r="F38">
        <v>1147816</v>
      </c>
      <c r="G38" s="1" t="s">
        <v>52</v>
      </c>
      <c r="H38">
        <v>110577</v>
      </c>
      <c r="I38">
        <v>27202</v>
      </c>
      <c r="J38">
        <v>6453</v>
      </c>
      <c r="K38">
        <v>304959</v>
      </c>
      <c r="L38">
        <v>453.3</v>
      </c>
      <c r="M38">
        <v>187.8</v>
      </c>
      <c r="N38">
        <v>1040</v>
      </c>
      <c r="O38">
        <v>22622</v>
      </c>
      <c r="P38">
        <v>52082</v>
      </c>
      <c r="Q38">
        <v>48320</v>
      </c>
      <c r="R38">
        <v>240.1</v>
      </c>
      <c r="S38">
        <v>26.31</v>
      </c>
      <c r="T38">
        <v>134.30000000000001</v>
      </c>
      <c r="U38">
        <v>3035</v>
      </c>
      <c r="V38">
        <v>19.72</v>
      </c>
      <c r="W38">
        <v>4.1440000000000001</v>
      </c>
      <c r="X38">
        <v>0</v>
      </c>
      <c r="Y38">
        <v>10.050000000000001</v>
      </c>
      <c r="Z38">
        <v>13.37</v>
      </c>
      <c r="AA38">
        <v>37.630000000000003</v>
      </c>
      <c r="AB38">
        <v>9128</v>
      </c>
      <c r="AC38">
        <v>27111</v>
      </c>
      <c r="AD38">
        <v>2336</v>
      </c>
    </row>
    <row r="39" spans="1:30">
      <c r="A39" t="str">
        <f>VLOOKUP(F39,info!$A$2:$G$49,3,FALSE)</f>
        <v>Subaru</v>
      </c>
      <c r="B39">
        <v>40</v>
      </c>
      <c r="C39" t="s">
        <v>29</v>
      </c>
      <c r="D39" t="s">
        <v>30</v>
      </c>
      <c r="E39" t="s">
        <v>71</v>
      </c>
      <c r="F39">
        <v>2675308</v>
      </c>
      <c r="G39" s="1" t="s">
        <v>34</v>
      </c>
      <c r="H39">
        <v>119640</v>
      </c>
      <c r="I39">
        <v>28095</v>
      </c>
      <c r="J39">
        <v>10003</v>
      </c>
      <c r="K39">
        <v>357292</v>
      </c>
      <c r="L39">
        <v>571.9</v>
      </c>
      <c r="M39">
        <v>227.1</v>
      </c>
      <c r="N39">
        <v>4991</v>
      </c>
      <c r="O39">
        <v>34810</v>
      </c>
      <c r="P39">
        <v>62163</v>
      </c>
      <c r="Q39">
        <v>56732</v>
      </c>
      <c r="R39">
        <v>177.7</v>
      </c>
      <c r="S39">
        <v>10.67</v>
      </c>
      <c r="T39">
        <v>40.47</v>
      </c>
      <c r="U39">
        <v>1764</v>
      </c>
      <c r="V39">
        <v>13.47</v>
      </c>
      <c r="W39">
        <v>3.1219999999999999</v>
      </c>
      <c r="X39">
        <v>0</v>
      </c>
      <c r="Y39">
        <v>5.8540000000000001</v>
      </c>
      <c r="Z39">
        <v>6.8040000000000003</v>
      </c>
      <c r="AA39">
        <v>32.29</v>
      </c>
      <c r="AB39">
        <v>6411</v>
      </c>
      <c r="AC39">
        <v>33421</v>
      </c>
      <c r="AD39">
        <v>4098</v>
      </c>
    </row>
    <row r="40" spans="1:30">
      <c r="A40" t="str">
        <f>VLOOKUP(F40,info!$A$2:$G$49,3,FALSE)</f>
        <v>Fiat</v>
      </c>
      <c r="B40">
        <v>41</v>
      </c>
      <c r="C40" t="s">
        <v>29</v>
      </c>
      <c r="D40" t="s">
        <v>30</v>
      </c>
      <c r="E40" t="s">
        <v>72</v>
      </c>
      <c r="F40">
        <v>5751910</v>
      </c>
      <c r="G40" s="1" t="s">
        <v>34</v>
      </c>
      <c r="H40">
        <v>117611</v>
      </c>
      <c r="I40">
        <v>27768</v>
      </c>
      <c r="J40">
        <v>4638</v>
      </c>
      <c r="K40">
        <v>351733</v>
      </c>
      <c r="L40">
        <v>532.79999999999995</v>
      </c>
      <c r="M40">
        <v>233.4</v>
      </c>
      <c r="N40">
        <v>876.4</v>
      </c>
      <c r="O40">
        <v>23828</v>
      </c>
      <c r="P40">
        <v>59296</v>
      </c>
      <c r="Q40">
        <v>53938</v>
      </c>
      <c r="R40">
        <v>171.9</v>
      </c>
      <c r="S40">
        <v>12</v>
      </c>
      <c r="T40">
        <v>98.18</v>
      </c>
      <c r="U40">
        <v>4221</v>
      </c>
      <c r="V40">
        <v>23.8</v>
      </c>
      <c r="W40">
        <v>6.3120000000000003</v>
      </c>
      <c r="X40">
        <v>0</v>
      </c>
      <c r="Y40">
        <v>12.58</v>
      </c>
      <c r="Z40">
        <v>0</v>
      </c>
      <c r="AA40">
        <v>28.23</v>
      </c>
      <c r="AB40">
        <v>8775</v>
      </c>
      <c r="AC40">
        <v>28377</v>
      </c>
      <c r="AD40">
        <v>2235</v>
      </c>
    </row>
    <row r="41" spans="1:30">
      <c r="A41" t="str">
        <f>VLOOKUP(F41,info!$A$2:$G$49,3,FALSE)</f>
        <v>Renault</v>
      </c>
      <c r="B41">
        <v>42</v>
      </c>
      <c r="C41" t="s">
        <v>29</v>
      </c>
      <c r="D41" t="s">
        <v>30</v>
      </c>
      <c r="E41" t="s">
        <v>73</v>
      </c>
      <c r="F41">
        <v>1147816</v>
      </c>
      <c r="G41" s="1" t="s">
        <v>34</v>
      </c>
      <c r="H41">
        <v>88337</v>
      </c>
      <c r="I41">
        <v>24390</v>
      </c>
      <c r="J41">
        <v>9805</v>
      </c>
      <c r="K41">
        <v>290812</v>
      </c>
      <c r="L41">
        <v>358.8</v>
      </c>
      <c r="M41">
        <v>190.5</v>
      </c>
      <c r="N41">
        <v>6806</v>
      </c>
      <c r="O41">
        <v>27296</v>
      </c>
      <c r="P41">
        <v>55206</v>
      </c>
      <c r="Q41">
        <v>50713</v>
      </c>
      <c r="R41">
        <v>180.5</v>
      </c>
      <c r="S41">
        <v>22.89</v>
      </c>
      <c r="T41">
        <v>41.2</v>
      </c>
      <c r="U41">
        <v>4064</v>
      </c>
      <c r="V41">
        <v>16.38</v>
      </c>
      <c r="W41">
        <v>5.5549999999999997</v>
      </c>
      <c r="X41">
        <v>0</v>
      </c>
      <c r="Y41">
        <v>4.077</v>
      </c>
      <c r="Z41">
        <v>1.2250000000000001</v>
      </c>
      <c r="AA41">
        <v>8.6509999999999998</v>
      </c>
      <c r="AB41">
        <v>225.4</v>
      </c>
      <c r="AC41">
        <v>26092</v>
      </c>
      <c r="AD41">
        <v>3245</v>
      </c>
    </row>
    <row r="42" spans="1:30">
      <c r="A42" t="str">
        <f>VLOOKUP(F42,info!$A$2:$G$49,3,FALSE)</f>
        <v>Fiat</v>
      </c>
      <c r="B42">
        <v>43</v>
      </c>
      <c r="C42" t="s">
        <v>29</v>
      </c>
      <c r="D42" t="s">
        <v>30</v>
      </c>
      <c r="E42" t="s">
        <v>74</v>
      </c>
      <c r="F42">
        <v>5751910</v>
      </c>
      <c r="G42" s="1" t="s">
        <v>32</v>
      </c>
      <c r="H42">
        <v>111790</v>
      </c>
      <c r="I42">
        <v>26850</v>
      </c>
      <c r="J42">
        <v>4575</v>
      </c>
      <c r="K42">
        <v>348447</v>
      </c>
      <c r="L42">
        <v>461.5</v>
      </c>
      <c r="M42">
        <v>255.9</v>
      </c>
      <c r="N42">
        <v>900.3</v>
      </c>
      <c r="O42">
        <v>23207</v>
      </c>
      <c r="P42">
        <v>59100</v>
      </c>
      <c r="Q42">
        <v>53617</v>
      </c>
      <c r="R42">
        <v>178.8</v>
      </c>
      <c r="S42">
        <v>28.62</v>
      </c>
      <c r="T42">
        <v>97.22</v>
      </c>
      <c r="U42">
        <v>4203</v>
      </c>
      <c r="V42">
        <v>16.510000000000002</v>
      </c>
      <c r="W42">
        <v>6.6840000000000002</v>
      </c>
      <c r="X42">
        <v>0</v>
      </c>
      <c r="Y42">
        <v>9.2560000000000002</v>
      </c>
      <c r="Z42">
        <v>6.3360000000000003</v>
      </c>
      <c r="AA42">
        <v>26.62</v>
      </c>
      <c r="AB42">
        <v>10342</v>
      </c>
      <c r="AC42">
        <v>27832</v>
      </c>
      <c r="AD42">
        <v>2236</v>
      </c>
    </row>
    <row r="43" spans="1:30">
      <c r="A43" t="str">
        <f>VLOOKUP(F43,info!$A$2:$G$49,3,FALSE)</f>
        <v>Hyundai</v>
      </c>
      <c r="B43">
        <v>44</v>
      </c>
      <c r="C43" t="s">
        <v>29</v>
      </c>
      <c r="D43" t="s">
        <v>30</v>
      </c>
      <c r="E43" t="s">
        <v>75</v>
      </c>
      <c r="F43">
        <v>9602910</v>
      </c>
      <c r="G43" s="1" t="s">
        <v>32</v>
      </c>
      <c r="H43">
        <v>110542</v>
      </c>
      <c r="I43">
        <v>26737</v>
      </c>
      <c r="J43">
        <v>6919</v>
      </c>
      <c r="K43">
        <v>339530</v>
      </c>
      <c r="L43">
        <v>642.5</v>
      </c>
      <c r="M43">
        <v>336.2</v>
      </c>
      <c r="N43">
        <v>2959</v>
      </c>
      <c r="O43">
        <v>29915</v>
      </c>
      <c r="P43">
        <v>67368</v>
      </c>
      <c r="Q43">
        <v>60849</v>
      </c>
      <c r="R43">
        <v>231.4</v>
      </c>
      <c r="S43">
        <v>15.44</v>
      </c>
      <c r="T43">
        <v>58.33</v>
      </c>
      <c r="U43">
        <v>2493</v>
      </c>
      <c r="V43">
        <v>16.66</v>
      </c>
      <c r="W43">
        <v>8.5169999999999995</v>
      </c>
      <c r="X43">
        <v>13.74</v>
      </c>
      <c r="Y43">
        <v>3.294</v>
      </c>
      <c r="Z43">
        <v>8.8140000000000001</v>
      </c>
      <c r="AA43">
        <v>33.06</v>
      </c>
      <c r="AB43">
        <v>8830</v>
      </c>
      <c r="AC43">
        <v>31808</v>
      </c>
      <c r="AD43">
        <v>3187</v>
      </c>
    </row>
    <row r="44" spans="1:30">
      <c r="A44" t="str">
        <f>VLOOKUP(F44,info!$A$2:$G$49,3,FALSE)</f>
        <v>Subaru</v>
      </c>
      <c r="B44">
        <v>45</v>
      </c>
      <c r="C44" t="s">
        <v>29</v>
      </c>
      <c r="D44" t="s">
        <v>30</v>
      </c>
      <c r="E44" t="s">
        <v>76</v>
      </c>
      <c r="F44">
        <v>2675308</v>
      </c>
      <c r="G44" s="1" t="s">
        <v>34</v>
      </c>
      <c r="H44">
        <v>106328</v>
      </c>
      <c r="I44">
        <v>25172</v>
      </c>
      <c r="J44">
        <v>9484</v>
      </c>
      <c r="K44">
        <v>333282</v>
      </c>
      <c r="L44">
        <v>544.29999999999995</v>
      </c>
      <c r="M44">
        <v>254.4</v>
      </c>
      <c r="N44">
        <v>4794</v>
      </c>
      <c r="O44">
        <v>32741</v>
      </c>
      <c r="P44">
        <v>60039</v>
      </c>
      <c r="Q44">
        <v>55025</v>
      </c>
      <c r="R44">
        <v>169.7</v>
      </c>
      <c r="S44">
        <v>13.99</v>
      </c>
      <c r="T44">
        <v>48.73</v>
      </c>
      <c r="U44">
        <v>1863</v>
      </c>
      <c r="V44">
        <v>15.27</v>
      </c>
      <c r="W44">
        <v>5.5469999999999997</v>
      </c>
      <c r="X44">
        <v>8.0920000000000005</v>
      </c>
      <c r="Y44">
        <v>5.8849999999999998</v>
      </c>
      <c r="Z44">
        <v>6.7679999999999998</v>
      </c>
      <c r="AA44">
        <v>38.86</v>
      </c>
      <c r="AB44">
        <v>8612</v>
      </c>
      <c r="AC44">
        <v>29479</v>
      </c>
      <c r="AD44">
        <v>3794</v>
      </c>
    </row>
    <row r="45" spans="1:30">
      <c r="A45" t="str">
        <f>VLOOKUP(F45,info!$A$2:$G$49,3,FALSE)</f>
        <v>Mazda</v>
      </c>
      <c r="B45">
        <v>1</v>
      </c>
      <c r="C45" t="s">
        <v>29</v>
      </c>
      <c r="D45" t="s">
        <v>77</v>
      </c>
      <c r="E45" t="s">
        <v>78</v>
      </c>
      <c r="F45">
        <v>3550828</v>
      </c>
      <c r="G45" s="1" t="s">
        <v>32</v>
      </c>
      <c r="H45">
        <v>113460</v>
      </c>
      <c r="I45">
        <v>32955</v>
      </c>
      <c r="J45">
        <v>10656</v>
      </c>
      <c r="K45">
        <v>386322</v>
      </c>
      <c r="L45">
        <v>410.2</v>
      </c>
      <c r="M45">
        <v>128.9</v>
      </c>
      <c r="N45">
        <v>6124</v>
      </c>
      <c r="O45">
        <v>35003</v>
      </c>
      <c r="P45">
        <v>58650</v>
      </c>
      <c r="Q45">
        <v>52752</v>
      </c>
      <c r="R45">
        <v>188</v>
      </c>
      <c r="S45">
        <v>288.3</v>
      </c>
      <c r="T45">
        <v>69.510000000000005</v>
      </c>
      <c r="U45">
        <v>3236</v>
      </c>
      <c r="V45">
        <v>23.27</v>
      </c>
      <c r="W45">
        <v>6.093</v>
      </c>
      <c r="X45">
        <v>11.78</v>
      </c>
      <c r="Y45">
        <v>16.170000000000002</v>
      </c>
      <c r="Z45">
        <v>6.2549999999999999</v>
      </c>
      <c r="AA45">
        <v>25.83</v>
      </c>
      <c r="AB45">
        <v>8496</v>
      </c>
      <c r="AC45">
        <v>31588</v>
      </c>
      <c r="AD45">
        <v>4369</v>
      </c>
    </row>
    <row r="46" spans="1:30">
      <c r="A46" t="str">
        <f>VLOOKUP(F46,info!$A$2:$G$49,3,FALSE)</f>
        <v>Mazda</v>
      </c>
      <c r="B46">
        <v>2</v>
      </c>
      <c r="C46" t="s">
        <v>29</v>
      </c>
      <c r="D46" t="s">
        <v>77</v>
      </c>
      <c r="E46" t="s">
        <v>79</v>
      </c>
      <c r="F46">
        <v>3550828</v>
      </c>
      <c r="G46" s="1" t="s">
        <v>34</v>
      </c>
      <c r="H46">
        <v>96315</v>
      </c>
      <c r="I46">
        <v>27711</v>
      </c>
      <c r="J46">
        <v>9550</v>
      </c>
      <c r="K46">
        <v>353252</v>
      </c>
      <c r="L46">
        <v>288.39999999999998</v>
      </c>
      <c r="M46">
        <v>165.2</v>
      </c>
      <c r="N46">
        <v>5788</v>
      </c>
      <c r="O46">
        <v>33315</v>
      </c>
      <c r="P46">
        <v>60424</v>
      </c>
      <c r="Q46">
        <v>54256</v>
      </c>
      <c r="R46">
        <v>190.8</v>
      </c>
      <c r="S46">
        <v>345.3</v>
      </c>
      <c r="T46">
        <v>81.91</v>
      </c>
      <c r="U46">
        <v>3551</v>
      </c>
      <c r="V46">
        <v>22.82</v>
      </c>
      <c r="W46">
        <v>9.4809999999999999</v>
      </c>
      <c r="X46">
        <v>0</v>
      </c>
      <c r="Y46">
        <v>22.12</v>
      </c>
      <c r="Z46">
        <v>32.549999999999997</v>
      </c>
      <c r="AA46">
        <v>39.74</v>
      </c>
      <c r="AB46">
        <v>25307</v>
      </c>
      <c r="AC46">
        <v>37546</v>
      </c>
      <c r="AD46">
        <v>10726</v>
      </c>
    </row>
    <row r="47" spans="1:30">
      <c r="A47" t="str">
        <f>VLOOKUP(F47,info!$A$2:$G$49,3,FALSE)</f>
        <v>Mazda</v>
      </c>
      <c r="B47">
        <v>3</v>
      </c>
      <c r="C47" t="s">
        <v>29</v>
      </c>
      <c r="D47" t="s">
        <v>77</v>
      </c>
      <c r="E47" t="s">
        <v>80</v>
      </c>
      <c r="F47">
        <v>3550828</v>
      </c>
      <c r="G47" s="1" t="s">
        <v>34</v>
      </c>
      <c r="H47">
        <v>100557</v>
      </c>
      <c r="I47">
        <v>29343</v>
      </c>
      <c r="J47">
        <v>18752</v>
      </c>
      <c r="K47">
        <v>363699</v>
      </c>
      <c r="L47">
        <v>388.4</v>
      </c>
      <c r="M47">
        <v>157.69999999999999</v>
      </c>
      <c r="N47">
        <v>5956</v>
      </c>
      <c r="O47">
        <v>33759</v>
      </c>
      <c r="P47">
        <v>61853</v>
      </c>
      <c r="Q47">
        <v>55469</v>
      </c>
      <c r="R47">
        <v>199.5</v>
      </c>
      <c r="S47">
        <v>334.4</v>
      </c>
      <c r="T47">
        <v>97.13</v>
      </c>
      <c r="U47">
        <v>3558</v>
      </c>
      <c r="V47">
        <v>25.16</v>
      </c>
      <c r="W47">
        <v>9.0860000000000003</v>
      </c>
      <c r="X47">
        <v>3.6819999999999999</v>
      </c>
      <c r="Y47">
        <v>27.87</v>
      </c>
      <c r="Z47">
        <v>34.94</v>
      </c>
      <c r="AA47">
        <v>19.760000000000002</v>
      </c>
      <c r="AB47">
        <v>25745</v>
      </c>
      <c r="AC47">
        <v>36944</v>
      </c>
      <c r="AD47">
        <v>10865</v>
      </c>
    </row>
    <row r="48" spans="1:30">
      <c r="A48" t="str">
        <f>VLOOKUP(F48,info!$A$2:$G$49,3,FALSE)</f>
        <v>Mazda</v>
      </c>
      <c r="B48">
        <v>4</v>
      </c>
      <c r="C48" t="s">
        <v>29</v>
      </c>
      <c r="D48" t="s">
        <v>77</v>
      </c>
      <c r="E48" t="s">
        <v>81</v>
      </c>
      <c r="F48">
        <v>3550828</v>
      </c>
      <c r="G48" s="1" t="s">
        <v>34</v>
      </c>
      <c r="H48">
        <v>108062</v>
      </c>
      <c r="I48">
        <v>30125</v>
      </c>
      <c r="J48">
        <v>9824</v>
      </c>
      <c r="K48">
        <v>369218</v>
      </c>
      <c r="L48">
        <v>450.2</v>
      </c>
      <c r="M48">
        <v>182</v>
      </c>
      <c r="N48">
        <v>5875</v>
      </c>
      <c r="O48">
        <v>34535</v>
      </c>
      <c r="P48">
        <v>60797</v>
      </c>
      <c r="Q48">
        <v>54899</v>
      </c>
      <c r="R48">
        <v>186.2</v>
      </c>
      <c r="S48">
        <v>280.2</v>
      </c>
      <c r="T48">
        <v>90.96</v>
      </c>
      <c r="U48">
        <v>3295</v>
      </c>
      <c r="V48">
        <v>13.08</v>
      </c>
      <c r="W48">
        <v>10.34</v>
      </c>
      <c r="X48">
        <v>0</v>
      </c>
      <c r="Y48">
        <v>26.46</v>
      </c>
      <c r="Z48">
        <v>5.5110000000000001</v>
      </c>
      <c r="AA48">
        <v>38.06</v>
      </c>
      <c r="AB48">
        <v>22455</v>
      </c>
      <c r="AC48">
        <v>40352</v>
      </c>
      <c r="AD48">
        <v>10655</v>
      </c>
    </row>
    <row r="49" spans="1:30">
      <c r="A49" t="str">
        <f>VLOOKUP(F49,info!$A$2:$G$49,3,FALSE)</f>
        <v>Mazda</v>
      </c>
      <c r="B49">
        <v>3</v>
      </c>
      <c r="C49" t="s">
        <v>29</v>
      </c>
      <c r="D49" t="s">
        <v>77</v>
      </c>
      <c r="E49" t="s">
        <v>82</v>
      </c>
      <c r="F49">
        <v>3550828</v>
      </c>
      <c r="G49" s="1" t="s">
        <v>34</v>
      </c>
      <c r="H49">
        <v>104532</v>
      </c>
      <c r="I49">
        <v>30520</v>
      </c>
      <c r="J49">
        <v>10248</v>
      </c>
      <c r="K49">
        <v>370867</v>
      </c>
      <c r="L49">
        <v>307.2</v>
      </c>
      <c r="M49">
        <v>132</v>
      </c>
      <c r="N49">
        <v>5891</v>
      </c>
      <c r="O49">
        <v>33724</v>
      </c>
      <c r="P49">
        <v>60419</v>
      </c>
      <c r="Q49">
        <v>54892</v>
      </c>
      <c r="R49">
        <v>185.9</v>
      </c>
      <c r="S49">
        <v>149.9</v>
      </c>
      <c r="T49">
        <v>75.239999999999995</v>
      </c>
      <c r="U49">
        <v>3068</v>
      </c>
      <c r="V49">
        <v>12.65</v>
      </c>
      <c r="W49">
        <v>5.8250000000000002</v>
      </c>
      <c r="X49">
        <v>18.12</v>
      </c>
      <c r="Y49">
        <v>23.1</v>
      </c>
      <c r="Z49">
        <v>19.739999999999998</v>
      </c>
      <c r="AA49">
        <v>7.4809999999999999</v>
      </c>
      <c r="AB49">
        <v>11228</v>
      </c>
      <c r="AC49">
        <v>29722</v>
      </c>
      <c r="AD49">
        <v>4028</v>
      </c>
    </row>
    <row r="50" spans="1:30">
      <c r="A50" t="str">
        <f>VLOOKUP(F50,info!$A$2:$G$49,3,FALSE)</f>
        <v>Peugeot</v>
      </c>
      <c r="B50">
        <v>4</v>
      </c>
      <c r="C50" t="s">
        <v>29</v>
      </c>
      <c r="D50" t="s">
        <v>77</v>
      </c>
      <c r="E50" t="s">
        <v>83</v>
      </c>
      <c r="F50">
        <v>9367324</v>
      </c>
      <c r="G50" s="1" t="s">
        <v>32</v>
      </c>
      <c r="H50">
        <v>114936</v>
      </c>
      <c r="I50">
        <v>27530</v>
      </c>
      <c r="J50">
        <v>4815</v>
      </c>
      <c r="K50">
        <v>369080</v>
      </c>
      <c r="L50">
        <v>374.1</v>
      </c>
      <c r="M50">
        <v>183.8</v>
      </c>
      <c r="N50">
        <v>1481</v>
      </c>
      <c r="O50">
        <v>27511</v>
      </c>
      <c r="P50">
        <v>62238</v>
      </c>
      <c r="Q50">
        <v>55866</v>
      </c>
      <c r="R50">
        <v>213.3</v>
      </c>
      <c r="S50">
        <v>114.3</v>
      </c>
      <c r="T50">
        <v>100</v>
      </c>
      <c r="U50">
        <v>4846</v>
      </c>
      <c r="V50">
        <v>12.21</v>
      </c>
      <c r="W50">
        <v>4.4669999999999996</v>
      </c>
      <c r="X50">
        <v>9.5250000000000004</v>
      </c>
      <c r="Y50">
        <v>32.56</v>
      </c>
      <c r="Z50">
        <v>42.57</v>
      </c>
      <c r="AA50">
        <v>40.28</v>
      </c>
      <c r="AB50">
        <v>27762</v>
      </c>
      <c r="AC50">
        <v>37375</v>
      </c>
      <c r="AD50">
        <v>9937</v>
      </c>
    </row>
    <row r="51" spans="1:30">
      <c r="A51" t="str">
        <f>VLOOKUP(F51,info!$A$2:$G$49,3,FALSE)</f>
        <v>Peugeot</v>
      </c>
      <c r="B51">
        <v>5</v>
      </c>
      <c r="C51" t="s">
        <v>29</v>
      </c>
      <c r="D51" t="s">
        <v>77</v>
      </c>
      <c r="E51" t="s">
        <v>84</v>
      </c>
      <c r="F51">
        <v>9367324</v>
      </c>
      <c r="G51" s="1" t="s">
        <v>32</v>
      </c>
      <c r="H51">
        <v>109118</v>
      </c>
      <c r="I51">
        <v>27297</v>
      </c>
      <c r="J51">
        <v>2606</v>
      </c>
      <c r="K51">
        <v>374525</v>
      </c>
      <c r="L51">
        <v>343.4</v>
      </c>
      <c r="M51">
        <v>60.57</v>
      </c>
      <c r="N51">
        <v>670</v>
      </c>
      <c r="O51">
        <v>23241</v>
      </c>
      <c r="P51">
        <v>62867</v>
      </c>
      <c r="Q51">
        <v>56695</v>
      </c>
      <c r="R51">
        <v>78.13</v>
      </c>
      <c r="S51">
        <v>220.5</v>
      </c>
      <c r="T51">
        <v>110.6</v>
      </c>
      <c r="U51">
        <v>5100</v>
      </c>
      <c r="V51">
        <v>26.95</v>
      </c>
      <c r="W51">
        <v>1.5229999999999999</v>
      </c>
      <c r="X51">
        <v>5.0410000000000004</v>
      </c>
      <c r="Y51">
        <v>14.29</v>
      </c>
      <c r="Z51">
        <v>0</v>
      </c>
      <c r="AA51">
        <v>0</v>
      </c>
      <c r="AB51">
        <v>9705</v>
      </c>
      <c r="AC51">
        <v>28938</v>
      </c>
      <c r="AD51">
        <v>2358</v>
      </c>
    </row>
    <row r="52" spans="1:30">
      <c r="A52" t="str">
        <f>VLOOKUP(F52,info!$A$2:$G$49,3,FALSE)</f>
        <v>Peugeot</v>
      </c>
      <c r="B52">
        <v>5</v>
      </c>
      <c r="C52" t="s">
        <v>29</v>
      </c>
      <c r="D52" t="s">
        <v>77</v>
      </c>
      <c r="E52" t="s">
        <v>85</v>
      </c>
      <c r="F52">
        <v>9367324</v>
      </c>
      <c r="G52" s="1" t="s">
        <v>32</v>
      </c>
      <c r="H52">
        <v>105621</v>
      </c>
      <c r="I52">
        <v>26971</v>
      </c>
      <c r="J52">
        <v>2683</v>
      </c>
      <c r="K52">
        <v>371467</v>
      </c>
      <c r="L52">
        <v>264.7</v>
      </c>
      <c r="M52">
        <v>57.43</v>
      </c>
      <c r="N52">
        <v>678.6</v>
      </c>
      <c r="O52">
        <v>23081</v>
      </c>
      <c r="P52">
        <v>62534</v>
      </c>
      <c r="Q52">
        <v>56497</v>
      </c>
      <c r="R52">
        <v>77.5</v>
      </c>
      <c r="S52">
        <v>272</v>
      </c>
      <c r="T52">
        <v>114.8</v>
      </c>
      <c r="U52">
        <v>5271</v>
      </c>
      <c r="V52">
        <v>27.99</v>
      </c>
      <c r="W52">
        <v>7.73</v>
      </c>
      <c r="X52">
        <v>0</v>
      </c>
      <c r="Y52">
        <v>14.54</v>
      </c>
      <c r="Z52">
        <v>7.9880000000000004</v>
      </c>
      <c r="AA52">
        <v>15.93</v>
      </c>
      <c r="AB52">
        <v>9136</v>
      </c>
      <c r="AC52">
        <v>28036</v>
      </c>
      <c r="AD52">
        <v>2342</v>
      </c>
    </row>
    <row r="53" spans="1:30">
      <c r="A53" t="str">
        <f>VLOOKUP(F53,info!$A$2:$G$49,3,FALSE)</f>
        <v>Mazda</v>
      </c>
      <c r="B53">
        <v>6</v>
      </c>
      <c r="C53" t="s">
        <v>29</v>
      </c>
      <c r="D53" t="s">
        <v>77</v>
      </c>
      <c r="E53" t="s">
        <v>86</v>
      </c>
      <c r="F53" s="2">
        <v>3550828</v>
      </c>
      <c r="G53" s="1" t="s">
        <v>32</v>
      </c>
      <c r="H53">
        <v>89592</v>
      </c>
      <c r="I53">
        <v>27724</v>
      </c>
      <c r="J53">
        <v>10525</v>
      </c>
      <c r="K53">
        <v>348625</v>
      </c>
      <c r="L53">
        <v>209</v>
      </c>
      <c r="M53">
        <v>56.98</v>
      </c>
      <c r="N53">
        <v>6041</v>
      </c>
      <c r="O53">
        <v>31740</v>
      </c>
      <c r="P53">
        <v>58342</v>
      </c>
      <c r="Q53">
        <v>52986</v>
      </c>
      <c r="R53">
        <v>194</v>
      </c>
      <c r="S53">
        <v>281.5</v>
      </c>
      <c r="T53">
        <v>86.53</v>
      </c>
      <c r="U53">
        <v>3530</v>
      </c>
      <c r="V53">
        <v>25.57</v>
      </c>
      <c r="W53">
        <v>3.2120000000000002</v>
      </c>
      <c r="X53">
        <v>9.8059999999999992</v>
      </c>
      <c r="Y53">
        <v>22.14</v>
      </c>
      <c r="Z53">
        <v>23.81</v>
      </c>
      <c r="AA53">
        <v>25.99</v>
      </c>
      <c r="AB53">
        <v>9970</v>
      </c>
      <c r="AC53">
        <v>26429</v>
      </c>
      <c r="AD53">
        <v>3819</v>
      </c>
    </row>
    <row r="54" spans="1:30">
      <c r="A54" t="str">
        <f>VLOOKUP(F54,info!$A$2:$G$49,3,FALSE)</f>
        <v>Mazda</v>
      </c>
      <c r="B54">
        <v>6</v>
      </c>
      <c r="C54" t="s">
        <v>29</v>
      </c>
      <c r="D54" t="s">
        <v>77</v>
      </c>
      <c r="E54" t="s">
        <v>87</v>
      </c>
      <c r="F54" s="2">
        <v>3550828</v>
      </c>
      <c r="G54" s="1" t="s">
        <v>32</v>
      </c>
      <c r="H54">
        <v>94489</v>
      </c>
      <c r="I54">
        <v>28840</v>
      </c>
      <c r="J54">
        <v>10198</v>
      </c>
      <c r="K54">
        <v>356425</v>
      </c>
      <c r="L54">
        <v>275.3</v>
      </c>
      <c r="M54">
        <v>102.6</v>
      </c>
      <c r="N54">
        <v>6118</v>
      </c>
      <c r="O54">
        <v>31699</v>
      </c>
      <c r="P54">
        <v>59411</v>
      </c>
      <c r="Q54">
        <v>53867</v>
      </c>
      <c r="R54">
        <v>178.7</v>
      </c>
      <c r="S54">
        <v>267.10000000000002</v>
      </c>
      <c r="T54">
        <v>75.92</v>
      </c>
      <c r="U54">
        <v>3506</v>
      </c>
      <c r="V54">
        <v>17.61</v>
      </c>
      <c r="W54">
        <v>4.1029999999999998</v>
      </c>
      <c r="X54">
        <v>0</v>
      </c>
      <c r="Y54">
        <v>22.57</v>
      </c>
      <c r="Z54">
        <v>19.670000000000002</v>
      </c>
      <c r="AA54">
        <v>20.55</v>
      </c>
      <c r="AB54">
        <v>5177</v>
      </c>
      <c r="AC54">
        <v>27703</v>
      </c>
      <c r="AD54">
        <v>3801</v>
      </c>
    </row>
    <row r="55" spans="1:30">
      <c r="A55" t="str">
        <f>VLOOKUP(F55,info!$A$2:$G$49,3,FALSE)</f>
        <v>Honda</v>
      </c>
      <c r="B55">
        <v>8</v>
      </c>
      <c r="C55" t="s">
        <v>29</v>
      </c>
      <c r="D55" t="s">
        <v>77</v>
      </c>
      <c r="E55" t="s">
        <v>88</v>
      </c>
      <c r="F55">
        <v>8096906</v>
      </c>
      <c r="G55" s="1" t="s">
        <v>32</v>
      </c>
      <c r="H55">
        <v>110190</v>
      </c>
      <c r="I55">
        <v>29428</v>
      </c>
      <c r="J55">
        <v>1767</v>
      </c>
      <c r="K55">
        <v>389532</v>
      </c>
      <c r="L55">
        <v>422</v>
      </c>
      <c r="M55">
        <v>180.5</v>
      </c>
      <c r="N55">
        <v>474.7</v>
      </c>
      <c r="O55">
        <v>23863</v>
      </c>
      <c r="P55">
        <v>61493</v>
      </c>
      <c r="Q55">
        <v>56014</v>
      </c>
      <c r="R55">
        <v>73.89</v>
      </c>
      <c r="S55">
        <v>98.31</v>
      </c>
      <c r="T55">
        <v>26.72</v>
      </c>
      <c r="U55">
        <v>2757</v>
      </c>
      <c r="V55">
        <v>6.3310000000000004</v>
      </c>
      <c r="W55">
        <v>1.847</v>
      </c>
      <c r="X55">
        <v>0</v>
      </c>
      <c r="Y55">
        <v>16.510000000000002</v>
      </c>
      <c r="Z55">
        <v>0</v>
      </c>
      <c r="AA55">
        <v>25.49</v>
      </c>
      <c r="AB55">
        <v>8778</v>
      </c>
      <c r="AC55">
        <v>32790</v>
      </c>
      <c r="AD55">
        <v>2331</v>
      </c>
    </row>
    <row r="56" spans="1:30">
      <c r="A56" t="str">
        <f>VLOOKUP(F56,info!$A$2:$G$49,3,FALSE)</f>
        <v>Honda</v>
      </c>
      <c r="B56">
        <v>8</v>
      </c>
      <c r="C56" t="s">
        <v>29</v>
      </c>
      <c r="D56" t="s">
        <v>77</v>
      </c>
      <c r="E56" t="s">
        <v>89</v>
      </c>
      <c r="F56">
        <v>8096906</v>
      </c>
      <c r="G56" s="1" t="s">
        <v>32</v>
      </c>
      <c r="H56">
        <v>104001</v>
      </c>
      <c r="I56">
        <v>26361</v>
      </c>
      <c r="J56">
        <v>2152</v>
      </c>
      <c r="K56">
        <v>361858</v>
      </c>
      <c r="L56">
        <v>455.9</v>
      </c>
      <c r="M56">
        <v>299.89999999999998</v>
      </c>
      <c r="N56">
        <v>438.2</v>
      </c>
      <c r="O56">
        <v>27188</v>
      </c>
      <c r="P56">
        <v>59362</v>
      </c>
      <c r="Q56">
        <v>53213</v>
      </c>
      <c r="R56">
        <v>104</v>
      </c>
      <c r="S56">
        <v>78.48</v>
      </c>
      <c r="T56">
        <v>23.94</v>
      </c>
      <c r="U56">
        <v>2588</v>
      </c>
      <c r="V56">
        <v>6.8170000000000002</v>
      </c>
      <c r="W56">
        <v>3.94</v>
      </c>
      <c r="X56">
        <v>0</v>
      </c>
      <c r="Y56">
        <v>15.61</v>
      </c>
      <c r="Z56">
        <v>19.2</v>
      </c>
      <c r="AA56">
        <v>8.093</v>
      </c>
      <c r="AB56">
        <v>37568</v>
      </c>
      <c r="AC56">
        <v>41955</v>
      </c>
      <c r="AD56">
        <v>14521</v>
      </c>
    </row>
    <row r="57" spans="1:30">
      <c r="A57" t="str">
        <f>VLOOKUP(F57,info!$A$2:$G$49,3,FALSE)</f>
        <v>Honda</v>
      </c>
      <c r="B57">
        <v>9</v>
      </c>
      <c r="C57" t="s">
        <v>29</v>
      </c>
      <c r="D57" t="s">
        <v>77</v>
      </c>
      <c r="E57" t="s">
        <v>90</v>
      </c>
      <c r="F57" s="2">
        <v>8096906</v>
      </c>
      <c r="G57" s="1" t="s">
        <v>34</v>
      </c>
      <c r="H57">
        <v>98702</v>
      </c>
      <c r="I57">
        <v>28091</v>
      </c>
      <c r="J57">
        <v>2178</v>
      </c>
      <c r="K57">
        <v>388769</v>
      </c>
      <c r="L57">
        <v>414.2</v>
      </c>
      <c r="M57">
        <v>187.6</v>
      </c>
      <c r="N57">
        <v>496.7</v>
      </c>
      <c r="O57">
        <v>23931</v>
      </c>
      <c r="P57">
        <v>62412</v>
      </c>
      <c r="Q57">
        <v>56706</v>
      </c>
      <c r="R57">
        <v>75.13</v>
      </c>
      <c r="S57">
        <v>282.60000000000002</v>
      </c>
      <c r="T57">
        <v>34.700000000000003</v>
      </c>
      <c r="U57">
        <v>3461</v>
      </c>
      <c r="V57">
        <v>17.09</v>
      </c>
      <c r="W57">
        <v>10.77</v>
      </c>
      <c r="X57">
        <v>11.79</v>
      </c>
      <c r="Y57">
        <v>13.09</v>
      </c>
      <c r="Z57">
        <v>2.2000000000000002</v>
      </c>
      <c r="AA57">
        <v>33.090000000000003</v>
      </c>
      <c r="AB57">
        <v>9334</v>
      </c>
      <c r="AC57">
        <v>31046</v>
      </c>
      <c r="AD57">
        <v>2488</v>
      </c>
    </row>
    <row r="58" spans="1:30">
      <c r="A58" t="str">
        <f>VLOOKUP(F58,info!$A$2:$G$49,3,FALSE)</f>
        <v>Ford</v>
      </c>
      <c r="B58">
        <v>10</v>
      </c>
      <c r="C58" t="s">
        <v>29</v>
      </c>
      <c r="D58" t="s">
        <v>77</v>
      </c>
      <c r="E58" t="s">
        <v>91</v>
      </c>
      <c r="F58">
        <v>6917835</v>
      </c>
      <c r="G58" s="1" t="s">
        <v>32</v>
      </c>
      <c r="H58">
        <v>94341</v>
      </c>
      <c r="I58">
        <v>29167</v>
      </c>
      <c r="J58">
        <v>6122</v>
      </c>
      <c r="K58">
        <v>371896</v>
      </c>
      <c r="L58">
        <v>369.7</v>
      </c>
      <c r="M58">
        <v>119.8</v>
      </c>
      <c r="N58">
        <v>2613</v>
      </c>
      <c r="O58">
        <v>26054</v>
      </c>
      <c r="P58">
        <v>61903</v>
      </c>
      <c r="Q58">
        <v>55567</v>
      </c>
      <c r="R58">
        <v>238.8</v>
      </c>
      <c r="S58">
        <v>404.1</v>
      </c>
      <c r="T58">
        <v>70.64</v>
      </c>
      <c r="U58">
        <v>6774</v>
      </c>
      <c r="V58">
        <v>40.229999999999997</v>
      </c>
      <c r="W58">
        <v>11.11</v>
      </c>
      <c r="X58">
        <v>5.7439999999999998</v>
      </c>
      <c r="Y58">
        <v>13.82</v>
      </c>
      <c r="Z58">
        <v>0</v>
      </c>
      <c r="AA58">
        <v>41.11</v>
      </c>
      <c r="AB58">
        <v>11862</v>
      </c>
      <c r="AC58">
        <v>26542</v>
      </c>
      <c r="AD58">
        <v>3121</v>
      </c>
    </row>
    <row r="59" spans="1:30">
      <c r="A59" t="str">
        <f>VLOOKUP(F59,info!$A$2:$G$49,3,FALSE)</f>
        <v>Honda</v>
      </c>
      <c r="B59">
        <v>11</v>
      </c>
      <c r="C59" t="s">
        <v>29</v>
      </c>
      <c r="D59" t="s">
        <v>77</v>
      </c>
      <c r="E59" t="s">
        <v>92</v>
      </c>
      <c r="F59" s="2">
        <v>8096906</v>
      </c>
      <c r="G59" s="1" t="s">
        <v>34</v>
      </c>
      <c r="H59">
        <v>93716</v>
      </c>
      <c r="I59">
        <v>24851</v>
      </c>
      <c r="J59">
        <v>1745</v>
      </c>
      <c r="K59">
        <v>353722</v>
      </c>
      <c r="L59">
        <v>286.60000000000002</v>
      </c>
      <c r="M59">
        <v>289</v>
      </c>
      <c r="N59">
        <v>385.7</v>
      </c>
      <c r="O59">
        <v>26195</v>
      </c>
      <c r="P59">
        <v>61354</v>
      </c>
      <c r="Q59">
        <v>54450</v>
      </c>
      <c r="R59">
        <v>87</v>
      </c>
      <c r="S59">
        <v>408.2</v>
      </c>
      <c r="T59">
        <v>66.58</v>
      </c>
      <c r="U59">
        <v>3853</v>
      </c>
      <c r="V59">
        <v>21.33</v>
      </c>
      <c r="W59">
        <v>9.0749999999999993</v>
      </c>
      <c r="X59">
        <v>9.5670000000000002</v>
      </c>
      <c r="Y59">
        <v>17.82</v>
      </c>
      <c r="Z59">
        <v>0</v>
      </c>
      <c r="AA59">
        <v>16.18</v>
      </c>
      <c r="AB59">
        <v>37073</v>
      </c>
      <c r="AC59">
        <v>39483</v>
      </c>
      <c r="AD59">
        <v>14724</v>
      </c>
    </row>
    <row r="60" spans="1:30">
      <c r="A60" t="str">
        <f>VLOOKUP(F60,info!$A$2:$G$49,3,FALSE)</f>
        <v>Daewoo</v>
      </c>
      <c r="B60">
        <v>12</v>
      </c>
      <c r="C60" t="s">
        <v>29</v>
      </c>
      <c r="D60" t="s">
        <v>77</v>
      </c>
      <c r="E60" t="s">
        <v>93</v>
      </c>
      <c r="F60">
        <v>8501017</v>
      </c>
      <c r="G60" s="1" t="s">
        <v>34</v>
      </c>
      <c r="H60">
        <v>97620</v>
      </c>
      <c r="I60">
        <v>28589</v>
      </c>
      <c r="J60">
        <v>7562</v>
      </c>
      <c r="K60">
        <v>379595</v>
      </c>
      <c r="L60">
        <v>532</v>
      </c>
      <c r="M60">
        <v>30.85</v>
      </c>
      <c r="N60">
        <v>4691</v>
      </c>
      <c r="O60">
        <v>31256</v>
      </c>
      <c r="P60">
        <v>59582</v>
      </c>
      <c r="Q60">
        <v>53995</v>
      </c>
      <c r="R60">
        <v>215.3</v>
      </c>
      <c r="S60">
        <v>308.60000000000002</v>
      </c>
      <c r="T60">
        <v>69.61</v>
      </c>
      <c r="U60">
        <v>3724</v>
      </c>
      <c r="V60">
        <v>21.26</v>
      </c>
      <c r="W60">
        <v>3.4470000000000001</v>
      </c>
      <c r="X60">
        <v>11.86</v>
      </c>
      <c r="Y60">
        <v>21.21</v>
      </c>
      <c r="Z60">
        <v>9.0760000000000005</v>
      </c>
      <c r="AA60">
        <v>36.08</v>
      </c>
      <c r="AB60">
        <v>11126</v>
      </c>
      <c r="AC60">
        <v>29401</v>
      </c>
      <c r="AD60">
        <v>3733</v>
      </c>
    </row>
    <row r="61" spans="1:30">
      <c r="A61" t="str">
        <f>VLOOKUP(F61,info!$A$2:$G$49,3,FALSE)</f>
        <v>Daewoo</v>
      </c>
      <c r="B61">
        <v>12</v>
      </c>
      <c r="C61" t="s">
        <v>29</v>
      </c>
      <c r="D61" t="s">
        <v>77</v>
      </c>
      <c r="E61" t="s">
        <v>94</v>
      </c>
      <c r="F61">
        <v>8501017</v>
      </c>
      <c r="G61" s="1" t="s">
        <v>34</v>
      </c>
      <c r="H61">
        <v>100098</v>
      </c>
      <c r="I61">
        <v>27964</v>
      </c>
      <c r="J61">
        <v>8493</v>
      </c>
      <c r="K61">
        <v>366991</v>
      </c>
      <c r="L61">
        <v>542.9</v>
      </c>
      <c r="M61">
        <v>77.27</v>
      </c>
      <c r="N61">
        <v>4613</v>
      </c>
      <c r="O61">
        <v>31761</v>
      </c>
      <c r="P61">
        <v>58670</v>
      </c>
      <c r="Q61">
        <v>52809</v>
      </c>
      <c r="R61">
        <v>231.5</v>
      </c>
      <c r="S61">
        <v>207.5</v>
      </c>
      <c r="T61">
        <v>51.8</v>
      </c>
      <c r="U61">
        <v>3366</v>
      </c>
      <c r="V61">
        <v>11.05</v>
      </c>
      <c r="W61">
        <v>5.2190000000000003</v>
      </c>
      <c r="X61">
        <v>0</v>
      </c>
      <c r="Y61">
        <v>21.05</v>
      </c>
      <c r="Z61">
        <v>23.56</v>
      </c>
      <c r="AA61">
        <v>29.42</v>
      </c>
      <c r="AB61">
        <v>27660</v>
      </c>
      <c r="AC61">
        <v>36587</v>
      </c>
      <c r="AD61">
        <v>10380</v>
      </c>
    </row>
    <row r="62" spans="1:30">
      <c r="A62" t="str">
        <f>VLOOKUP(F62,info!$A$2:$G$49,3,FALSE)</f>
        <v>Peugeot</v>
      </c>
      <c r="B62">
        <v>14</v>
      </c>
      <c r="C62" t="s">
        <v>29</v>
      </c>
      <c r="D62" t="s">
        <v>77</v>
      </c>
      <c r="E62" t="s">
        <v>95</v>
      </c>
      <c r="F62">
        <v>9367324</v>
      </c>
      <c r="G62" s="1" t="s">
        <v>34</v>
      </c>
      <c r="H62">
        <v>119774</v>
      </c>
      <c r="I62">
        <v>30545</v>
      </c>
      <c r="J62">
        <v>7444</v>
      </c>
      <c r="K62">
        <v>379315</v>
      </c>
      <c r="L62">
        <v>466.4</v>
      </c>
      <c r="M62">
        <v>314.7</v>
      </c>
      <c r="N62">
        <v>3224</v>
      </c>
      <c r="O62">
        <v>34212</v>
      </c>
      <c r="P62">
        <v>71851</v>
      </c>
      <c r="Q62">
        <v>64293</v>
      </c>
      <c r="R62">
        <v>260.3</v>
      </c>
      <c r="S62">
        <v>98.35</v>
      </c>
      <c r="T62">
        <v>72.3</v>
      </c>
      <c r="U62">
        <v>2907</v>
      </c>
      <c r="V62">
        <v>20.77</v>
      </c>
      <c r="W62">
        <v>4.8380000000000001</v>
      </c>
      <c r="X62">
        <v>0</v>
      </c>
      <c r="Y62">
        <v>22.49</v>
      </c>
      <c r="Z62">
        <v>5.4139999999999997</v>
      </c>
      <c r="AA62">
        <v>0</v>
      </c>
      <c r="AB62">
        <v>28248</v>
      </c>
      <c r="AC62">
        <v>45059</v>
      </c>
      <c r="AD62">
        <v>11448</v>
      </c>
    </row>
    <row r="63" spans="1:30">
      <c r="A63" t="str">
        <f>VLOOKUP(F63,info!$A$2:$G$49,3,FALSE)</f>
        <v>Ford</v>
      </c>
      <c r="B63">
        <v>15</v>
      </c>
      <c r="C63" t="s">
        <v>29</v>
      </c>
      <c r="D63" t="s">
        <v>77</v>
      </c>
      <c r="E63" t="s">
        <v>96</v>
      </c>
      <c r="F63">
        <v>6917835</v>
      </c>
      <c r="G63" t="s">
        <v>34</v>
      </c>
      <c r="H63">
        <v>113595</v>
      </c>
      <c r="I63">
        <v>33426</v>
      </c>
      <c r="J63">
        <v>6884</v>
      </c>
      <c r="K63">
        <v>407778</v>
      </c>
      <c r="L63">
        <v>375.3</v>
      </c>
      <c r="M63">
        <v>62.4</v>
      </c>
      <c r="N63">
        <v>2713</v>
      </c>
      <c r="O63">
        <v>29476</v>
      </c>
      <c r="P63">
        <v>65008</v>
      </c>
      <c r="Q63">
        <v>58186</v>
      </c>
      <c r="R63">
        <v>253.3</v>
      </c>
      <c r="S63">
        <v>211.7</v>
      </c>
      <c r="T63">
        <v>58.36</v>
      </c>
      <c r="U63">
        <v>6134</v>
      </c>
      <c r="V63">
        <v>30.53</v>
      </c>
      <c r="W63">
        <v>15.29</v>
      </c>
      <c r="X63">
        <v>2.0089999999999999</v>
      </c>
      <c r="Y63">
        <v>23.58</v>
      </c>
      <c r="Z63">
        <v>27.58</v>
      </c>
      <c r="AA63">
        <v>55.97</v>
      </c>
      <c r="AB63">
        <v>13283</v>
      </c>
      <c r="AC63">
        <v>29561</v>
      </c>
      <c r="AD63">
        <v>3630</v>
      </c>
    </row>
    <row r="64" spans="1:30">
      <c r="A64" t="str">
        <f>VLOOKUP(F64,info!$A$2:$G$49,3,FALSE)</f>
        <v>Hyundai</v>
      </c>
      <c r="B64">
        <v>16</v>
      </c>
      <c r="C64" t="s">
        <v>29</v>
      </c>
      <c r="D64" t="s">
        <v>77</v>
      </c>
      <c r="E64" t="s">
        <v>97</v>
      </c>
      <c r="F64">
        <v>6316720</v>
      </c>
      <c r="G64" t="s">
        <v>34</v>
      </c>
      <c r="H64">
        <v>104277</v>
      </c>
      <c r="I64">
        <v>29144</v>
      </c>
      <c r="J64">
        <v>8448</v>
      </c>
      <c r="K64">
        <v>371220</v>
      </c>
      <c r="L64">
        <v>480.8</v>
      </c>
      <c r="M64">
        <v>401.7</v>
      </c>
      <c r="N64">
        <v>3198</v>
      </c>
      <c r="O64">
        <v>34382</v>
      </c>
      <c r="P64">
        <v>72334</v>
      </c>
      <c r="Q64">
        <v>65236</v>
      </c>
      <c r="R64">
        <v>239.7</v>
      </c>
      <c r="S64">
        <v>338.7</v>
      </c>
      <c r="T64">
        <v>107.1</v>
      </c>
      <c r="U64">
        <v>3761</v>
      </c>
      <c r="V64">
        <v>36.840000000000003</v>
      </c>
      <c r="W64">
        <v>9.1910000000000007</v>
      </c>
      <c r="X64">
        <v>0</v>
      </c>
      <c r="Y64">
        <v>25.69</v>
      </c>
      <c r="Z64">
        <v>8.2850000000000001</v>
      </c>
      <c r="AA64">
        <v>0</v>
      </c>
      <c r="AB64">
        <v>24936</v>
      </c>
      <c r="AC64">
        <v>46141</v>
      </c>
      <c r="AD64">
        <v>11711</v>
      </c>
    </row>
    <row r="65" spans="1:30">
      <c r="A65" t="str">
        <f>VLOOKUP(F65,info!$A$2:$G$49,3,FALSE)</f>
        <v>Hyundai</v>
      </c>
      <c r="B65">
        <v>17</v>
      </c>
      <c r="C65" t="s">
        <v>29</v>
      </c>
      <c r="D65" t="s">
        <v>77</v>
      </c>
      <c r="E65" t="s">
        <v>98</v>
      </c>
      <c r="F65">
        <v>6316720</v>
      </c>
      <c r="G65" t="s">
        <v>34</v>
      </c>
      <c r="H65">
        <v>108132</v>
      </c>
      <c r="I65">
        <v>29579</v>
      </c>
      <c r="J65">
        <v>8377</v>
      </c>
      <c r="K65">
        <v>378324</v>
      </c>
      <c r="L65">
        <v>532.79999999999995</v>
      </c>
      <c r="M65">
        <v>366.8</v>
      </c>
      <c r="N65">
        <v>3245</v>
      </c>
      <c r="O65">
        <v>36571</v>
      </c>
      <c r="P65">
        <v>73851</v>
      </c>
      <c r="Q65">
        <v>66326</v>
      </c>
      <c r="R65">
        <v>238.1</v>
      </c>
      <c r="S65">
        <v>379</v>
      </c>
      <c r="T65">
        <v>104.8</v>
      </c>
      <c r="U65">
        <v>3970</v>
      </c>
      <c r="V65">
        <v>31.8</v>
      </c>
      <c r="W65">
        <v>13.75</v>
      </c>
      <c r="X65">
        <v>19.89</v>
      </c>
      <c r="Y65">
        <v>20.98</v>
      </c>
      <c r="Z65">
        <v>24.62</v>
      </c>
      <c r="AA65">
        <v>41.87</v>
      </c>
      <c r="AB65">
        <v>27133</v>
      </c>
      <c r="AC65">
        <v>48940</v>
      </c>
      <c r="AD65">
        <v>12722</v>
      </c>
    </row>
    <row r="66" spans="1:30">
      <c r="A66" t="str">
        <f>VLOOKUP(F66,info!$A$2:$G$49,3,FALSE)</f>
        <v>Honda</v>
      </c>
      <c r="B66">
        <v>18</v>
      </c>
      <c r="C66" t="s">
        <v>29</v>
      </c>
      <c r="D66" t="s">
        <v>77</v>
      </c>
      <c r="E66" t="s">
        <v>99</v>
      </c>
      <c r="F66">
        <v>8096906</v>
      </c>
      <c r="G66" t="s">
        <v>32</v>
      </c>
      <c r="H66">
        <v>101310</v>
      </c>
      <c r="I66">
        <v>26481</v>
      </c>
      <c r="J66">
        <v>2029</v>
      </c>
      <c r="K66">
        <v>375477</v>
      </c>
      <c r="L66">
        <v>285.5</v>
      </c>
      <c r="M66">
        <v>262.89999999999998</v>
      </c>
      <c r="N66">
        <v>400.7</v>
      </c>
      <c r="O66">
        <v>27080</v>
      </c>
      <c r="P66">
        <v>62638</v>
      </c>
      <c r="Q66">
        <v>55521</v>
      </c>
      <c r="R66">
        <v>92.5</v>
      </c>
      <c r="S66">
        <v>331.4</v>
      </c>
      <c r="T66">
        <v>43.68</v>
      </c>
      <c r="U66">
        <v>3639</v>
      </c>
      <c r="V66">
        <v>19.05</v>
      </c>
      <c r="W66">
        <v>15.1</v>
      </c>
      <c r="X66">
        <v>10.71</v>
      </c>
      <c r="Y66">
        <v>16.57</v>
      </c>
      <c r="Z66">
        <v>4.5919999999999996</v>
      </c>
      <c r="AA66">
        <v>21.89</v>
      </c>
      <c r="AB66">
        <v>36883</v>
      </c>
      <c r="AC66">
        <v>42188</v>
      </c>
      <c r="AD66">
        <v>14484</v>
      </c>
    </row>
    <row r="67" spans="1:30">
      <c r="A67" t="str">
        <f>VLOOKUP(F67,info!$A$2:$G$49,3,FALSE)</f>
        <v>Hyundai</v>
      </c>
      <c r="B67">
        <v>19</v>
      </c>
      <c r="C67" t="s">
        <v>29</v>
      </c>
      <c r="D67" t="s">
        <v>77</v>
      </c>
      <c r="E67" t="s">
        <v>100</v>
      </c>
      <c r="F67">
        <v>6316720</v>
      </c>
      <c r="G67" t="s">
        <v>32</v>
      </c>
      <c r="H67">
        <v>112324</v>
      </c>
      <c r="I67">
        <v>30102</v>
      </c>
      <c r="J67">
        <v>7988</v>
      </c>
      <c r="K67">
        <v>385652</v>
      </c>
      <c r="L67">
        <v>522.20000000000005</v>
      </c>
      <c r="M67">
        <v>367.7</v>
      </c>
      <c r="N67">
        <v>3249</v>
      </c>
      <c r="O67">
        <v>34124</v>
      </c>
      <c r="P67">
        <v>73325</v>
      </c>
      <c r="Q67">
        <v>65042</v>
      </c>
      <c r="R67">
        <v>249.5</v>
      </c>
      <c r="S67">
        <v>229.4</v>
      </c>
      <c r="T67">
        <v>76.3</v>
      </c>
      <c r="U67">
        <v>3024</v>
      </c>
      <c r="V67">
        <v>23.12</v>
      </c>
      <c r="W67">
        <v>6.1269999999999998</v>
      </c>
      <c r="X67">
        <v>5.8460000000000001</v>
      </c>
      <c r="Y67">
        <v>15.65</v>
      </c>
      <c r="Z67">
        <v>7.7679999999999998</v>
      </c>
      <c r="AA67">
        <v>25.93</v>
      </c>
      <c r="AB67">
        <v>29001</v>
      </c>
      <c r="AC67">
        <v>44340</v>
      </c>
      <c r="AD67">
        <v>11682</v>
      </c>
    </row>
    <row r="68" spans="1:30">
      <c r="A68" t="str">
        <f>VLOOKUP(F68,info!$A$2:$G$49,3,FALSE)</f>
        <v>Fiat</v>
      </c>
      <c r="B68">
        <v>20</v>
      </c>
      <c r="C68" t="s">
        <v>29</v>
      </c>
      <c r="D68" t="s">
        <v>77</v>
      </c>
      <c r="E68" t="s">
        <v>101</v>
      </c>
      <c r="F68">
        <v>5751910</v>
      </c>
      <c r="G68" t="s">
        <v>34</v>
      </c>
      <c r="H68">
        <v>107190</v>
      </c>
      <c r="I68">
        <v>27835</v>
      </c>
      <c r="J68">
        <v>5165</v>
      </c>
      <c r="K68">
        <v>378293</v>
      </c>
      <c r="L68">
        <v>269.2</v>
      </c>
      <c r="M68">
        <v>194.8</v>
      </c>
      <c r="N68">
        <v>2873</v>
      </c>
      <c r="O68">
        <v>28826</v>
      </c>
      <c r="P68">
        <v>58499</v>
      </c>
      <c r="Q68">
        <v>52304</v>
      </c>
      <c r="R68">
        <v>272.8</v>
      </c>
      <c r="S68">
        <v>317.10000000000002</v>
      </c>
      <c r="T68">
        <v>68.540000000000006</v>
      </c>
      <c r="U68">
        <v>5554</v>
      </c>
      <c r="V68">
        <v>28.31</v>
      </c>
      <c r="W68">
        <v>7.8650000000000002</v>
      </c>
      <c r="X68">
        <v>14.04</v>
      </c>
      <c r="Y68">
        <v>19.45</v>
      </c>
      <c r="Z68">
        <v>2.5249999999999999</v>
      </c>
      <c r="AA68">
        <v>9.0020000000000007</v>
      </c>
      <c r="AB68">
        <v>33645</v>
      </c>
      <c r="AC68">
        <v>38413</v>
      </c>
      <c r="AD68">
        <v>12426</v>
      </c>
    </row>
    <row r="69" spans="1:30">
      <c r="A69" t="str">
        <f>VLOOKUP(F69,info!$A$2:$G$49,3,FALSE)</f>
        <v>Hyundai</v>
      </c>
      <c r="B69">
        <v>21</v>
      </c>
      <c r="C69" t="s">
        <v>29</v>
      </c>
      <c r="D69" t="s">
        <v>77</v>
      </c>
      <c r="E69" t="s">
        <v>102</v>
      </c>
      <c r="F69">
        <v>5826120</v>
      </c>
      <c r="G69" t="s">
        <v>52</v>
      </c>
      <c r="H69">
        <v>104434</v>
      </c>
      <c r="I69">
        <v>28586</v>
      </c>
      <c r="J69">
        <v>7453</v>
      </c>
      <c r="K69">
        <v>376117</v>
      </c>
      <c r="L69">
        <v>581.20000000000005</v>
      </c>
      <c r="M69">
        <v>345.9</v>
      </c>
      <c r="N69">
        <v>2654</v>
      </c>
      <c r="O69">
        <v>31799</v>
      </c>
      <c r="P69">
        <v>73993</v>
      </c>
      <c r="Q69">
        <v>65546</v>
      </c>
      <c r="R69">
        <v>294.3</v>
      </c>
      <c r="S69">
        <v>392.8</v>
      </c>
      <c r="T69">
        <v>110.7</v>
      </c>
      <c r="U69">
        <v>3569</v>
      </c>
      <c r="V69">
        <v>26.56</v>
      </c>
      <c r="W69">
        <v>8.0109999999999992</v>
      </c>
      <c r="X69">
        <v>15.6</v>
      </c>
      <c r="Y69">
        <v>19.82</v>
      </c>
      <c r="Z69">
        <v>23.56</v>
      </c>
      <c r="AA69">
        <v>32.840000000000003</v>
      </c>
      <c r="AB69">
        <v>30543</v>
      </c>
      <c r="AC69">
        <v>41308</v>
      </c>
      <c r="AD69">
        <v>11166</v>
      </c>
    </row>
    <row r="70" spans="1:30">
      <c r="A70" t="str">
        <f>VLOOKUP(F70,info!$A$2:$G$49,3,FALSE)</f>
        <v>Daewoo</v>
      </c>
      <c r="B70">
        <v>22</v>
      </c>
      <c r="C70" t="s">
        <v>29</v>
      </c>
      <c r="D70" t="s">
        <v>77</v>
      </c>
      <c r="E70" t="s">
        <v>103</v>
      </c>
      <c r="F70">
        <v>8501017</v>
      </c>
      <c r="G70" s="1" t="s">
        <v>34</v>
      </c>
      <c r="H70">
        <v>98544</v>
      </c>
      <c r="I70">
        <v>27607</v>
      </c>
      <c r="J70">
        <v>7365</v>
      </c>
      <c r="K70">
        <v>370300</v>
      </c>
      <c r="L70">
        <v>568.9</v>
      </c>
      <c r="M70">
        <v>63.27</v>
      </c>
      <c r="N70">
        <v>4660</v>
      </c>
      <c r="O70">
        <v>31956</v>
      </c>
      <c r="P70">
        <v>59115</v>
      </c>
      <c r="Q70">
        <v>53361</v>
      </c>
      <c r="R70">
        <v>232.9</v>
      </c>
      <c r="S70">
        <v>316.89999999999998</v>
      </c>
      <c r="T70">
        <v>63.1</v>
      </c>
      <c r="U70">
        <v>3668</v>
      </c>
      <c r="V70">
        <v>19.79</v>
      </c>
      <c r="W70">
        <v>4.3099999999999996</v>
      </c>
      <c r="X70">
        <v>0</v>
      </c>
      <c r="Y70">
        <v>19.940000000000001</v>
      </c>
      <c r="Z70">
        <v>10.27</v>
      </c>
      <c r="AA70">
        <v>5.1749999999999998</v>
      </c>
      <c r="AB70">
        <v>25748</v>
      </c>
      <c r="AC70">
        <v>36444</v>
      </c>
      <c r="AD70">
        <v>10173</v>
      </c>
    </row>
    <row r="71" spans="1:30">
      <c r="A71" t="str">
        <f>VLOOKUP(F71,info!$A$2:$G$49,3,FALSE)</f>
        <v>Daewoo</v>
      </c>
      <c r="B71">
        <v>23</v>
      </c>
      <c r="C71" t="s">
        <v>29</v>
      </c>
      <c r="D71" t="s">
        <v>77</v>
      </c>
      <c r="E71" t="s">
        <v>104</v>
      </c>
      <c r="F71">
        <v>8501017</v>
      </c>
      <c r="G71" s="1" t="s">
        <v>32</v>
      </c>
      <c r="H71">
        <v>96335</v>
      </c>
      <c r="I71">
        <v>28316</v>
      </c>
      <c r="J71">
        <v>8470</v>
      </c>
      <c r="K71">
        <v>371941</v>
      </c>
      <c r="L71">
        <v>490.3</v>
      </c>
      <c r="M71">
        <v>99.31</v>
      </c>
      <c r="N71">
        <v>4706</v>
      </c>
      <c r="O71">
        <v>30623</v>
      </c>
      <c r="P71">
        <v>58182</v>
      </c>
      <c r="Q71">
        <v>52892</v>
      </c>
      <c r="R71">
        <v>216.2</v>
      </c>
      <c r="S71">
        <v>218.6</v>
      </c>
      <c r="T71">
        <v>56.52</v>
      </c>
      <c r="U71">
        <v>3320</v>
      </c>
      <c r="V71">
        <v>25.56</v>
      </c>
      <c r="W71">
        <v>5.8029999999999999</v>
      </c>
      <c r="X71">
        <v>0</v>
      </c>
      <c r="Y71">
        <v>21.88</v>
      </c>
      <c r="Z71">
        <v>28.22</v>
      </c>
      <c r="AA71">
        <v>28.69</v>
      </c>
      <c r="AB71">
        <v>10469</v>
      </c>
      <c r="AC71">
        <v>28987</v>
      </c>
      <c r="AD71">
        <v>3667</v>
      </c>
    </row>
    <row r="72" spans="1:30">
      <c r="A72" t="str">
        <f>VLOOKUP(F72,info!$A$2:$G$49,3,FALSE)</f>
        <v>Mitsubishi</v>
      </c>
      <c r="B72">
        <v>24</v>
      </c>
      <c r="C72" t="s">
        <v>29</v>
      </c>
      <c r="D72" t="s">
        <v>77</v>
      </c>
      <c r="E72" t="s">
        <v>105</v>
      </c>
      <c r="F72">
        <v>7027220</v>
      </c>
      <c r="G72" s="1" t="s">
        <v>32</v>
      </c>
      <c r="H72">
        <v>112252</v>
      </c>
      <c r="I72">
        <v>32731</v>
      </c>
      <c r="J72">
        <v>11802</v>
      </c>
      <c r="K72">
        <v>386804</v>
      </c>
      <c r="L72">
        <v>293.3</v>
      </c>
      <c r="M72">
        <v>36.57</v>
      </c>
      <c r="N72">
        <v>2411</v>
      </c>
      <c r="O72">
        <v>30927</v>
      </c>
      <c r="P72">
        <v>62436</v>
      </c>
      <c r="Q72">
        <v>56345</v>
      </c>
      <c r="R72">
        <v>337.1</v>
      </c>
      <c r="S72">
        <v>141.1</v>
      </c>
      <c r="T72">
        <v>134.30000000000001</v>
      </c>
      <c r="U72">
        <v>2328</v>
      </c>
      <c r="V72">
        <v>12.78</v>
      </c>
      <c r="W72">
        <v>4.4210000000000003</v>
      </c>
      <c r="X72">
        <v>7.2510000000000003</v>
      </c>
      <c r="Y72">
        <v>32.43</v>
      </c>
      <c r="Z72">
        <v>13.06</v>
      </c>
      <c r="AA72">
        <v>26.59</v>
      </c>
      <c r="AB72">
        <v>24875</v>
      </c>
      <c r="AC72">
        <v>39819</v>
      </c>
      <c r="AD72">
        <v>9458</v>
      </c>
    </row>
    <row r="73" spans="1:30">
      <c r="A73" t="str">
        <f>VLOOKUP(F73,info!$A$2:$G$49,3,FALSE)</f>
        <v>Subaru</v>
      </c>
      <c r="B73">
        <v>25</v>
      </c>
      <c r="C73" t="s">
        <v>29</v>
      </c>
      <c r="D73" t="s">
        <v>77</v>
      </c>
      <c r="E73" t="s">
        <v>106</v>
      </c>
      <c r="F73">
        <v>2675308</v>
      </c>
      <c r="G73" s="1" t="s">
        <v>34</v>
      </c>
      <c r="H73">
        <v>107512</v>
      </c>
      <c r="I73">
        <v>27688</v>
      </c>
      <c r="J73">
        <v>10634</v>
      </c>
      <c r="K73">
        <v>374303</v>
      </c>
      <c r="L73">
        <v>317.39999999999998</v>
      </c>
      <c r="M73">
        <v>268.7</v>
      </c>
      <c r="N73">
        <v>5240</v>
      </c>
      <c r="O73">
        <v>35815</v>
      </c>
      <c r="P73">
        <v>64049</v>
      </c>
      <c r="Q73">
        <v>57548</v>
      </c>
      <c r="R73">
        <v>194.8</v>
      </c>
      <c r="S73">
        <v>186.3</v>
      </c>
      <c r="T73">
        <v>58.11</v>
      </c>
      <c r="U73">
        <v>2109</v>
      </c>
      <c r="V73">
        <v>13.42</v>
      </c>
      <c r="W73">
        <v>8.4179999999999993</v>
      </c>
      <c r="X73">
        <v>2.819</v>
      </c>
      <c r="Y73">
        <v>22.4</v>
      </c>
      <c r="Z73">
        <v>14.53</v>
      </c>
      <c r="AA73">
        <v>31.73</v>
      </c>
      <c r="AB73">
        <v>27683</v>
      </c>
      <c r="AC73">
        <v>43502</v>
      </c>
      <c r="AD73">
        <v>11982</v>
      </c>
    </row>
    <row r="74" spans="1:30">
      <c r="A74" t="str">
        <f>VLOOKUP(F74,info!$A$2:$G$49,3,FALSE)</f>
        <v>Subaru</v>
      </c>
      <c r="B74">
        <v>25</v>
      </c>
      <c r="C74" t="s">
        <v>29</v>
      </c>
      <c r="D74" t="s">
        <v>77</v>
      </c>
      <c r="E74" t="s">
        <v>107</v>
      </c>
      <c r="F74">
        <v>2675308</v>
      </c>
      <c r="G74" s="1" t="s">
        <v>34</v>
      </c>
      <c r="H74">
        <v>102350</v>
      </c>
      <c r="I74">
        <v>27996</v>
      </c>
      <c r="J74">
        <v>12074</v>
      </c>
      <c r="K74">
        <v>390846</v>
      </c>
      <c r="L74">
        <v>491.9</v>
      </c>
      <c r="M74">
        <v>118.2</v>
      </c>
      <c r="N74">
        <v>5506</v>
      </c>
      <c r="O74">
        <v>34370</v>
      </c>
      <c r="P74">
        <v>64518</v>
      </c>
      <c r="Q74">
        <v>58324</v>
      </c>
      <c r="R74">
        <v>207.9</v>
      </c>
      <c r="S74">
        <v>234.6</v>
      </c>
      <c r="T74">
        <v>67.069999999999993</v>
      </c>
      <c r="U74">
        <v>2546</v>
      </c>
      <c r="V74">
        <v>26.78</v>
      </c>
      <c r="W74">
        <v>8.4350000000000005</v>
      </c>
      <c r="X74">
        <v>8.077</v>
      </c>
      <c r="Y74">
        <v>26.39</v>
      </c>
      <c r="Z74">
        <v>8.1189999999999998</v>
      </c>
      <c r="AA74">
        <v>11.4</v>
      </c>
      <c r="AB74">
        <v>10707</v>
      </c>
      <c r="AC74">
        <v>32749</v>
      </c>
      <c r="AD74">
        <v>4163</v>
      </c>
    </row>
    <row r="75" spans="1:30">
      <c r="A75" t="str">
        <f>VLOOKUP(F75,info!$A$2:$G$49,3,FALSE)</f>
        <v>Mitsubishi</v>
      </c>
      <c r="B75">
        <v>26</v>
      </c>
      <c r="C75" t="s">
        <v>29</v>
      </c>
      <c r="D75" t="s">
        <v>77</v>
      </c>
      <c r="E75" t="s">
        <v>108</v>
      </c>
      <c r="F75">
        <v>7027220</v>
      </c>
      <c r="G75" s="1" t="s">
        <v>34</v>
      </c>
      <c r="H75">
        <v>105718</v>
      </c>
      <c r="I75">
        <v>31983</v>
      </c>
      <c r="J75">
        <v>11341</v>
      </c>
      <c r="K75">
        <v>371831</v>
      </c>
      <c r="L75">
        <v>308</v>
      </c>
      <c r="M75">
        <v>96.94</v>
      </c>
      <c r="N75">
        <v>4379</v>
      </c>
      <c r="O75">
        <v>32113</v>
      </c>
      <c r="P75">
        <v>58994</v>
      </c>
      <c r="Q75">
        <v>53142</v>
      </c>
      <c r="R75">
        <v>465.9</v>
      </c>
      <c r="S75">
        <v>315.60000000000002</v>
      </c>
      <c r="T75">
        <v>118.6</v>
      </c>
      <c r="U75">
        <v>2766</v>
      </c>
      <c r="V75">
        <v>26.7</v>
      </c>
      <c r="W75">
        <v>12.13</v>
      </c>
      <c r="X75">
        <v>14.37</v>
      </c>
      <c r="Y75">
        <v>25.57</v>
      </c>
      <c r="Z75">
        <v>21.37</v>
      </c>
      <c r="AA75">
        <v>14.22</v>
      </c>
      <c r="AB75">
        <v>29312</v>
      </c>
      <c r="AC75">
        <v>39517</v>
      </c>
      <c r="AD75">
        <v>11817</v>
      </c>
    </row>
    <row r="76" spans="1:30">
      <c r="A76" t="str">
        <f>VLOOKUP(F76,info!$A$2:$G$49,3,FALSE)</f>
        <v>Fiat</v>
      </c>
      <c r="B76">
        <v>27</v>
      </c>
      <c r="C76" t="s">
        <v>29</v>
      </c>
      <c r="D76" t="s">
        <v>77</v>
      </c>
      <c r="E76" t="s">
        <v>109</v>
      </c>
      <c r="F76">
        <v>5751910</v>
      </c>
      <c r="G76" t="s">
        <v>32</v>
      </c>
      <c r="H76">
        <v>115880</v>
      </c>
      <c r="I76">
        <v>31650</v>
      </c>
      <c r="J76">
        <v>5396</v>
      </c>
      <c r="K76">
        <v>417256</v>
      </c>
      <c r="L76">
        <v>304</v>
      </c>
      <c r="M76">
        <v>124.1</v>
      </c>
      <c r="N76">
        <v>2981</v>
      </c>
      <c r="O76">
        <v>29684</v>
      </c>
      <c r="P76">
        <v>61408</v>
      </c>
      <c r="Q76">
        <v>54992</v>
      </c>
      <c r="R76">
        <v>255.4</v>
      </c>
      <c r="S76">
        <v>279.7</v>
      </c>
      <c r="T76">
        <v>69.23</v>
      </c>
      <c r="U76">
        <v>5422</v>
      </c>
      <c r="V76">
        <v>36.43</v>
      </c>
      <c r="W76">
        <v>11.85</v>
      </c>
      <c r="X76">
        <v>0</v>
      </c>
      <c r="Y76">
        <v>22.32</v>
      </c>
      <c r="Z76">
        <v>9.3559999999999999</v>
      </c>
      <c r="AA76">
        <v>28.7</v>
      </c>
      <c r="AB76">
        <v>11197</v>
      </c>
      <c r="AC76">
        <v>29337</v>
      </c>
      <c r="AD76">
        <v>3475</v>
      </c>
    </row>
    <row r="77" spans="1:30">
      <c r="A77" t="str">
        <f>VLOOKUP(F77,info!$A$2:$G$49,3,FALSE)</f>
        <v>Subaru</v>
      </c>
      <c r="B77">
        <v>28</v>
      </c>
      <c r="C77" t="s">
        <v>29</v>
      </c>
      <c r="D77" t="s">
        <v>77</v>
      </c>
      <c r="E77" t="s">
        <v>110</v>
      </c>
      <c r="F77">
        <v>2675308</v>
      </c>
      <c r="G77" t="s">
        <v>32</v>
      </c>
      <c r="H77">
        <v>101253</v>
      </c>
      <c r="I77">
        <v>27662</v>
      </c>
      <c r="J77">
        <v>10207</v>
      </c>
      <c r="K77">
        <v>373413</v>
      </c>
      <c r="L77">
        <v>317</v>
      </c>
      <c r="M77">
        <v>58.74</v>
      </c>
      <c r="N77">
        <v>5242</v>
      </c>
      <c r="O77">
        <v>34300</v>
      </c>
      <c r="P77">
        <v>62958</v>
      </c>
      <c r="Q77">
        <v>57201</v>
      </c>
      <c r="R77">
        <v>181.3</v>
      </c>
      <c r="S77">
        <v>204.5</v>
      </c>
      <c r="T77">
        <v>75.489999999999995</v>
      </c>
      <c r="U77">
        <v>2484</v>
      </c>
      <c r="V77">
        <v>19.7</v>
      </c>
      <c r="W77">
        <v>8.7449999999999992</v>
      </c>
      <c r="X77">
        <v>1.742</v>
      </c>
      <c r="Y77">
        <v>24.79</v>
      </c>
      <c r="Z77">
        <v>17.97</v>
      </c>
      <c r="AA77">
        <v>11.67</v>
      </c>
      <c r="AB77">
        <v>8726</v>
      </c>
      <c r="AC77">
        <v>31315</v>
      </c>
      <c r="AD77">
        <v>4180</v>
      </c>
    </row>
    <row r="78" spans="1:30">
      <c r="A78" t="str">
        <f>VLOOKUP(F78,info!$A$2:$G$49,3,FALSE)</f>
        <v>Subaru</v>
      </c>
      <c r="B78">
        <v>28</v>
      </c>
      <c r="C78" t="s">
        <v>29</v>
      </c>
      <c r="D78" t="s">
        <v>77</v>
      </c>
      <c r="E78" t="s">
        <v>111</v>
      </c>
      <c r="F78">
        <v>2675308</v>
      </c>
      <c r="G78" t="s">
        <v>32</v>
      </c>
      <c r="H78">
        <v>98836</v>
      </c>
      <c r="I78">
        <v>25711</v>
      </c>
      <c r="J78">
        <v>11003</v>
      </c>
      <c r="K78">
        <v>356166</v>
      </c>
      <c r="L78">
        <v>562.79999999999995</v>
      </c>
      <c r="M78">
        <v>207.1</v>
      </c>
      <c r="N78">
        <v>5055</v>
      </c>
      <c r="O78">
        <v>34377</v>
      </c>
      <c r="P78">
        <v>59909</v>
      </c>
      <c r="Q78">
        <v>54472</v>
      </c>
      <c r="R78">
        <v>199</v>
      </c>
      <c r="S78">
        <v>118.9</v>
      </c>
      <c r="T78">
        <v>61.34</v>
      </c>
      <c r="U78">
        <v>1827</v>
      </c>
      <c r="V78">
        <v>13.08</v>
      </c>
      <c r="W78">
        <v>6.0679999999999996</v>
      </c>
      <c r="X78">
        <v>9.9</v>
      </c>
      <c r="Y78">
        <v>28.97</v>
      </c>
      <c r="Z78">
        <v>25.34</v>
      </c>
      <c r="AA78">
        <v>26.64</v>
      </c>
      <c r="AB78">
        <v>25522</v>
      </c>
      <c r="AC78">
        <v>40594</v>
      </c>
      <c r="AD78">
        <v>10496</v>
      </c>
    </row>
    <row r="79" spans="1:30">
      <c r="A79" t="str">
        <f>VLOOKUP(F79,info!$A$2:$G$49,3,FALSE)</f>
        <v>Renault</v>
      </c>
      <c r="B79">
        <v>29</v>
      </c>
      <c r="C79" t="s">
        <v>29</v>
      </c>
      <c r="D79" t="s">
        <v>77</v>
      </c>
      <c r="E79" t="s">
        <v>112</v>
      </c>
      <c r="F79">
        <v>1147816</v>
      </c>
      <c r="G79" t="s">
        <v>52</v>
      </c>
      <c r="H79">
        <v>101391</v>
      </c>
      <c r="I79">
        <v>28029</v>
      </c>
      <c r="J79">
        <v>5994</v>
      </c>
      <c r="K79">
        <v>325800</v>
      </c>
      <c r="L79">
        <v>211.4</v>
      </c>
      <c r="M79">
        <v>134.6</v>
      </c>
      <c r="N79">
        <v>1059</v>
      </c>
      <c r="O79">
        <v>24987</v>
      </c>
      <c r="P79">
        <v>54366</v>
      </c>
      <c r="Q79">
        <v>49289</v>
      </c>
      <c r="R79">
        <v>265.89999999999998</v>
      </c>
      <c r="S79">
        <v>16.78</v>
      </c>
      <c r="T79">
        <v>141.4</v>
      </c>
      <c r="U79">
        <v>2495</v>
      </c>
      <c r="V79">
        <v>9.2100000000000009</v>
      </c>
      <c r="W79">
        <v>7.3449999999999998</v>
      </c>
      <c r="X79">
        <v>2.665</v>
      </c>
      <c r="Y79">
        <v>4.6900000000000004</v>
      </c>
      <c r="Z79">
        <v>0</v>
      </c>
      <c r="AA79">
        <v>18.600000000000001</v>
      </c>
      <c r="AB79">
        <v>28543</v>
      </c>
      <c r="AC79">
        <v>35546</v>
      </c>
      <c r="AD79">
        <v>10071</v>
      </c>
    </row>
    <row r="80" spans="1:30">
      <c r="A80" t="str">
        <f>VLOOKUP(F80,info!$A$2:$G$49,3,FALSE)</f>
        <v>Ford</v>
      </c>
      <c r="B80">
        <v>30</v>
      </c>
      <c r="C80" t="s">
        <v>29</v>
      </c>
      <c r="D80" t="s">
        <v>77</v>
      </c>
      <c r="E80" t="s">
        <v>113</v>
      </c>
      <c r="F80">
        <v>6917835</v>
      </c>
      <c r="G80" t="s">
        <v>34</v>
      </c>
      <c r="H80">
        <v>91824</v>
      </c>
      <c r="I80">
        <v>27543</v>
      </c>
      <c r="J80">
        <v>6323</v>
      </c>
      <c r="K80">
        <v>333751</v>
      </c>
      <c r="L80">
        <v>302</v>
      </c>
      <c r="M80">
        <v>124.7</v>
      </c>
      <c r="N80">
        <v>2291</v>
      </c>
      <c r="O80">
        <v>24600</v>
      </c>
      <c r="P80">
        <v>55444</v>
      </c>
      <c r="Q80">
        <v>50626</v>
      </c>
      <c r="R80">
        <v>222.3</v>
      </c>
      <c r="S80">
        <v>12.87</v>
      </c>
      <c r="T80">
        <v>22.76</v>
      </c>
      <c r="U80">
        <v>4975</v>
      </c>
      <c r="V80">
        <v>15.88</v>
      </c>
      <c r="W80">
        <v>5.6479999999999997</v>
      </c>
      <c r="X80">
        <v>2.7719999999999998</v>
      </c>
      <c r="Y80">
        <v>4.5890000000000004</v>
      </c>
      <c r="Z80">
        <v>18.82</v>
      </c>
      <c r="AA80">
        <v>42.31</v>
      </c>
      <c r="AB80">
        <v>10341</v>
      </c>
      <c r="AC80">
        <v>25046</v>
      </c>
      <c r="AD80">
        <v>2847</v>
      </c>
    </row>
    <row r="81" spans="1:30">
      <c r="A81" t="str">
        <f>VLOOKUP(F81,info!$A$2:$G$49,3,FALSE)</f>
        <v>Hyundai</v>
      </c>
      <c r="B81">
        <v>31</v>
      </c>
      <c r="C81" t="s">
        <v>29</v>
      </c>
      <c r="D81" t="s">
        <v>77</v>
      </c>
      <c r="E81" t="s">
        <v>114</v>
      </c>
      <c r="F81">
        <v>9602910</v>
      </c>
      <c r="G81" s="1" t="s">
        <v>52</v>
      </c>
      <c r="H81">
        <v>93177</v>
      </c>
      <c r="I81">
        <v>25563</v>
      </c>
      <c r="J81">
        <v>7624</v>
      </c>
      <c r="K81">
        <v>326521</v>
      </c>
      <c r="L81">
        <v>332.5</v>
      </c>
      <c r="M81">
        <v>251.1</v>
      </c>
      <c r="N81">
        <v>3403</v>
      </c>
      <c r="O81">
        <v>31855</v>
      </c>
      <c r="P81">
        <v>63971</v>
      </c>
      <c r="Q81">
        <v>57866</v>
      </c>
      <c r="R81">
        <v>240.6</v>
      </c>
      <c r="S81">
        <v>9.2080000000000002</v>
      </c>
      <c r="T81">
        <v>53.78</v>
      </c>
      <c r="U81">
        <v>2397</v>
      </c>
      <c r="V81">
        <v>13.88</v>
      </c>
      <c r="W81">
        <v>3.8679999999999999</v>
      </c>
      <c r="X81">
        <v>0</v>
      </c>
      <c r="Y81">
        <v>3.355</v>
      </c>
      <c r="Z81">
        <v>3.6659999999999999</v>
      </c>
      <c r="AA81">
        <v>35.130000000000003</v>
      </c>
      <c r="AB81">
        <v>22461</v>
      </c>
      <c r="AC81">
        <v>37655</v>
      </c>
      <c r="AD81">
        <v>9759</v>
      </c>
    </row>
    <row r="82" spans="1:30">
      <c r="A82" t="str">
        <f>VLOOKUP(F82,info!$A$2:$G$49,3,FALSE)</f>
        <v>Hyundai</v>
      </c>
      <c r="B82">
        <v>32</v>
      </c>
      <c r="C82" t="s">
        <v>29</v>
      </c>
      <c r="D82" t="s">
        <v>77</v>
      </c>
      <c r="E82" t="s">
        <v>115</v>
      </c>
      <c r="F82">
        <v>9602910</v>
      </c>
      <c r="G82" s="1" t="s">
        <v>34</v>
      </c>
      <c r="H82">
        <v>84727</v>
      </c>
      <c r="I82">
        <v>23624</v>
      </c>
      <c r="J82">
        <v>6835</v>
      </c>
      <c r="K82">
        <v>310199</v>
      </c>
      <c r="L82">
        <v>306.3</v>
      </c>
      <c r="M82">
        <v>227.3</v>
      </c>
      <c r="N82">
        <v>3278</v>
      </c>
      <c r="O82">
        <v>30586</v>
      </c>
      <c r="P82">
        <v>62153</v>
      </c>
      <c r="Q82">
        <v>56152</v>
      </c>
      <c r="R82">
        <v>230.6</v>
      </c>
      <c r="S82">
        <v>13.42</v>
      </c>
      <c r="T82">
        <v>54.07</v>
      </c>
      <c r="U82">
        <v>2340</v>
      </c>
      <c r="V82">
        <v>9.3989999999999991</v>
      </c>
      <c r="W82">
        <v>4.6189999999999998</v>
      </c>
      <c r="X82">
        <v>0</v>
      </c>
      <c r="Y82">
        <v>3.1560000000000001</v>
      </c>
      <c r="Z82">
        <v>0</v>
      </c>
      <c r="AA82">
        <v>17.34</v>
      </c>
      <c r="AB82">
        <v>20866</v>
      </c>
      <c r="AC82">
        <v>35267</v>
      </c>
      <c r="AD82">
        <v>9239</v>
      </c>
    </row>
    <row r="83" spans="1:30">
      <c r="A83" t="str">
        <f>VLOOKUP(F83,info!$A$2:$G$49,3,FALSE)</f>
        <v>Hyundai</v>
      </c>
      <c r="B83">
        <v>33</v>
      </c>
      <c r="C83" t="s">
        <v>29</v>
      </c>
      <c r="D83" t="s">
        <v>77</v>
      </c>
      <c r="E83" t="s">
        <v>116</v>
      </c>
      <c r="F83">
        <v>9602910</v>
      </c>
      <c r="G83" s="1" t="s">
        <v>52</v>
      </c>
      <c r="H83">
        <v>87097</v>
      </c>
      <c r="I83">
        <v>25222</v>
      </c>
      <c r="J83">
        <v>6759</v>
      </c>
      <c r="K83">
        <v>324049</v>
      </c>
      <c r="L83">
        <v>329</v>
      </c>
      <c r="M83">
        <v>169</v>
      </c>
      <c r="N83">
        <v>2885</v>
      </c>
      <c r="O83">
        <v>29021</v>
      </c>
      <c r="P83">
        <v>63157</v>
      </c>
      <c r="Q83">
        <v>57730</v>
      </c>
      <c r="R83">
        <v>188.3</v>
      </c>
      <c r="S83">
        <v>11.61</v>
      </c>
      <c r="T83">
        <v>56.26</v>
      </c>
      <c r="U83">
        <v>2512</v>
      </c>
      <c r="V83">
        <v>24.1</v>
      </c>
      <c r="W83">
        <v>7.5709999999999997</v>
      </c>
      <c r="X83">
        <v>11.35</v>
      </c>
      <c r="Y83">
        <v>2.6560000000000001</v>
      </c>
      <c r="Z83">
        <v>8.1140000000000008</v>
      </c>
      <c r="AA83">
        <v>8.02</v>
      </c>
      <c r="AB83">
        <v>3596</v>
      </c>
      <c r="AC83">
        <v>31866</v>
      </c>
      <c r="AD83">
        <v>3356</v>
      </c>
    </row>
    <row r="84" spans="1:30">
      <c r="A84" t="str">
        <f>VLOOKUP(F84,info!$A$2:$G$49,3,FALSE)</f>
        <v>Hyundai</v>
      </c>
      <c r="B84">
        <v>34</v>
      </c>
      <c r="C84" t="s">
        <v>29</v>
      </c>
      <c r="D84" t="s">
        <v>77</v>
      </c>
      <c r="E84" t="s">
        <v>117</v>
      </c>
      <c r="F84">
        <v>9602910</v>
      </c>
      <c r="G84" s="1" t="s">
        <v>52</v>
      </c>
      <c r="H84">
        <v>90208</v>
      </c>
      <c r="I84">
        <v>23870</v>
      </c>
      <c r="J84">
        <v>6426</v>
      </c>
      <c r="K84">
        <v>308844</v>
      </c>
      <c r="L84">
        <v>388.1</v>
      </c>
      <c r="M84">
        <v>290.10000000000002</v>
      </c>
      <c r="N84">
        <v>2696</v>
      </c>
      <c r="O84">
        <v>29457</v>
      </c>
      <c r="P84">
        <v>62652</v>
      </c>
      <c r="Q84">
        <v>56925</v>
      </c>
      <c r="R84">
        <v>233.3</v>
      </c>
      <c r="S84">
        <v>13.83</v>
      </c>
      <c r="T84">
        <v>54.79</v>
      </c>
      <c r="U84">
        <v>2392</v>
      </c>
      <c r="V84">
        <v>21.18</v>
      </c>
      <c r="W84">
        <v>6.4429999999999996</v>
      </c>
      <c r="X84">
        <v>8.2360000000000007</v>
      </c>
      <c r="Y84">
        <v>3.39</v>
      </c>
      <c r="Z84">
        <v>5.9560000000000004</v>
      </c>
      <c r="AA84">
        <v>10.6</v>
      </c>
      <c r="AB84">
        <v>25074</v>
      </c>
      <c r="AC84">
        <v>36856</v>
      </c>
      <c r="AD84">
        <v>10682</v>
      </c>
    </row>
    <row r="85" spans="1:30">
      <c r="A85" t="str">
        <f>VLOOKUP(F85,info!$A$2:$G$49,3,FALSE)</f>
        <v>Hyundai</v>
      </c>
      <c r="B85">
        <v>35</v>
      </c>
      <c r="C85" t="s">
        <v>29</v>
      </c>
      <c r="D85" t="s">
        <v>77</v>
      </c>
      <c r="E85" t="s">
        <v>118</v>
      </c>
      <c r="F85">
        <v>5826120</v>
      </c>
      <c r="G85" s="1" t="s">
        <v>32</v>
      </c>
      <c r="H85">
        <v>107930</v>
      </c>
      <c r="I85">
        <v>28085</v>
      </c>
      <c r="J85">
        <v>6721</v>
      </c>
      <c r="K85">
        <v>355398</v>
      </c>
      <c r="L85">
        <v>490.4</v>
      </c>
      <c r="M85">
        <v>333.4</v>
      </c>
      <c r="N85">
        <v>2416</v>
      </c>
      <c r="O85">
        <v>31658</v>
      </c>
      <c r="P85">
        <v>65921</v>
      </c>
      <c r="Q85">
        <v>59236</v>
      </c>
      <c r="R85">
        <v>254</v>
      </c>
      <c r="S85">
        <v>18.2</v>
      </c>
      <c r="T85">
        <v>63.82</v>
      </c>
      <c r="U85">
        <v>1893</v>
      </c>
      <c r="V85">
        <v>2.7360000000000002</v>
      </c>
      <c r="W85">
        <v>5.08</v>
      </c>
      <c r="X85">
        <v>2.738</v>
      </c>
      <c r="Y85">
        <v>6.0460000000000003</v>
      </c>
      <c r="Z85">
        <v>0</v>
      </c>
      <c r="AA85">
        <v>28.48</v>
      </c>
      <c r="AB85">
        <v>21171</v>
      </c>
      <c r="AC85">
        <v>40482</v>
      </c>
      <c r="AD85">
        <v>9101</v>
      </c>
    </row>
    <row r="86" spans="1:30">
      <c r="A86" t="str">
        <f>VLOOKUP(F86,info!$A$2:$G$49,3,FALSE)</f>
        <v>Hyundai</v>
      </c>
      <c r="B86">
        <v>36</v>
      </c>
      <c r="C86" t="s">
        <v>29</v>
      </c>
      <c r="D86" t="s">
        <v>77</v>
      </c>
      <c r="E86" t="s">
        <v>119</v>
      </c>
      <c r="F86">
        <v>5826120</v>
      </c>
      <c r="G86" s="1" t="s">
        <v>34</v>
      </c>
      <c r="H86">
        <v>85507</v>
      </c>
      <c r="I86">
        <v>28541</v>
      </c>
      <c r="J86">
        <v>11359</v>
      </c>
      <c r="K86">
        <v>328211</v>
      </c>
      <c r="L86">
        <v>399.9</v>
      </c>
      <c r="M86">
        <v>18.690000000000001</v>
      </c>
      <c r="N86">
        <v>5679</v>
      </c>
      <c r="O86">
        <v>31706</v>
      </c>
      <c r="P86">
        <v>57613</v>
      </c>
      <c r="Q86">
        <v>52483</v>
      </c>
      <c r="R86">
        <v>287</v>
      </c>
      <c r="S86">
        <v>12.23</v>
      </c>
      <c r="T86">
        <v>133.19999999999999</v>
      </c>
      <c r="U86">
        <v>2356</v>
      </c>
      <c r="V86">
        <v>11.48</v>
      </c>
      <c r="W86">
        <v>7.7409999999999997</v>
      </c>
      <c r="X86">
        <v>17.04</v>
      </c>
      <c r="Y86">
        <v>11.69</v>
      </c>
      <c r="Z86">
        <v>0</v>
      </c>
      <c r="AA86">
        <v>21.87</v>
      </c>
      <c r="AB86">
        <v>10134</v>
      </c>
      <c r="AC86">
        <v>27160</v>
      </c>
      <c r="AD86">
        <v>3736</v>
      </c>
    </row>
    <row r="87" spans="1:30">
      <c r="A87" t="str">
        <f>VLOOKUP(F87,info!$A$2:$G$49,3,FALSE)</f>
        <v>Ford</v>
      </c>
      <c r="B87">
        <v>37</v>
      </c>
      <c r="C87" t="s">
        <v>29</v>
      </c>
      <c r="D87" t="s">
        <v>77</v>
      </c>
      <c r="E87" t="s">
        <v>120</v>
      </c>
      <c r="F87">
        <v>6917835</v>
      </c>
      <c r="G87" t="s">
        <v>32</v>
      </c>
      <c r="H87">
        <v>96610</v>
      </c>
      <c r="I87">
        <v>25730</v>
      </c>
      <c r="J87">
        <v>5499</v>
      </c>
      <c r="K87">
        <v>325274</v>
      </c>
      <c r="L87">
        <v>253.9</v>
      </c>
      <c r="M87">
        <v>71.44</v>
      </c>
      <c r="N87">
        <v>2390</v>
      </c>
      <c r="O87">
        <v>27297</v>
      </c>
      <c r="P87">
        <v>56321</v>
      </c>
      <c r="Q87">
        <v>50081</v>
      </c>
      <c r="R87">
        <v>239.4</v>
      </c>
      <c r="S87">
        <v>12.49</v>
      </c>
      <c r="T87">
        <v>25.72</v>
      </c>
      <c r="U87">
        <v>4745</v>
      </c>
      <c r="V87">
        <v>13.9</v>
      </c>
      <c r="W87">
        <v>5.8879999999999999</v>
      </c>
      <c r="X87">
        <v>2.5430000000000001</v>
      </c>
      <c r="Y87">
        <v>3.5870000000000002</v>
      </c>
      <c r="Z87">
        <v>4.3630000000000004</v>
      </c>
      <c r="AA87">
        <v>68.63</v>
      </c>
      <c r="AB87">
        <v>40323</v>
      </c>
      <c r="AC87">
        <v>38846</v>
      </c>
      <c r="AD87">
        <v>15244</v>
      </c>
    </row>
    <row r="88" spans="1:30">
      <c r="A88" t="str">
        <f>VLOOKUP(F88,info!$A$2:$G$49,3,FALSE)</f>
        <v>Renault</v>
      </c>
      <c r="B88">
        <v>39</v>
      </c>
      <c r="C88" t="s">
        <v>29</v>
      </c>
      <c r="D88" t="s">
        <v>77</v>
      </c>
      <c r="E88" t="s">
        <v>121</v>
      </c>
      <c r="F88">
        <v>1147816</v>
      </c>
      <c r="G88" t="s">
        <v>52</v>
      </c>
      <c r="H88">
        <v>100740</v>
      </c>
      <c r="I88">
        <v>28473</v>
      </c>
      <c r="J88">
        <v>6243</v>
      </c>
      <c r="K88">
        <v>332796</v>
      </c>
      <c r="L88">
        <v>177</v>
      </c>
      <c r="M88">
        <v>26.54</v>
      </c>
      <c r="N88">
        <v>1082</v>
      </c>
      <c r="O88">
        <v>22542</v>
      </c>
      <c r="P88">
        <v>53798</v>
      </c>
      <c r="Q88">
        <v>49618</v>
      </c>
      <c r="R88">
        <v>253.5</v>
      </c>
      <c r="S88">
        <v>15.54</v>
      </c>
      <c r="T88">
        <v>133.4</v>
      </c>
      <c r="U88">
        <v>2671</v>
      </c>
      <c r="V88">
        <v>13.64</v>
      </c>
      <c r="W88">
        <v>6.3810000000000002</v>
      </c>
      <c r="X88">
        <v>7.8390000000000004</v>
      </c>
      <c r="Y88">
        <v>6.3630000000000004</v>
      </c>
      <c r="Z88">
        <v>0</v>
      </c>
      <c r="AA88">
        <v>33.35</v>
      </c>
      <c r="AB88">
        <v>10908</v>
      </c>
      <c r="AC88">
        <v>26838</v>
      </c>
      <c r="AD88">
        <v>2302</v>
      </c>
    </row>
    <row r="89" spans="1:30">
      <c r="A89" t="str">
        <f>VLOOKUP(F89,info!$A$2:$G$49,3,FALSE)</f>
        <v>Subaru</v>
      </c>
      <c r="B89">
        <v>40</v>
      </c>
      <c r="C89" t="s">
        <v>29</v>
      </c>
      <c r="D89" t="s">
        <v>77</v>
      </c>
      <c r="E89" t="s">
        <v>122</v>
      </c>
      <c r="F89">
        <v>2675308</v>
      </c>
      <c r="G89" t="s">
        <v>34</v>
      </c>
      <c r="H89">
        <v>95505</v>
      </c>
      <c r="I89">
        <v>25891</v>
      </c>
      <c r="J89">
        <v>9656</v>
      </c>
      <c r="K89">
        <v>338472</v>
      </c>
      <c r="L89">
        <v>377.5</v>
      </c>
      <c r="M89">
        <v>134.6</v>
      </c>
      <c r="N89">
        <v>4764</v>
      </c>
      <c r="O89">
        <v>31207</v>
      </c>
      <c r="P89">
        <v>57928</v>
      </c>
      <c r="Q89">
        <v>53154</v>
      </c>
      <c r="R89">
        <v>168</v>
      </c>
      <c r="S89">
        <v>9.952</v>
      </c>
      <c r="T89">
        <v>40.83</v>
      </c>
      <c r="U89">
        <v>1597</v>
      </c>
      <c r="V89">
        <v>17.239999999999998</v>
      </c>
      <c r="W89">
        <v>4.1310000000000002</v>
      </c>
      <c r="X89">
        <v>13.1</v>
      </c>
      <c r="Y89">
        <v>1.9219999999999999</v>
      </c>
      <c r="Z89">
        <v>0</v>
      </c>
      <c r="AA89">
        <v>0</v>
      </c>
      <c r="AB89">
        <v>6044</v>
      </c>
      <c r="AC89">
        <v>29599</v>
      </c>
      <c r="AD89">
        <v>3725</v>
      </c>
    </row>
    <row r="90" spans="1:30">
      <c r="A90" t="str">
        <f>VLOOKUP(F90,info!$A$2:$G$49,3,FALSE)</f>
        <v>Fiat</v>
      </c>
      <c r="B90">
        <v>41</v>
      </c>
      <c r="C90" t="s">
        <v>29</v>
      </c>
      <c r="D90" t="s">
        <v>77</v>
      </c>
      <c r="E90" t="s">
        <v>123</v>
      </c>
      <c r="F90">
        <v>5751910</v>
      </c>
      <c r="G90" t="s">
        <v>34</v>
      </c>
      <c r="H90">
        <v>96632</v>
      </c>
      <c r="I90">
        <v>24629</v>
      </c>
      <c r="J90">
        <v>4801</v>
      </c>
      <c r="K90">
        <v>322946</v>
      </c>
      <c r="L90">
        <v>295.10000000000002</v>
      </c>
      <c r="M90">
        <v>255.7</v>
      </c>
      <c r="N90">
        <v>790.1</v>
      </c>
      <c r="O90">
        <v>23609</v>
      </c>
      <c r="P90">
        <v>55672</v>
      </c>
      <c r="Q90">
        <v>49851</v>
      </c>
      <c r="R90">
        <v>184.2</v>
      </c>
      <c r="S90">
        <v>11.34</v>
      </c>
      <c r="T90">
        <v>98.9</v>
      </c>
      <c r="U90">
        <v>4317</v>
      </c>
      <c r="V90">
        <v>25.35</v>
      </c>
      <c r="W90">
        <v>4.8209999999999997</v>
      </c>
      <c r="X90">
        <v>2.2269999999999999</v>
      </c>
      <c r="Y90">
        <v>6.4059999999999997</v>
      </c>
      <c r="Z90">
        <v>15.53</v>
      </c>
      <c r="AA90">
        <v>27.52</v>
      </c>
      <c r="AB90">
        <v>31331</v>
      </c>
      <c r="AC90">
        <v>34564</v>
      </c>
      <c r="AD90">
        <v>11623</v>
      </c>
    </row>
    <row r="91" spans="1:30">
      <c r="A91" t="str">
        <f>VLOOKUP(F91,info!$A$2:$G$49,3,FALSE)</f>
        <v>Renault</v>
      </c>
      <c r="B91">
        <v>42</v>
      </c>
      <c r="C91" t="s">
        <v>29</v>
      </c>
      <c r="D91" t="s">
        <v>77</v>
      </c>
      <c r="E91" t="s">
        <v>124</v>
      </c>
      <c r="F91">
        <v>1147816</v>
      </c>
      <c r="G91" t="s">
        <v>34</v>
      </c>
      <c r="H91">
        <v>89731</v>
      </c>
      <c r="I91">
        <v>26367</v>
      </c>
      <c r="J91">
        <v>11379</v>
      </c>
      <c r="K91">
        <v>320032</v>
      </c>
      <c r="L91">
        <v>322.89999999999998</v>
      </c>
      <c r="M91">
        <v>207</v>
      </c>
      <c r="N91">
        <v>7218</v>
      </c>
      <c r="O91">
        <v>35369</v>
      </c>
      <c r="P91">
        <v>58116</v>
      </c>
      <c r="Q91">
        <v>52593</v>
      </c>
      <c r="R91">
        <v>240.3</v>
      </c>
      <c r="S91">
        <v>28.46</v>
      </c>
      <c r="T91">
        <v>40.4</v>
      </c>
      <c r="U91">
        <v>3548</v>
      </c>
      <c r="V91">
        <v>29.73</v>
      </c>
      <c r="W91">
        <v>8.6110000000000007</v>
      </c>
      <c r="X91">
        <v>0</v>
      </c>
      <c r="Y91">
        <v>5.4349999999999996</v>
      </c>
      <c r="Z91">
        <v>10.23</v>
      </c>
      <c r="AA91">
        <v>25.9</v>
      </c>
      <c r="AB91">
        <v>28850</v>
      </c>
      <c r="AC91">
        <v>36562</v>
      </c>
      <c r="AD91">
        <v>12328</v>
      </c>
    </row>
    <row r="92" spans="1:30">
      <c r="A92" t="str">
        <f>VLOOKUP(F92,info!$A$2:$G$49,3,FALSE)</f>
        <v>Fiat</v>
      </c>
      <c r="B92">
        <v>43</v>
      </c>
      <c r="C92" t="s">
        <v>29</v>
      </c>
      <c r="D92" t="s">
        <v>77</v>
      </c>
      <c r="E92" t="s">
        <v>125</v>
      </c>
      <c r="F92">
        <v>5751910</v>
      </c>
      <c r="G92" t="s">
        <v>32</v>
      </c>
      <c r="H92">
        <v>98839</v>
      </c>
      <c r="I92">
        <v>24839</v>
      </c>
      <c r="J92">
        <v>4455</v>
      </c>
      <c r="K92">
        <v>336236</v>
      </c>
      <c r="L92">
        <v>325.2</v>
      </c>
      <c r="M92">
        <v>192.4</v>
      </c>
      <c r="N92">
        <v>833.8</v>
      </c>
      <c r="O92">
        <v>24313</v>
      </c>
      <c r="P92">
        <v>57117</v>
      </c>
      <c r="Q92">
        <v>51349</v>
      </c>
      <c r="R92">
        <v>189</v>
      </c>
      <c r="S92">
        <v>23.09</v>
      </c>
      <c r="T92">
        <v>93.97</v>
      </c>
      <c r="U92">
        <v>4098</v>
      </c>
      <c r="V92">
        <v>9.0489999999999995</v>
      </c>
      <c r="W92">
        <v>10.94</v>
      </c>
      <c r="X92">
        <v>28.54</v>
      </c>
      <c r="Y92">
        <v>4.702</v>
      </c>
      <c r="Z92">
        <v>6.6529999999999996</v>
      </c>
      <c r="AA92">
        <v>12.02</v>
      </c>
      <c r="AB92">
        <v>30414</v>
      </c>
      <c r="AC92">
        <v>36674</v>
      </c>
      <c r="AD92">
        <v>10915</v>
      </c>
    </row>
    <row r="93" spans="1:30">
      <c r="A93" t="str">
        <f>VLOOKUP(F93,info!$A$2:$G$49,3,FALSE)</f>
        <v>Hyundai</v>
      </c>
      <c r="B93">
        <v>44</v>
      </c>
      <c r="C93" t="s">
        <v>29</v>
      </c>
      <c r="D93" t="s">
        <v>77</v>
      </c>
      <c r="E93" t="s">
        <v>126</v>
      </c>
      <c r="F93">
        <v>9602910</v>
      </c>
      <c r="G93" t="s">
        <v>32</v>
      </c>
      <c r="H93">
        <v>93386</v>
      </c>
      <c r="I93">
        <v>26167</v>
      </c>
      <c r="J93">
        <v>6983</v>
      </c>
      <c r="K93">
        <v>336298</v>
      </c>
      <c r="L93">
        <v>449.9</v>
      </c>
      <c r="M93">
        <v>132.80000000000001</v>
      </c>
      <c r="N93">
        <v>2928</v>
      </c>
      <c r="O93">
        <v>29041</v>
      </c>
      <c r="P93">
        <v>65324</v>
      </c>
      <c r="Q93">
        <v>59322</v>
      </c>
      <c r="R93">
        <v>235</v>
      </c>
      <c r="S93">
        <v>26.74</v>
      </c>
      <c r="T93">
        <v>51.41</v>
      </c>
      <c r="U93">
        <v>2364</v>
      </c>
      <c r="V93">
        <v>3.4580000000000002</v>
      </c>
      <c r="W93">
        <v>7.5919999999999996</v>
      </c>
      <c r="X93">
        <v>1.7749999999999999</v>
      </c>
      <c r="Y93">
        <v>2.7269999999999999</v>
      </c>
      <c r="Z93">
        <v>0</v>
      </c>
      <c r="AA93">
        <v>21.13</v>
      </c>
      <c r="AB93">
        <v>10283</v>
      </c>
      <c r="AC93">
        <v>30159</v>
      </c>
      <c r="AD93">
        <v>3324</v>
      </c>
    </row>
    <row r="94" spans="1:30">
      <c r="A94" t="str">
        <f>VLOOKUP(F94,info!$A$2:$G$49,3,FALSE)</f>
        <v>Mazda</v>
      </c>
      <c r="B94" s="4">
        <v>1</v>
      </c>
      <c r="C94" t="s">
        <v>233</v>
      </c>
      <c r="D94" t="s">
        <v>30</v>
      </c>
      <c r="E94" t="s">
        <v>128</v>
      </c>
      <c r="F94">
        <v>3550828</v>
      </c>
      <c r="G94" t="s">
        <v>32</v>
      </c>
      <c r="H94" s="5">
        <v>99530.9</v>
      </c>
      <c r="I94" s="5">
        <v>23087.3</v>
      </c>
      <c r="J94" s="5">
        <v>6509.8</v>
      </c>
      <c r="K94" s="5">
        <v>332230</v>
      </c>
      <c r="L94" s="5">
        <v>829.8</v>
      </c>
      <c r="M94" s="5"/>
      <c r="N94" s="5">
        <v>5615.9</v>
      </c>
      <c r="P94" s="5">
        <v>53470.3</v>
      </c>
      <c r="R94" s="5"/>
      <c r="S94" s="5">
        <v>501.3</v>
      </c>
      <c r="T94" s="8">
        <v>51.4</v>
      </c>
      <c r="U94" s="5">
        <v>3338.3</v>
      </c>
      <c r="AA94" s="8"/>
    </row>
    <row r="95" spans="1:30">
      <c r="A95" t="str">
        <f>VLOOKUP(F95,info!$A$2:$G$49,3,FALSE)</f>
        <v>Mazda</v>
      </c>
      <c r="B95" s="4">
        <v>2</v>
      </c>
      <c r="C95" t="s">
        <v>233</v>
      </c>
      <c r="D95" t="s">
        <v>30</v>
      </c>
      <c r="E95" t="s">
        <v>129</v>
      </c>
      <c r="F95">
        <v>3550828</v>
      </c>
      <c r="G95" t="s">
        <v>34</v>
      </c>
      <c r="H95" s="5">
        <v>99189.8</v>
      </c>
      <c r="I95" s="5">
        <v>22585.5</v>
      </c>
      <c r="J95" s="5">
        <v>6425.4</v>
      </c>
      <c r="K95" s="5">
        <v>333663.3</v>
      </c>
      <c r="L95" s="5">
        <v>816.9</v>
      </c>
      <c r="M95" s="5"/>
      <c r="N95" s="5">
        <v>5439</v>
      </c>
      <c r="P95" s="5">
        <v>53762.3</v>
      </c>
      <c r="R95" s="5">
        <v>212.3</v>
      </c>
      <c r="S95" s="5">
        <v>525.20000000000005</v>
      </c>
      <c r="T95" s="8">
        <v>59.6</v>
      </c>
      <c r="U95" s="5">
        <v>3234.2</v>
      </c>
      <c r="AA95" s="8"/>
    </row>
    <row r="96" spans="1:30">
      <c r="A96" t="str">
        <f>VLOOKUP(F96,info!$A$2:$G$49,3,FALSE)</f>
        <v>Mazda</v>
      </c>
      <c r="B96" s="4">
        <v>3</v>
      </c>
      <c r="C96" t="s">
        <v>233</v>
      </c>
      <c r="D96" t="s">
        <v>30</v>
      </c>
      <c r="E96" t="s">
        <v>130</v>
      </c>
      <c r="F96">
        <v>3550828</v>
      </c>
      <c r="G96" t="s">
        <v>34</v>
      </c>
      <c r="H96" s="5">
        <v>98045.5</v>
      </c>
      <c r="I96" s="5">
        <v>22996.2</v>
      </c>
      <c r="J96" s="5">
        <v>6618.1</v>
      </c>
      <c r="K96" s="5">
        <v>333481.3</v>
      </c>
      <c r="L96" s="5">
        <v>837.1</v>
      </c>
      <c r="M96" s="5"/>
      <c r="N96" s="5">
        <v>5315.7</v>
      </c>
      <c r="P96" s="5">
        <v>53097.8</v>
      </c>
      <c r="R96" s="5">
        <v>228</v>
      </c>
      <c r="S96" s="5">
        <v>486.8</v>
      </c>
      <c r="T96" s="8">
        <v>62.6</v>
      </c>
      <c r="U96" s="5">
        <v>3106.5</v>
      </c>
      <c r="AA96" s="8"/>
    </row>
    <row r="97" spans="1:27">
      <c r="A97" t="str">
        <f>VLOOKUP(F97,info!$A$2:$G$49,3,FALSE)</f>
        <v>Peugeot</v>
      </c>
      <c r="B97" s="4">
        <v>4</v>
      </c>
      <c r="C97" t="s">
        <v>233</v>
      </c>
      <c r="D97" t="s">
        <v>30</v>
      </c>
      <c r="E97" t="s">
        <v>131</v>
      </c>
      <c r="F97">
        <v>9367324</v>
      </c>
      <c r="G97" t="s">
        <v>32</v>
      </c>
      <c r="H97" s="5">
        <v>104655.9</v>
      </c>
      <c r="I97" s="5">
        <v>20937.599999999999</v>
      </c>
      <c r="J97" s="5">
        <v>2840.5</v>
      </c>
      <c r="K97" s="5">
        <v>336572.3</v>
      </c>
      <c r="L97" s="5">
        <v>860.5</v>
      </c>
      <c r="M97" s="5"/>
      <c r="N97" s="5">
        <v>1453.8</v>
      </c>
      <c r="P97" s="5">
        <v>53436.2</v>
      </c>
      <c r="R97" s="5">
        <v>189.3</v>
      </c>
      <c r="S97" s="5">
        <v>455.1</v>
      </c>
      <c r="T97" s="5">
        <v>102.1</v>
      </c>
      <c r="U97" s="5">
        <v>5222.5</v>
      </c>
      <c r="AA97" s="8">
        <v>67.7</v>
      </c>
    </row>
    <row r="98" spans="1:27">
      <c r="A98" t="str">
        <f>VLOOKUP(F98,info!$A$2:$G$49,3,FALSE)</f>
        <v>Peugeot</v>
      </c>
      <c r="B98" s="4">
        <v>5</v>
      </c>
      <c r="C98" t="s">
        <v>233</v>
      </c>
      <c r="D98" t="s">
        <v>30</v>
      </c>
      <c r="E98" t="s">
        <v>132</v>
      </c>
      <c r="F98">
        <v>9367324</v>
      </c>
      <c r="G98" t="s">
        <v>32</v>
      </c>
      <c r="H98" s="5">
        <v>103177.5</v>
      </c>
      <c r="I98" s="5">
        <v>20691.8</v>
      </c>
      <c r="J98" s="5">
        <v>1139.3</v>
      </c>
      <c r="K98" s="5">
        <v>338956.7</v>
      </c>
      <c r="L98" s="5">
        <v>1007.7</v>
      </c>
      <c r="M98" s="5"/>
      <c r="N98" s="5">
        <v>749.3</v>
      </c>
      <c r="P98" s="5">
        <v>54378.400000000001</v>
      </c>
      <c r="R98" s="5"/>
      <c r="S98" s="5">
        <v>360.8</v>
      </c>
      <c r="T98" s="8">
        <v>96.5</v>
      </c>
      <c r="U98" s="5">
        <v>5312.6</v>
      </c>
      <c r="AA98" s="8"/>
    </row>
    <row r="99" spans="1:27">
      <c r="A99" t="str">
        <f>VLOOKUP(F99,info!$A$2:$G$49,3,FALSE)</f>
        <v>Mazda</v>
      </c>
      <c r="B99" s="4">
        <v>6</v>
      </c>
      <c r="C99" t="s">
        <v>233</v>
      </c>
      <c r="D99" t="s">
        <v>30</v>
      </c>
      <c r="E99" t="s">
        <v>133</v>
      </c>
      <c r="F99">
        <v>3550828</v>
      </c>
      <c r="G99" t="s">
        <v>32</v>
      </c>
      <c r="H99" s="5">
        <v>98500.1</v>
      </c>
      <c r="I99" s="5">
        <v>23223</v>
      </c>
      <c r="J99" s="5">
        <v>6822.8</v>
      </c>
      <c r="K99" s="5">
        <v>333970.8</v>
      </c>
      <c r="L99" s="5">
        <v>769.4</v>
      </c>
      <c r="M99" s="5"/>
      <c r="N99" s="5">
        <v>5507.7</v>
      </c>
      <c r="P99" s="5">
        <v>53350.6</v>
      </c>
      <c r="R99" s="5">
        <v>227.2</v>
      </c>
      <c r="S99" s="5">
        <v>406.6</v>
      </c>
      <c r="T99" s="8">
        <v>51.2</v>
      </c>
      <c r="U99" s="5">
        <v>3298</v>
      </c>
      <c r="AA99" s="8"/>
    </row>
    <row r="100" spans="1:27">
      <c r="A100" t="str">
        <f>VLOOKUP(F100,info!$A$2:$G$49,3,FALSE)</f>
        <v>Hyundai</v>
      </c>
      <c r="B100" s="4">
        <v>7</v>
      </c>
      <c r="C100" t="s">
        <v>233</v>
      </c>
      <c r="D100" t="s">
        <v>30</v>
      </c>
      <c r="E100" t="s">
        <v>134</v>
      </c>
      <c r="F100">
        <v>9540217</v>
      </c>
      <c r="G100" t="s">
        <v>34</v>
      </c>
      <c r="H100" s="5">
        <v>98287.7</v>
      </c>
      <c r="I100" s="5">
        <v>21649.599999999999</v>
      </c>
      <c r="J100" s="5">
        <v>4553.5</v>
      </c>
      <c r="K100" s="5">
        <v>327052.79999999999</v>
      </c>
      <c r="L100" s="5">
        <v>1013.7</v>
      </c>
      <c r="M100" s="5"/>
      <c r="N100" s="5">
        <v>2896.3</v>
      </c>
      <c r="P100" s="5">
        <v>61094.5</v>
      </c>
      <c r="R100" s="5">
        <v>261</v>
      </c>
      <c r="S100" s="5">
        <v>491.5</v>
      </c>
      <c r="T100" s="8">
        <v>75</v>
      </c>
      <c r="U100" s="5">
        <v>3163.3</v>
      </c>
      <c r="AA100" s="8">
        <v>48.5</v>
      </c>
    </row>
    <row r="101" spans="1:27">
      <c r="A101" t="str">
        <f>VLOOKUP(F101,info!$A$2:$G$49,3,FALSE)</f>
        <v>Honda</v>
      </c>
      <c r="B101" s="4">
        <v>8</v>
      </c>
      <c r="C101" t="s">
        <v>233</v>
      </c>
      <c r="D101" t="s">
        <v>30</v>
      </c>
      <c r="E101" t="s">
        <v>135</v>
      </c>
      <c r="F101">
        <v>8096906</v>
      </c>
      <c r="G101" t="s">
        <v>32</v>
      </c>
      <c r="H101" s="5">
        <v>99639.5</v>
      </c>
      <c r="I101" s="5">
        <v>21001.3</v>
      </c>
      <c r="J101" s="5">
        <v>559.9</v>
      </c>
      <c r="K101" s="5">
        <v>338158.5</v>
      </c>
      <c r="L101" s="5">
        <v>988.9</v>
      </c>
      <c r="M101" s="5">
        <v>284.2</v>
      </c>
      <c r="N101" s="5">
        <v>582.29999999999995</v>
      </c>
      <c r="P101" s="5">
        <v>55490.7</v>
      </c>
      <c r="R101" s="5"/>
      <c r="S101" s="5">
        <v>313.5</v>
      </c>
      <c r="T101" s="9">
        <v>0</v>
      </c>
      <c r="U101" s="5">
        <v>3215.5</v>
      </c>
      <c r="AA101" s="8">
        <v>42.4</v>
      </c>
    </row>
    <row r="102" spans="1:27">
      <c r="A102" t="str">
        <f>VLOOKUP(F102,info!$A$2:$G$49,3,FALSE)</f>
        <v>Honda</v>
      </c>
      <c r="B102" s="4">
        <v>9</v>
      </c>
      <c r="C102" t="s">
        <v>233</v>
      </c>
      <c r="D102" t="s">
        <v>30</v>
      </c>
      <c r="E102" t="s">
        <v>136</v>
      </c>
      <c r="F102">
        <v>8096906</v>
      </c>
      <c r="G102" t="s">
        <v>34</v>
      </c>
      <c r="H102" s="5">
        <v>97750.1</v>
      </c>
      <c r="I102" s="5">
        <v>20900</v>
      </c>
      <c r="J102" s="5">
        <v>585</v>
      </c>
      <c r="K102" s="5">
        <v>336015.7</v>
      </c>
      <c r="L102" s="5">
        <v>877.9</v>
      </c>
      <c r="M102" s="5"/>
      <c r="N102" s="5">
        <v>606.79999999999995</v>
      </c>
      <c r="P102" s="5">
        <v>56309.5</v>
      </c>
      <c r="R102" s="5"/>
      <c r="S102" s="5">
        <v>302.89999999999998</v>
      </c>
      <c r="T102" s="9">
        <v>0</v>
      </c>
      <c r="U102" s="5">
        <v>3424.2</v>
      </c>
      <c r="AA102" s="8">
        <v>46.6</v>
      </c>
    </row>
    <row r="103" spans="1:27">
      <c r="A103" t="str">
        <f>VLOOKUP(F103,info!$A$2:$G$49,3,FALSE)</f>
        <v>Ford</v>
      </c>
      <c r="B103" s="4">
        <v>10</v>
      </c>
      <c r="C103" t="s">
        <v>233</v>
      </c>
      <c r="D103" t="s">
        <v>30</v>
      </c>
      <c r="E103" t="s">
        <v>137</v>
      </c>
      <c r="F103">
        <v>6917835</v>
      </c>
      <c r="G103" t="s">
        <v>32</v>
      </c>
      <c r="H103" s="5">
        <v>93942.6</v>
      </c>
      <c r="I103" s="5">
        <v>22486.3</v>
      </c>
      <c r="J103" s="5">
        <v>3556.2</v>
      </c>
      <c r="K103" s="5">
        <v>329332.8</v>
      </c>
      <c r="L103" s="5">
        <v>825.5</v>
      </c>
      <c r="M103" s="5"/>
      <c r="N103" s="5">
        <v>2551.1999999999998</v>
      </c>
      <c r="P103" s="5">
        <v>56053.599999999999</v>
      </c>
      <c r="R103" s="5">
        <v>229.3</v>
      </c>
      <c r="S103" s="5">
        <v>393.5</v>
      </c>
      <c r="T103" s="8">
        <v>30.5</v>
      </c>
      <c r="U103" s="5">
        <v>7555.3</v>
      </c>
      <c r="AA103" s="8">
        <v>67.3</v>
      </c>
    </row>
    <row r="104" spans="1:27">
      <c r="A104" t="str">
        <f>VLOOKUP(F104,info!$A$2:$G$49,3,FALSE)</f>
        <v>Honda</v>
      </c>
      <c r="B104" s="4">
        <v>11</v>
      </c>
      <c r="C104" t="s">
        <v>233</v>
      </c>
      <c r="D104" t="s">
        <v>30</v>
      </c>
      <c r="E104" t="s">
        <v>138</v>
      </c>
      <c r="F104">
        <v>8096906</v>
      </c>
      <c r="G104" t="s">
        <v>34</v>
      </c>
      <c r="H104" s="5">
        <v>97539.5</v>
      </c>
      <c r="I104" s="5">
        <v>21293.599999999999</v>
      </c>
      <c r="J104" s="5">
        <v>383.7</v>
      </c>
      <c r="K104" s="5">
        <v>336598.4</v>
      </c>
      <c r="L104" s="5">
        <v>935.9</v>
      </c>
      <c r="M104" s="5"/>
      <c r="N104" s="5">
        <v>579.29999999999995</v>
      </c>
      <c r="P104" s="5">
        <v>55585.599999999999</v>
      </c>
      <c r="R104" s="5"/>
      <c r="S104" s="5">
        <v>370.9</v>
      </c>
      <c r="T104" s="11">
        <v>0</v>
      </c>
      <c r="U104" s="5">
        <v>3201.2</v>
      </c>
      <c r="AA104" s="8">
        <v>49.8</v>
      </c>
    </row>
    <row r="105" spans="1:27">
      <c r="A105" t="str">
        <f>VLOOKUP(F105,info!$A$2:$G$49,3,FALSE)</f>
        <v>Daewoo</v>
      </c>
      <c r="B105" s="4">
        <v>12</v>
      </c>
      <c r="C105" t="s">
        <v>233</v>
      </c>
      <c r="D105" t="s">
        <v>30</v>
      </c>
      <c r="E105" t="s">
        <v>139</v>
      </c>
      <c r="F105">
        <v>8501017</v>
      </c>
      <c r="G105" t="s">
        <v>34</v>
      </c>
      <c r="H105" s="5">
        <v>95676.2</v>
      </c>
      <c r="I105" s="5">
        <v>21884.9</v>
      </c>
      <c r="J105" s="5">
        <v>4783.5</v>
      </c>
      <c r="K105" s="5">
        <v>334495.59999999998</v>
      </c>
      <c r="L105" s="5">
        <v>1068.5999999999999</v>
      </c>
      <c r="M105" s="5"/>
      <c r="N105" s="5">
        <v>4363.6000000000004</v>
      </c>
      <c r="P105" s="5">
        <v>52075.9</v>
      </c>
      <c r="R105" s="5">
        <v>200.8</v>
      </c>
      <c r="S105" s="7">
        <v>346.32000000000005</v>
      </c>
      <c r="T105" s="8">
        <v>28</v>
      </c>
      <c r="U105" s="5">
        <v>3061.3</v>
      </c>
      <c r="AA105" s="8">
        <v>85</v>
      </c>
    </row>
    <row r="106" spans="1:27">
      <c r="A106" t="str">
        <f>VLOOKUP(F106,info!$A$2:$G$49,3,FALSE)</f>
        <v>Hyundai</v>
      </c>
      <c r="B106" s="4">
        <v>13</v>
      </c>
      <c r="C106" t="s">
        <v>233</v>
      </c>
      <c r="D106" t="s">
        <v>30</v>
      </c>
      <c r="E106" t="s">
        <v>140</v>
      </c>
      <c r="F106">
        <v>9540217</v>
      </c>
      <c r="G106" t="s">
        <v>34</v>
      </c>
      <c r="H106" s="5">
        <v>99918.6</v>
      </c>
      <c r="I106" s="5">
        <v>21354.5</v>
      </c>
      <c r="J106" s="5">
        <v>4378.6000000000004</v>
      </c>
      <c r="K106" s="5">
        <v>327912.7</v>
      </c>
      <c r="L106" s="5">
        <v>986.7</v>
      </c>
      <c r="M106" s="5"/>
      <c r="N106" s="5">
        <v>2913.3</v>
      </c>
      <c r="P106" s="5">
        <v>63206.1</v>
      </c>
      <c r="R106" s="5">
        <v>289</v>
      </c>
      <c r="S106" s="5">
        <v>428</v>
      </c>
      <c r="T106" s="8">
        <v>77.400000000000006</v>
      </c>
      <c r="U106" s="5">
        <v>3405.8</v>
      </c>
      <c r="AA106" s="8">
        <v>62.7</v>
      </c>
    </row>
    <row r="107" spans="1:27">
      <c r="A107" t="str">
        <f>VLOOKUP(F107,info!$A$2:$G$49,3,FALSE)</f>
        <v>Peugeot</v>
      </c>
      <c r="B107" s="4">
        <v>14</v>
      </c>
      <c r="C107" t="s">
        <v>233</v>
      </c>
      <c r="D107" t="s">
        <v>30</v>
      </c>
      <c r="E107" t="s">
        <v>141</v>
      </c>
      <c r="F107">
        <v>9367324</v>
      </c>
      <c r="G107" t="s">
        <v>34</v>
      </c>
      <c r="H107" s="5">
        <v>102055.2</v>
      </c>
      <c r="I107" s="5">
        <v>21724.1</v>
      </c>
      <c r="J107" s="5">
        <v>4613.7</v>
      </c>
      <c r="K107" s="5">
        <v>331468.2</v>
      </c>
      <c r="L107" s="5">
        <v>881.1</v>
      </c>
      <c r="M107" s="5"/>
      <c r="N107" s="5">
        <v>2893.3</v>
      </c>
      <c r="P107" s="5">
        <v>60059.199999999997</v>
      </c>
      <c r="R107" s="5">
        <v>248.3</v>
      </c>
      <c r="S107" s="5">
        <v>441.2</v>
      </c>
      <c r="T107" s="8">
        <v>68.7</v>
      </c>
      <c r="U107" s="5">
        <v>3024</v>
      </c>
      <c r="AA107" s="8"/>
    </row>
    <row r="108" spans="1:27">
      <c r="A108" t="str">
        <f>VLOOKUP(F108,info!$A$2:$G$49,3,FALSE)</f>
        <v>Ford</v>
      </c>
      <c r="B108" s="4">
        <v>15</v>
      </c>
      <c r="C108" t="s">
        <v>233</v>
      </c>
      <c r="D108" t="s">
        <v>30</v>
      </c>
      <c r="E108" t="s">
        <v>142</v>
      </c>
      <c r="F108">
        <v>6917835</v>
      </c>
      <c r="G108" t="s">
        <v>34</v>
      </c>
      <c r="H108" s="5">
        <v>94959.7</v>
      </c>
      <c r="I108" s="5">
        <v>22494.6</v>
      </c>
      <c r="J108" s="5">
        <v>3407.2</v>
      </c>
      <c r="K108" s="5">
        <v>329780.8</v>
      </c>
      <c r="L108" s="5">
        <v>811.3</v>
      </c>
      <c r="M108" s="5"/>
      <c r="N108" s="5">
        <v>2589.9</v>
      </c>
      <c r="P108" s="5">
        <v>53157</v>
      </c>
      <c r="R108" s="5">
        <v>265.7</v>
      </c>
      <c r="S108" s="5">
        <v>491.5</v>
      </c>
      <c r="T108" s="8">
        <v>27.6</v>
      </c>
      <c r="U108" s="5">
        <v>6546.1</v>
      </c>
      <c r="AA108" s="5">
        <v>113</v>
      </c>
    </row>
    <row r="109" spans="1:27">
      <c r="A109" t="str">
        <f>VLOOKUP(F109,info!$A$2:$G$49,3,FALSE)</f>
        <v>Hyundai</v>
      </c>
      <c r="B109" s="4">
        <v>16</v>
      </c>
      <c r="C109" t="s">
        <v>233</v>
      </c>
      <c r="D109" t="s">
        <v>30</v>
      </c>
      <c r="E109" t="s">
        <v>143</v>
      </c>
      <c r="F109">
        <v>6316720</v>
      </c>
      <c r="G109" t="s">
        <v>34</v>
      </c>
      <c r="H109" s="5">
        <v>101243.2</v>
      </c>
      <c r="I109" s="5">
        <v>21555</v>
      </c>
      <c r="J109" s="5">
        <v>4322.8999999999996</v>
      </c>
      <c r="K109" s="5">
        <v>332514.7</v>
      </c>
      <c r="L109" s="5">
        <v>1019.2</v>
      </c>
      <c r="M109" s="5"/>
      <c r="N109" s="5">
        <v>2846.1</v>
      </c>
      <c r="P109" s="5">
        <v>61108.3</v>
      </c>
      <c r="R109" s="5">
        <v>211.1</v>
      </c>
      <c r="S109" s="5">
        <v>440.3</v>
      </c>
      <c r="T109" s="8">
        <v>84.3</v>
      </c>
      <c r="U109" s="5">
        <v>3118.8</v>
      </c>
      <c r="AA109" s="8">
        <v>47.1</v>
      </c>
    </row>
    <row r="110" spans="1:27">
      <c r="A110" t="str">
        <f>VLOOKUP(F110,info!$A$2:$G$49,3,FALSE)</f>
        <v>Hyundai</v>
      </c>
      <c r="B110" s="4">
        <v>17</v>
      </c>
      <c r="C110" t="s">
        <v>233</v>
      </c>
      <c r="D110" t="s">
        <v>30</v>
      </c>
      <c r="E110" t="s">
        <v>144</v>
      </c>
      <c r="F110">
        <v>6316720</v>
      </c>
      <c r="G110" t="s">
        <v>34</v>
      </c>
      <c r="H110" s="5">
        <v>101111.4</v>
      </c>
      <c r="I110" s="5">
        <v>21440</v>
      </c>
      <c r="J110" s="5">
        <v>4194.8999999999996</v>
      </c>
      <c r="K110" s="5">
        <v>329176.90000000002</v>
      </c>
      <c r="L110" s="5">
        <v>1063.2</v>
      </c>
      <c r="M110" s="5"/>
      <c r="N110" s="5">
        <v>2827.2</v>
      </c>
      <c r="P110" s="5">
        <v>60769.9</v>
      </c>
      <c r="R110" s="5">
        <v>236.8</v>
      </c>
      <c r="S110" s="5">
        <v>494.5</v>
      </c>
      <c r="T110" s="8">
        <v>80</v>
      </c>
      <c r="U110" s="5">
        <v>3038.1</v>
      </c>
      <c r="AA110" s="8">
        <v>51.7</v>
      </c>
    </row>
    <row r="111" spans="1:27">
      <c r="A111" t="str">
        <f>VLOOKUP(F111,info!$A$2:$G$49,3,FALSE)</f>
        <v>Honda</v>
      </c>
      <c r="B111" s="4">
        <v>18</v>
      </c>
      <c r="C111" t="s">
        <v>233</v>
      </c>
      <c r="D111" t="s">
        <v>30</v>
      </c>
      <c r="E111" t="s">
        <v>145</v>
      </c>
      <c r="F111">
        <v>8096906</v>
      </c>
      <c r="G111" t="s">
        <v>32</v>
      </c>
      <c r="H111" s="5">
        <v>98883.5</v>
      </c>
      <c r="I111" s="5">
        <v>21007.3</v>
      </c>
      <c r="J111" s="5">
        <v>513.4</v>
      </c>
      <c r="K111" s="5">
        <v>337401.8</v>
      </c>
      <c r="L111" s="5">
        <v>935.8</v>
      </c>
      <c r="M111" s="5"/>
      <c r="N111" s="5">
        <v>698</v>
      </c>
      <c r="P111" s="5">
        <v>54019.8</v>
      </c>
      <c r="R111" s="5"/>
      <c r="S111" s="5">
        <v>461.3</v>
      </c>
      <c r="T111" s="9">
        <v>0</v>
      </c>
      <c r="U111" s="5">
        <v>3138.3</v>
      </c>
      <c r="AA111" s="8">
        <v>42.6</v>
      </c>
    </row>
    <row r="112" spans="1:27">
      <c r="A112" t="str">
        <f>VLOOKUP(F112,info!$A$2:$G$49,3,FALSE)</f>
        <v>Hyundai</v>
      </c>
      <c r="B112" s="4">
        <v>19</v>
      </c>
      <c r="C112" t="s">
        <v>233</v>
      </c>
      <c r="D112" t="s">
        <v>30</v>
      </c>
      <c r="E112" t="s">
        <v>146</v>
      </c>
      <c r="F112">
        <v>6316720</v>
      </c>
      <c r="G112" t="s">
        <v>32</v>
      </c>
      <c r="H112" s="5">
        <v>100703.1</v>
      </c>
      <c r="I112" s="5">
        <v>21253.4</v>
      </c>
      <c r="J112" s="5">
        <v>4207.3</v>
      </c>
      <c r="K112" s="5">
        <v>326934.59999999998</v>
      </c>
      <c r="L112" s="5">
        <v>1002.5</v>
      </c>
      <c r="M112" s="5"/>
      <c r="N112" s="5">
        <v>2828</v>
      </c>
      <c r="P112" s="5">
        <v>61258.1</v>
      </c>
      <c r="R112" s="5">
        <v>278.39999999999998</v>
      </c>
      <c r="S112" s="5">
        <v>484.4</v>
      </c>
      <c r="T112" s="8">
        <v>77.099999999999994</v>
      </c>
      <c r="U112" s="5">
        <v>3120.7</v>
      </c>
      <c r="AA112" s="8">
        <v>57.2</v>
      </c>
    </row>
    <row r="113" spans="1:27">
      <c r="A113" t="str">
        <f>VLOOKUP(F113,info!$A$2:$G$49,3,FALSE)</f>
        <v>Fiat</v>
      </c>
      <c r="B113" s="4">
        <v>20</v>
      </c>
      <c r="C113" t="s">
        <v>233</v>
      </c>
      <c r="D113" t="s">
        <v>30</v>
      </c>
      <c r="E113" t="s">
        <v>147</v>
      </c>
      <c r="F113">
        <v>5751910</v>
      </c>
      <c r="G113" t="s">
        <v>34</v>
      </c>
      <c r="H113" s="5">
        <v>98565</v>
      </c>
      <c r="I113" s="5">
        <v>21821.1</v>
      </c>
      <c r="J113" s="5">
        <v>2703</v>
      </c>
      <c r="K113" s="5">
        <v>334466</v>
      </c>
      <c r="L113" s="5">
        <v>824.8</v>
      </c>
      <c r="M113" s="5"/>
      <c r="N113" s="5">
        <v>2877.4</v>
      </c>
      <c r="P113" s="5">
        <v>48992.9</v>
      </c>
      <c r="R113" s="5">
        <v>255.6</v>
      </c>
      <c r="S113" s="5">
        <v>410.7</v>
      </c>
      <c r="T113" s="8">
        <v>48.4</v>
      </c>
      <c r="U113" s="5">
        <v>5142.6000000000004</v>
      </c>
      <c r="AA113" s="8"/>
    </row>
    <row r="114" spans="1:27">
      <c r="A114" t="str">
        <f>VLOOKUP(F114,info!$A$2:$G$49,3,FALSE)</f>
        <v>Hyundai</v>
      </c>
      <c r="B114" s="4">
        <v>21</v>
      </c>
      <c r="C114" t="s">
        <v>233</v>
      </c>
      <c r="D114" t="s">
        <v>30</v>
      </c>
      <c r="E114" t="s">
        <v>148</v>
      </c>
      <c r="F114">
        <v>5826120</v>
      </c>
      <c r="G114" t="s">
        <v>52</v>
      </c>
      <c r="H114" s="5">
        <v>100273.7</v>
      </c>
      <c r="I114" s="5">
        <v>21366.400000000001</v>
      </c>
      <c r="J114" s="5">
        <v>4176.1000000000004</v>
      </c>
      <c r="K114" s="5">
        <v>324776.09999999998</v>
      </c>
      <c r="L114" s="5">
        <v>1088.4000000000001</v>
      </c>
      <c r="M114" s="5"/>
      <c r="N114" s="5">
        <v>2451.8000000000002</v>
      </c>
      <c r="P114" s="5">
        <v>61971.1</v>
      </c>
      <c r="R114" s="5">
        <v>265</v>
      </c>
      <c r="S114" s="5">
        <v>527</v>
      </c>
      <c r="T114" s="8">
        <v>81.599999999999994</v>
      </c>
      <c r="U114" s="5">
        <v>3224.1</v>
      </c>
      <c r="AA114" s="8">
        <v>50.2</v>
      </c>
    </row>
    <row r="115" spans="1:27">
      <c r="A115" t="str">
        <f>VLOOKUP(F115,info!$A$2:$G$49,3,FALSE)</f>
        <v>Daewoo</v>
      </c>
      <c r="B115" s="4">
        <v>22</v>
      </c>
      <c r="C115" t="s">
        <v>233</v>
      </c>
      <c r="D115" t="s">
        <v>30</v>
      </c>
      <c r="E115" t="s">
        <v>149</v>
      </c>
      <c r="F115">
        <v>8501017</v>
      </c>
      <c r="G115" t="s">
        <v>32</v>
      </c>
      <c r="H115" s="5">
        <v>97676.1</v>
      </c>
      <c r="I115" s="5">
        <v>21750.7</v>
      </c>
      <c r="J115" s="5">
        <v>4565.8</v>
      </c>
      <c r="K115" s="5">
        <v>335356.40000000002</v>
      </c>
      <c r="L115" s="5">
        <v>1126.4000000000001</v>
      </c>
      <c r="M115" s="5"/>
      <c r="N115" s="5">
        <v>4465.3</v>
      </c>
      <c r="P115" s="5">
        <v>51787.4</v>
      </c>
      <c r="R115" s="5">
        <v>245</v>
      </c>
      <c r="S115" s="5">
        <v>385.3</v>
      </c>
      <c r="T115" s="8">
        <v>25.8</v>
      </c>
      <c r="U115" s="5">
        <v>3117.3</v>
      </c>
      <c r="AA115" s="8">
        <v>54</v>
      </c>
    </row>
    <row r="116" spans="1:27">
      <c r="A116" t="str">
        <f>VLOOKUP(F116,info!$A$2:$G$49,3,FALSE)</f>
        <v>Daewoo</v>
      </c>
      <c r="B116" s="4">
        <v>23</v>
      </c>
      <c r="C116" t="s">
        <v>233</v>
      </c>
      <c r="D116" t="s">
        <v>30</v>
      </c>
      <c r="E116" t="s">
        <v>150</v>
      </c>
      <c r="F116">
        <v>8501017</v>
      </c>
      <c r="G116" t="s">
        <v>34</v>
      </c>
      <c r="H116" s="5">
        <v>97187.9</v>
      </c>
      <c r="I116" s="5">
        <v>21675.7</v>
      </c>
      <c r="J116" s="5">
        <v>4713.2</v>
      </c>
      <c r="K116" s="5">
        <v>335919.5</v>
      </c>
      <c r="L116" s="5">
        <v>988</v>
      </c>
      <c r="M116" s="5"/>
      <c r="N116" s="5">
        <v>4261.1000000000004</v>
      </c>
      <c r="P116" s="5">
        <v>51026.2</v>
      </c>
      <c r="R116" s="5">
        <v>230</v>
      </c>
      <c r="S116" s="5">
        <v>391.8</v>
      </c>
      <c r="T116" s="8">
        <v>32.5</v>
      </c>
      <c r="U116" s="5">
        <v>3173.7</v>
      </c>
      <c r="AA116" s="8">
        <v>60.2</v>
      </c>
    </row>
    <row r="117" spans="1:27">
      <c r="A117" t="str">
        <f>VLOOKUP(F117,info!$A$2:$G$49,3,FALSE)</f>
        <v>Mitsubishi</v>
      </c>
      <c r="B117" s="4">
        <v>24</v>
      </c>
      <c r="C117" t="s">
        <v>233</v>
      </c>
      <c r="D117" t="s">
        <v>30</v>
      </c>
      <c r="E117" t="s">
        <v>151</v>
      </c>
      <c r="F117">
        <v>7027220</v>
      </c>
      <c r="G117" t="s">
        <v>32</v>
      </c>
      <c r="H117" s="5">
        <v>96926.9</v>
      </c>
      <c r="I117" s="5">
        <v>23692.9</v>
      </c>
      <c r="J117" s="5">
        <v>7288.2</v>
      </c>
      <c r="K117" s="5">
        <v>333055.90000000002</v>
      </c>
      <c r="L117" s="5">
        <v>690.4</v>
      </c>
      <c r="M117" s="5"/>
      <c r="N117" s="5">
        <v>2277.6999999999998</v>
      </c>
      <c r="P117" s="5">
        <v>52322.2</v>
      </c>
      <c r="R117" s="5">
        <v>313.10000000000002</v>
      </c>
      <c r="S117" s="5">
        <v>430.2</v>
      </c>
      <c r="T117" s="5">
        <v>128.5</v>
      </c>
      <c r="U117" s="5">
        <v>2370.1999999999998</v>
      </c>
      <c r="AA117" s="8">
        <v>62.5</v>
      </c>
    </row>
    <row r="118" spans="1:27">
      <c r="A118" t="str">
        <f>VLOOKUP(F118,info!$A$2:$G$49,3,FALSE)</f>
        <v>Subaru</v>
      </c>
      <c r="B118" s="4">
        <v>25</v>
      </c>
      <c r="C118" t="s">
        <v>233</v>
      </c>
      <c r="D118" t="s">
        <v>30</v>
      </c>
      <c r="E118" t="s">
        <v>152</v>
      </c>
      <c r="F118">
        <v>2675308</v>
      </c>
      <c r="G118" t="s">
        <v>32</v>
      </c>
      <c r="H118" s="5">
        <v>99245.5</v>
      </c>
      <c r="I118" s="5">
        <v>20596.400000000001</v>
      </c>
      <c r="J118" s="5">
        <v>6496</v>
      </c>
      <c r="K118" s="5">
        <v>333363.3</v>
      </c>
      <c r="L118" s="5">
        <v>948.8</v>
      </c>
      <c r="M118" s="5"/>
      <c r="N118" s="5">
        <v>4720.5</v>
      </c>
      <c r="P118" s="5">
        <v>55569.599999999999</v>
      </c>
      <c r="R118" s="5">
        <v>201.8</v>
      </c>
      <c r="S118" s="5">
        <v>294.7</v>
      </c>
      <c r="T118" s="8">
        <v>68.5</v>
      </c>
      <c r="U118" s="5">
        <v>2148</v>
      </c>
      <c r="AA118" s="8">
        <v>60.7</v>
      </c>
    </row>
    <row r="119" spans="1:27">
      <c r="A119" t="str">
        <f>VLOOKUP(F119,info!$A$2:$G$49,3,FALSE)</f>
        <v>Mitsubishi</v>
      </c>
      <c r="B119" s="4">
        <v>26</v>
      </c>
      <c r="C119" t="s">
        <v>233</v>
      </c>
      <c r="D119" t="s">
        <v>30</v>
      </c>
      <c r="E119" t="s">
        <v>153</v>
      </c>
      <c r="F119">
        <v>7027220</v>
      </c>
      <c r="G119" t="s">
        <v>34</v>
      </c>
      <c r="H119" s="5">
        <v>98699</v>
      </c>
      <c r="I119" s="5">
        <v>24567.9</v>
      </c>
      <c r="J119" s="5">
        <v>7288.4</v>
      </c>
      <c r="K119" s="5">
        <v>330298.09999999998</v>
      </c>
      <c r="L119" s="5">
        <v>900.7</v>
      </c>
      <c r="M119" s="5"/>
      <c r="N119" s="5">
        <v>4092.4</v>
      </c>
      <c r="P119" s="5">
        <v>50916.6</v>
      </c>
      <c r="R119" s="5">
        <v>517.1</v>
      </c>
      <c r="S119" s="5">
        <v>470.8</v>
      </c>
      <c r="T119" s="5">
        <v>112.2</v>
      </c>
      <c r="U119" s="5">
        <v>2193.4</v>
      </c>
      <c r="AA119" s="8">
        <v>55</v>
      </c>
    </row>
    <row r="120" spans="1:27">
      <c r="A120" t="str">
        <f>VLOOKUP(F120,info!$A$2:$G$49,3,FALSE)</f>
        <v>Fiat</v>
      </c>
      <c r="B120" s="4">
        <v>27</v>
      </c>
      <c r="C120" t="s">
        <v>233</v>
      </c>
      <c r="D120" t="s">
        <v>30</v>
      </c>
      <c r="E120" t="s">
        <v>154</v>
      </c>
      <c r="F120">
        <v>5751910</v>
      </c>
      <c r="G120" t="s">
        <v>32</v>
      </c>
      <c r="H120" s="5">
        <v>97078.5</v>
      </c>
      <c r="I120" s="5">
        <v>21353.1</v>
      </c>
      <c r="J120" s="5">
        <v>2618.1999999999998</v>
      </c>
      <c r="K120" s="5">
        <v>331686.40000000002</v>
      </c>
      <c r="L120" s="5">
        <v>690.7</v>
      </c>
      <c r="M120" s="5"/>
      <c r="N120" s="5">
        <v>2753.8</v>
      </c>
      <c r="P120" s="5">
        <v>49724.1</v>
      </c>
      <c r="R120" s="5">
        <v>254.3</v>
      </c>
      <c r="S120" s="5">
        <v>546.4</v>
      </c>
      <c r="T120" s="8">
        <v>45.3</v>
      </c>
      <c r="U120" s="5">
        <v>5161.6000000000004</v>
      </c>
      <c r="AA120" s="8"/>
    </row>
    <row r="121" spans="1:27">
      <c r="A121" t="str">
        <f>VLOOKUP(F121,info!$A$2:$G$49,3,FALSE)</f>
        <v>Subaru</v>
      </c>
      <c r="B121" s="4">
        <v>28</v>
      </c>
      <c r="C121" t="s">
        <v>233</v>
      </c>
      <c r="D121" t="s">
        <v>30</v>
      </c>
      <c r="E121" t="s">
        <v>155</v>
      </c>
      <c r="F121">
        <v>2675308</v>
      </c>
      <c r="G121" t="s">
        <v>32</v>
      </c>
      <c r="H121" s="5">
        <v>99544.8</v>
      </c>
      <c r="I121" s="5">
        <v>20768.5</v>
      </c>
      <c r="J121" s="5">
        <v>6663.6</v>
      </c>
      <c r="K121" s="5">
        <v>330405.8</v>
      </c>
      <c r="L121" s="5">
        <v>868.9</v>
      </c>
      <c r="M121" s="5"/>
      <c r="N121" s="5">
        <v>4745.3999999999996</v>
      </c>
      <c r="P121" s="5">
        <v>55353.8</v>
      </c>
      <c r="R121" s="5">
        <v>206.3</v>
      </c>
      <c r="S121" s="5">
        <v>525.70000000000005</v>
      </c>
      <c r="T121" s="8">
        <v>58.4</v>
      </c>
      <c r="U121" s="5">
        <v>2253.6999999999998</v>
      </c>
      <c r="AA121" s="8">
        <v>58.3</v>
      </c>
    </row>
    <row r="122" spans="1:27">
      <c r="A122" t="str">
        <f>VLOOKUP(F122,info!$A$2:$G$49,3,FALSE)</f>
        <v>Renault</v>
      </c>
      <c r="B122" s="4">
        <v>29</v>
      </c>
      <c r="C122" t="s">
        <v>233</v>
      </c>
      <c r="D122" t="s">
        <v>30</v>
      </c>
      <c r="E122" t="s">
        <v>156</v>
      </c>
      <c r="F122">
        <v>1147816</v>
      </c>
      <c r="G122" t="s">
        <v>52</v>
      </c>
      <c r="H122" s="5">
        <v>101263</v>
      </c>
      <c r="I122" s="5">
        <v>23159.3</v>
      </c>
      <c r="J122" s="5">
        <v>3936.6</v>
      </c>
      <c r="K122" s="5">
        <v>328359.59999999998</v>
      </c>
      <c r="L122" s="5">
        <v>856.1</v>
      </c>
      <c r="M122" s="5"/>
      <c r="N122" s="5">
        <v>1474.5</v>
      </c>
      <c r="P122" s="5">
        <v>51480.9</v>
      </c>
      <c r="R122" s="5">
        <v>319.10000000000002</v>
      </c>
      <c r="S122" s="5">
        <v>652.6</v>
      </c>
      <c r="T122" s="5">
        <v>191.8</v>
      </c>
      <c r="U122" s="5">
        <v>3710.4</v>
      </c>
      <c r="AA122" s="8">
        <v>45.9</v>
      </c>
    </row>
    <row r="123" spans="1:27">
      <c r="A123" t="str">
        <f>VLOOKUP(F123,info!$A$2:$G$49,3,FALSE)</f>
        <v>Ford</v>
      </c>
      <c r="B123" s="4">
        <v>30</v>
      </c>
      <c r="C123" t="s">
        <v>233</v>
      </c>
      <c r="D123" t="s">
        <v>30</v>
      </c>
      <c r="E123" t="s">
        <v>157</v>
      </c>
      <c r="F123">
        <v>6917835</v>
      </c>
      <c r="G123" t="s">
        <v>34</v>
      </c>
      <c r="H123" s="5">
        <v>94040.1</v>
      </c>
      <c r="I123" s="5">
        <v>22354.799999999999</v>
      </c>
      <c r="J123" s="5">
        <v>3526.2</v>
      </c>
      <c r="K123" s="5">
        <v>330540.79999999999</v>
      </c>
      <c r="L123" s="5">
        <v>814</v>
      </c>
      <c r="M123" s="5"/>
      <c r="N123" s="5">
        <v>2507</v>
      </c>
      <c r="P123" s="5">
        <v>54285.599999999999</v>
      </c>
      <c r="R123" s="5">
        <v>294.5</v>
      </c>
      <c r="S123" s="5">
        <v>406.8</v>
      </c>
      <c r="T123" s="8">
        <v>35</v>
      </c>
      <c r="U123" s="5">
        <v>6831</v>
      </c>
      <c r="AA123" s="5">
        <v>105.7</v>
      </c>
    </row>
    <row r="124" spans="1:27">
      <c r="A124" t="str">
        <f>VLOOKUP(F124,info!$A$2:$G$49,3,FALSE)</f>
        <v>Hyundai</v>
      </c>
      <c r="B124" s="4">
        <v>31</v>
      </c>
      <c r="C124" t="s">
        <v>233</v>
      </c>
      <c r="D124" t="s">
        <v>30</v>
      </c>
      <c r="E124" t="s">
        <v>158</v>
      </c>
      <c r="F124">
        <v>9602910</v>
      </c>
      <c r="G124" t="s">
        <v>52</v>
      </c>
      <c r="H124" s="5">
        <v>98033.5</v>
      </c>
      <c r="I124" s="5">
        <v>21770.6</v>
      </c>
      <c r="J124" s="5">
        <v>4765.8999999999996</v>
      </c>
      <c r="K124" s="5">
        <v>324490.59999999998</v>
      </c>
      <c r="L124" s="5">
        <v>910.5</v>
      </c>
      <c r="M124" s="5"/>
      <c r="N124" s="5">
        <v>3464.1</v>
      </c>
      <c r="P124" s="5">
        <v>60485.5</v>
      </c>
      <c r="R124" s="5">
        <v>230.9</v>
      </c>
      <c r="S124" s="5">
        <v>477.6</v>
      </c>
      <c r="T124" s="8">
        <v>73</v>
      </c>
      <c r="U124" s="5">
        <v>3117.8</v>
      </c>
      <c r="AA124" s="8">
        <v>41.5</v>
      </c>
    </row>
    <row r="125" spans="1:27">
      <c r="A125" t="str">
        <f>VLOOKUP(F125,info!$A$2:$G$49,3,FALSE)</f>
        <v>Hyundai</v>
      </c>
      <c r="B125" s="4">
        <v>32</v>
      </c>
      <c r="C125" t="s">
        <v>233</v>
      </c>
      <c r="D125" t="s">
        <v>30</v>
      </c>
      <c r="E125" t="s">
        <v>159</v>
      </c>
      <c r="F125">
        <v>9602910</v>
      </c>
      <c r="G125" t="s">
        <v>52</v>
      </c>
      <c r="H125" s="5">
        <v>100506</v>
      </c>
      <c r="I125" s="5">
        <v>21497.5</v>
      </c>
      <c r="J125" s="5">
        <v>4691.8999999999996</v>
      </c>
      <c r="K125" s="5">
        <v>327688.8</v>
      </c>
      <c r="L125" s="5">
        <v>918.7</v>
      </c>
      <c r="M125" s="5"/>
      <c r="N125" s="5">
        <v>3399</v>
      </c>
      <c r="P125" s="5">
        <v>59611.1</v>
      </c>
      <c r="R125" s="5">
        <v>291.5</v>
      </c>
      <c r="S125" s="5">
        <v>521.9</v>
      </c>
      <c r="T125" s="8">
        <v>61.4</v>
      </c>
      <c r="U125" s="5">
        <v>3084.9</v>
      </c>
      <c r="AA125" s="8">
        <v>44</v>
      </c>
    </row>
    <row r="126" spans="1:27">
      <c r="A126" t="str">
        <f>VLOOKUP(F126,info!$A$2:$G$49,3,FALSE)</f>
        <v>Hyundai</v>
      </c>
      <c r="B126" s="4">
        <v>33</v>
      </c>
      <c r="C126" t="s">
        <v>233</v>
      </c>
      <c r="D126" t="s">
        <v>30</v>
      </c>
      <c r="E126" t="s">
        <v>160</v>
      </c>
      <c r="F126">
        <v>9602910</v>
      </c>
      <c r="G126" t="s">
        <v>34</v>
      </c>
      <c r="H126" s="5">
        <v>97167.4</v>
      </c>
      <c r="I126" s="5">
        <v>21390.6</v>
      </c>
      <c r="J126" s="5">
        <v>4373.6000000000004</v>
      </c>
      <c r="K126" s="5">
        <v>326606.40000000002</v>
      </c>
      <c r="L126" s="5">
        <v>1004</v>
      </c>
      <c r="M126" s="5"/>
      <c r="N126" s="5">
        <v>2995.6</v>
      </c>
      <c r="P126" s="5">
        <v>61263.3</v>
      </c>
      <c r="R126" s="5">
        <v>270.10000000000002</v>
      </c>
      <c r="S126" s="5">
        <v>468.2</v>
      </c>
      <c r="T126" s="8">
        <v>61.8</v>
      </c>
      <c r="U126" s="5">
        <v>3176.7</v>
      </c>
      <c r="AA126" s="8">
        <v>40</v>
      </c>
    </row>
    <row r="127" spans="1:27">
      <c r="A127" t="str">
        <f>VLOOKUP(F127,info!$A$2:$G$49,3,FALSE)</f>
        <v>Hyundai</v>
      </c>
      <c r="B127" s="4">
        <v>34</v>
      </c>
      <c r="C127" t="s">
        <v>233</v>
      </c>
      <c r="D127" t="s">
        <v>30</v>
      </c>
      <c r="E127" t="s">
        <v>161</v>
      </c>
      <c r="F127">
        <v>9602910</v>
      </c>
      <c r="G127" t="s">
        <v>52</v>
      </c>
      <c r="H127" s="5">
        <v>98938.7</v>
      </c>
      <c r="I127" s="5">
        <v>21392.3</v>
      </c>
      <c r="J127" s="5">
        <v>4294.8999999999996</v>
      </c>
      <c r="K127" s="5">
        <v>324593</v>
      </c>
      <c r="L127" s="5">
        <v>1071.8</v>
      </c>
      <c r="M127" s="5"/>
      <c r="N127" s="5">
        <v>2907.4</v>
      </c>
      <c r="P127" s="5">
        <v>61263.5</v>
      </c>
      <c r="R127" s="5">
        <v>253.1</v>
      </c>
      <c r="S127" s="5">
        <v>471.9</v>
      </c>
      <c r="T127" s="8">
        <v>65.8</v>
      </c>
      <c r="U127" s="5">
        <v>3162</v>
      </c>
      <c r="AA127" s="8">
        <v>45.4</v>
      </c>
    </row>
    <row r="128" spans="1:27">
      <c r="A128" t="str">
        <f>VLOOKUP(F128,info!$A$2:$G$49,3,FALSE)</f>
        <v>Hyundai</v>
      </c>
      <c r="B128" s="4">
        <v>35</v>
      </c>
      <c r="C128" t="s">
        <v>233</v>
      </c>
      <c r="D128" t="s">
        <v>30</v>
      </c>
      <c r="E128" t="s">
        <v>162</v>
      </c>
      <c r="F128">
        <v>5826120</v>
      </c>
      <c r="G128" t="s">
        <v>32</v>
      </c>
      <c r="H128" s="5">
        <v>101984.4</v>
      </c>
      <c r="I128" s="5">
        <v>21588.2</v>
      </c>
      <c r="J128" s="5">
        <v>4176.7</v>
      </c>
      <c r="K128" s="5">
        <v>328003.59999999998</v>
      </c>
      <c r="L128" s="5">
        <v>1181</v>
      </c>
      <c r="M128" s="5"/>
      <c r="N128" s="5">
        <v>2472.8000000000002</v>
      </c>
      <c r="P128" s="5">
        <v>60807.6</v>
      </c>
      <c r="R128" s="5">
        <v>314.2</v>
      </c>
      <c r="S128" s="5">
        <v>381.7</v>
      </c>
      <c r="T128" s="8">
        <v>82.9</v>
      </c>
      <c r="U128" s="5">
        <v>3135.7</v>
      </c>
      <c r="AA128" s="8">
        <v>49.6</v>
      </c>
    </row>
    <row r="129" spans="1:27">
      <c r="A129" t="str">
        <f>VLOOKUP(F129,info!$A$2:$G$49,3,FALSE)</f>
        <v>Hyundai</v>
      </c>
      <c r="B129" s="4">
        <v>36</v>
      </c>
      <c r="C129" t="s">
        <v>233</v>
      </c>
      <c r="D129" t="s">
        <v>30</v>
      </c>
      <c r="E129" t="s">
        <v>163</v>
      </c>
      <c r="F129">
        <v>5826120</v>
      </c>
      <c r="G129" t="s">
        <v>34</v>
      </c>
      <c r="H129" s="5">
        <v>96732.6</v>
      </c>
      <c r="I129" s="5">
        <v>24389.4</v>
      </c>
      <c r="J129" s="5">
        <v>7774</v>
      </c>
      <c r="K129" s="5">
        <v>329233.8</v>
      </c>
      <c r="L129" s="5">
        <v>762.8</v>
      </c>
      <c r="M129" s="5"/>
      <c r="N129" s="5">
        <v>5544.9</v>
      </c>
      <c r="P129" s="5">
        <v>53466</v>
      </c>
      <c r="R129" s="5">
        <v>273.5</v>
      </c>
      <c r="S129" s="5">
        <v>459.7</v>
      </c>
      <c r="T129" s="5">
        <v>185.1</v>
      </c>
      <c r="U129" s="5">
        <v>2934</v>
      </c>
      <c r="AA129" s="8">
        <v>57.2</v>
      </c>
    </row>
    <row r="130" spans="1:27">
      <c r="A130" t="str">
        <f>VLOOKUP(F130,info!$A$2:$G$49,3,FALSE)</f>
        <v>Ford</v>
      </c>
      <c r="B130" s="4">
        <v>37</v>
      </c>
      <c r="C130" t="s">
        <v>233</v>
      </c>
      <c r="D130" t="s">
        <v>30</v>
      </c>
      <c r="E130" t="s">
        <v>164</v>
      </c>
      <c r="F130">
        <v>6917835</v>
      </c>
      <c r="G130" t="s">
        <v>32</v>
      </c>
      <c r="H130" s="5">
        <v>94959.7</v>
      </c>
      <c r="I130" s="5">
        <v>22336.1</v>
      </c>
      <c r="J130" s="5">
        <v>3559.3</v>
      </c>
      <c r="K130" s="5">
        <v>331875.90000000002</v>
      </c>
      <c r="L130" s="5">
        <v>722.6</v>
      </c>
      <c r="M130" s="5"/>
      <c r="N130" s="5">
        <v>2591</v>
      </c>
      <c r="P130" s="5">
        <v>54114.3</v>
      </c>
      <c r="R130" s="5">
        <v>219.6</v>
      </c>
      <c r="S130" s="5">
        <v>294.8</v>
      </c>
      <c r="T130" s="8">
        <v>36.6</v>
      </c>
      <c r="U130" s="5">
        <v>6696.5</v>
      </c>
      <c r="AA130" s="8">
        <v>74.5</v>
      </c>
    </row>
    <row r="131" spans="1:27">
      <c r="A131" t="str">
        <f>VLOOKUP(F131,info!$A$2:$G$49,3,FALSE)</f>
        <v>Hyundai</v>
      </c>
      <c r="B131" s="4">
        <v>38</v>
      </c>
      <c r="C131" t="s">
        <v>233</v>
      </c>
      <c r="D131" t="s">
        <v>30</v>
      </c>
      <c r="E131" t="s">
        <v>165</v>
      </c>
      <c r="F131">
        <v>5826120</v>
      </c>
      <c r="G131" t="s">
        <v>34</v>
      </c>
      <c r="H131" s="5">
        <v>100209.3</v>
      </c>
      <c r="I131" s="5">
        <v>21428</v>
      </c>
      <c r="J131" s="5">
        <v>4163.8999999999996</v>
      </c>
      <c r="K131" s="5">
        <v>325971.5</v>
      </c>
      <c r="L131" s="5">
        <v>1166</v>
      </c>
      <c r="M131" s="5"/>
      <c r="N131" s="5">
        <v>2492.4</v>
      </c>
      <c r="P131" s="5">
        <v>61628.4</v>
      </c>
      <c r="R131" s="5">
        <v>283.39999999999998</v>
      </c>
      <c r="S131" s="5">
        <v>471.9</v>
      </c>
      <c r="T131" s="8">
        <v>83.9</v>
      </c>
      <c r="U131" s="5">
        <v>3032.7</v>
      </c>
      <c r="AA131" s="8"/>
    </row>
    <row r="132" spans="1:27">
      <c r="A132" t="str">
        <f>VLOOKUP(F132,info!$A$2:$G$49,3,FALSE)</f>
        <v>Renault</v>
      </c>
      <c r="B132" s="4">
        <v>39</v>
      </c>
      <c r="C132" t="s">
        <v>233</v>
      </c>
      <c r="D132" t="s">
        <v>30</v>
      </c>
      <c r="E132" t="s">
        <v>166</v>
      </c>
      <c r="F132">
        <v>1147816</v>
      </c>
      <c r="G132" t="s">
        <v>52</v>
      </c>
      <c r="H132" s="5">
        <v>100216</v>
      </c>
      <c r="I132" s="5">
        <v>22879.7</v>
      </c>
      <c r="J132" s="5">
        <v>4065.7</v>
      </c>
      <c r="K132" s="5">
        <v>331263.09999999998</v>
      </c>
      <c r="L132" s="5">
        <v>834.4</v>
      </c>
      <c r="M132" s="5"/>
      <c r="N132" s="5">
        <v>1156.5</v>
      </c>
      <c r="P132" s="5">
        <v>52965.8</v>
      </c>
      <c r="R132" s="5">
        <v>233.3</v>
      </c>
      <c r="S132" s="5">
        <v>386.9</v>
      </c>
      <c r="T132" s="5">
        <v>189</v>
      </c>
      <c r="U132" s="5">
        <v>3785.9</v>
      </c>
      <c r="AA132" s="8">
        <v>45.1</v>
      </c>
    </row>
    <row r="133" spans="1:27">
      <c r="A133" t="str">
        <f>VLOOKUP(F133,info!$A$2:$G$49,3,FALSE)</f>
        <v>Subaru</v>
      </c>
      <c r="B133" s="4">
        <v>40</v>
      </c>
      <c r="C133" t="s">
        <v>233</v>
      </c>
      <c r="D133" t="s">
        <v>30</v>
      </c>
      <c r="E133" t="s">
        <v>167</v>
      </c>
      <c r="F133">
        <v>2675308</v>
      </c>
      <c r="G133" t="s">
        <v>34</v>
      </c>
      <c r="H133" s="5">
        <v>99103.7</v>
      </c>
      <c r="I133" s="5">
        <v>20998.1</v>
      </c>
      <c r="J133" s="5">
        <v>6583.8</v>
      </c>
      <c r="K133" s="5">
        <v>333393.3</v>
      </c>
      <c r="L133" s="5">
        <v>928.8</v>
      </c>
      <c r="M133" s="5"/>
      <c r="N133" s="5">
        <v>4668.3</v>
      </c>
      <c r="P133" s="5">
        <v>56061.599999999999</v>
      </c>
      <c r="R133" s="5"/>
      <c r="S133" s="5">
        <v>416.4</v>
      </c>
      <c r="T133" s="8">
        <v>60.1</v>
      </c>
      <c r="U133" s="5">
        <v>2204.1</v>
      </c>
      <c r="AA133" s="8">
        <v>67.099999999999994</v>
      </c>
    </row>
    <row r="134" spans="1:27">
      <c r="A134" t="str">
        <f>VLOOKUP(F134,info!$A$2:$G$49,3,FALSE)</f>
        <v>Fiat</v>
      </c>
      <c r="B134" s="4">
        <v>41</v>
      </c>
      <c r="C134" t="s">
        <v>233</v>
      </c>
      <c r="D134" t="s">
        <v>30</v>
      </c>
      <c r="E134" t="s">
        <v>168</v>
      </c>
      <c r="F134">
        <v>5751910</v>
      </c>
      <c r="G134" t="s">
        <v>34</v>
      </c>
      <c r="H134" s="5">
        <v>98057.5</v>
      </c>
      <c r="I134" s="5">
        <v>21137.599999999999</v>
      </c>
      <c r="J134" s="5">
        <v>2500.8000000000002</v>
      </c>
      <c r="K134" s="5">
        <v>328805</v>
      </c>
      <c r="L134" s="5">
        <v>885.6</v>
      </c>
      <c r="M134" s="5"/>
      <c r="N134" s="5">
        <v>933.2</v>
      </c>
      <c r="P134" s="5">
        <v>53141.3</v>
      </c>
      <c r="R134" s="5"/>
      <c r="S134" s="5">
        <v>389.7</v>
      </c>
      <c r="T134" s="5">
        <v>113.2</v>
      </c>
      <c r="U134" s="5">
        <v>5087.6000000000004</v>
      </c>
      <c r="AA134" s="8">
        <v>47.5</v>
      </c>
    </row>
    <row r="135" spans="1:27">
      <c r="A135" t="str">
        <f>VLOOKUP(F135,info!$A$2:$G$49,3,FALSE)</f>
        <v>Renault</v>
      </c>
      <c r="B135" s="4">
        <v>42</v>
      </c>
      <c r="C135" t="s">
        <v>233</v>
      </c>
      <c r="D135" t="s">
        <v>30</v>
      </c>
      <c r="E135" t="s">
        <v>169</v>
      </c>
      <c r="F135">
        <v>1147816</v>
      </c>
      <c r="G135" t="s">
        <v>34</v>
      </c>
      <c r="H135" s="5">
        <v>95328</v>
      </c>
      <c r="I135" s="5">
        <v>22352.9</v>
      </c>
      <c r="J135" s="5">
        <v>7214.5</v>
      </c>
      <c r="K135" s="5">
        <v>323646.09999999998</v>
      </c>
      <c r="L135" s="5">
        <v>732.5</v>
      </c>
      <c r="M135" s="5"/>
      <c r="N135" s="5">
        <v>7278.2</v>
      </c>
      <c r="P135" s="5">
        <v>54284.9</v>
      </c>
      <c r="R135" s="5">
        <v>298.8</v>
      </c>
      <c r="S135" s="5">
        <v>550</v>
      </c>
      <c r="T135" s="8">
        <v>47.5</v>
      </c>
      <c r="U135" s="5">
        <v>4814.2</v>
      </c>
      <c r="AA135" s="8">
        <v>43.1</v>
      </c>
    </row>
    <row r="136" spans="1:27">
      <c r="A136" t="str">
        <f>VLOOKUP(F136,info!$A$2:$G$49,3,FALSE)</f>
        <v>Fiat</v>
      </c>
      <c r="B136" s="4">
        <v>43</v>
      </c>
      <c r="C136" t="s">
        <v>233</v>
      </c>
      <c r="D136" t="s">
        <v>30</v>
      </c>
      <c r="E136" t="s">
        <v>170</v>
      </c>
      <c r="F136">
        <v>5751910</v>
      </c>
      <c r="G136" t="s">
        <v>32</v>
      </c>
      <c r="H136" s="5">
        <v>97261.8</v>
      </c>
      <c r="I136" s="5">
        <v>21304.3</v>
      </c>
      <c r="J136" s="5">
        <v>2498.8000000000002</v>
      </c>
      <c r="K136" s="5">
        <v>326868.3</v>
      </c>
      <c r="L136" s="5">
        <v>774.8</v>
      </c>
      <c r="M136" s="5"/>
      <c r="N136" s="5">
        <v>1237.0999999999999</v>
      </c>
      <c r="P136" s="5">
        <v>53207</v>
      </c>
      <c r="R136" s="5">
        <v>225.6</v>
      </c>
      <c r="S136" s="5">
        <v>563.20000000000005</v>
      </c>
      <c r="T136" s="5">
        <v>114.8</v>
      </c>
      <c r="U136" s="5">
        <v>5287.7</v>
      </c>
      <c r="AA136" s="8">
        <v>54.8</v>
      </c>
    </row>
    <row r="137" spans="1:27">
      <c r="A137" t="str">
        <f>VLOOKUP(F137,info!$A$2:$G$49,3,FALSE)</f>
        <v>Hyundai</v>
      </c>
      <c r="B137" s="4">
        <v>44</v>
      </c>
      <c r="C137" t="s">
        <v>233</v>
      </c>
      <c r="D137" t="s">
        <v>30</v>
      </c>
      <c r="E137" t="s">
        <v>171</v>
      </c>
      <c r="F137">
        <v>9602910</v>
      </c>
      <c r="G137" t="s">
        <v>32</v>
      </c>
      <c r="H137" s="5">
        <v>101974.8</v>
      </c>
      <c r="I137" s="5">
        <v>21562.9</v>
      </c>
      <c r="J137" s="5">
        <v>4463.1000000000004</v>
      </c>
      <c r="K137" s="5">
        <v>327975.09999999998</v>
      </c>
      <c r="L137" s="5">
        <v>926.9</v>
      </c>
      <c r="M137" s="5"/>
      <c r="N137" s="5">
        <v>2954.3</v>
      </c>
      <c r="P137" s="5">
        <v>59897.5</v>
      </c>
      <c r="R137" s="5"/>
      <c r="S137" s="5">
        <v>587.6</v>
      </c>
      <c r="T137" s="8">
        <v>63</v>
      </c>
      <c r="U137" s="5">
        <v>3210.5</v>
      </c>
      <c r="AA137" s="8">
        <v>40</v>
      </c>
    </row>
    <row r="138" spans="1:27">
      <c r="A138" t="str">
        <f>VLOOKUP(F138,info!$A$2:$G$49,3,FALSE)</f>
        <v>Subaru</v>
      </c>
      <c r="B138" s="4">
        <v>45</v>
      </c>
      <c r="C138" t="s">
        <v>233</v>
      </c>
      <c r="D138" t="s">
        <v>30</v>
      </c>
      <c r="E138" t="s">
        <v>172</v>
      </c>
      <c r="F138">
        <v>2675308</v>
      </c>
      <c r="G138" t="s">
        <v>34</v>
      </c>
      <c r="H138" s="5">
        <v>99551</v>
      </c>
      <c r="I138" s="5">
        <v>20821.7</v>
      </c>
      <c r="J138" s="5">
        <v>6512.5</v>
      </c>
      <c r="K138" s="5">
        <v>329508.59999999998</v>
      </c>
      <c r="L138" s="5">
        <v>978.7</v>
      </c>
      <c r="M138" s="5"/>
      <c r="N138" s="5">
        <v>4832</v>
      </c>
      <c r="P138" s="5">
        <v>55407.3</v>
      </c>
      <c r="R138" s="5"/>
      <c r="S138" s="5">
        <v>434.7</v>
      </c>
      <c r="T138" s="8">
        <v>53.3</v>
      </c>
      <c r="U138" s="5">
        <v>2349.3000000000002</v>
      </c>
      <c r="AA138" s="8"/>
    </row>
    <row r="139" spans="1:27">
      <c r="A139" t="str">
        <f>VLOOKUP(F139,info!$A$2:$G$49,3,FALSE)</f>
        <v>Renault</v>
      </c>
      <c r="B139" s="4">
        <v>46</v>
      </c>
      <c r="C139" t="s">
        <v>233</v>
      </c>
      <c r="D139" t="s">
        <v>30</v>
      </c>
      <c r="E139" t="s">
        <v>173</v>
      </c>
      <c r="F139">
        <v>1147816</v>
      </c>
      <c r="G139" t="s">
        <v>34</v>
      </c>
      <c r="H139" s="5">
        <v>96806.8</v>
      </c>
      <c r="I139" s="5">
        <v>21481.599999999999</v>
      </c>
      <c r="J139" s="5">
        <v>2792.1</v>
      </c>
      <c r="K139" s="5">
        <v>332883.8</v>
      </c>
      <c r="L139" s="5">
        <v>705</v>
      </c>
      <c r="M139" s="5"/>
      <c r="N139" s="5">
        <v>1991.9</v>
      </c>
      <c r="P139" s="5">
        <v>52535.7</v>
      </c>
      <c r="R139" s="5">
        <v>226.7</v>
      </c>
      <c r="S139" s="5">
        <v>499.5</v>
      </c>
      <c r="T139" s="8">
        <v>71.3</v>
      </c>
      <c r="U139" s="5">
        <v>5393.4</v>
      </c>
      <c r="AA139" s="8">
        <v>64.2</v>
      </c>
    </row>
    <row r="140" spans="1:27">
      <c r="A140" t="str">
        <f>VLOOKUP(F140,info!$A$2:$G$49,3,FALSE)</f>
        <v>Renault</v>
      </c>
      <c r="B140" s="4">
        <v>47</v>
      </c>
      <c r="C140" t="s">
        <v>233</v>
      </c>
      <c r="D140" t="s">
        <v>30</v>
      </c>
      <c r="E140" t="s">
        <v>174</v>
      </c>
      <c r="F140">
        <v>1147816</v>
      </c>
      <c r="G140" t="s">
        <v>32</v>
      </c>
      <c r="H140" s="5">
        <v>95136.7</v>
      </c>
      <c r="I140" s="5">
        <v>21249.599999999999</v>
      </c>
      <c r="J140" s="5">
        <v>2780.5</v>
      </c>
      <c r="K140" s="5">
        <v>329300.90000000002</v>
      </c>
      <c r="L140" s="5">
        <v>734.3</v>
      </c>
      <c r="M140" s="5"/>
      <c r="N140" s="5">
        <v>2025.9</v>
      </c>
      <c r="P140" s="5">
        <v>53097.8</v>
      </c>
      <c r="R140" s="5"/>
      <c r="S140" s="5">
        <v>520.9</v>
      </c>
      <c r="T140" s="8">
        <v>76</v>
      </c>
      <c r="U140" s="5">
        <v>5134.2</v>
      </c>
      <c r="AA140" s="5">
        <v>113.6</v>
      </c>
    </row>
    <row r="141" spans="1:27">
      <c r="A141" t="str">
        <f>VLOOKUP(F141,info!$A$2:$G$49,3,FALSE)</f>
        <v>Hyundai</v>
      </c>
      <c r="B141" s="4">
        <v>48</v>
      </c>
      <c r="C141" t="s">
        <v>233</v>
      </c>
      <c r="D141" t="s">
        <v>30</v>
      </c>
      <c r="E141" s="3" t="s">
        <v>175</v>
      </c>
      <c r="F141" s="3">
        <v>5826120</v>
      </c>
      <c r="G141" s="3" t="s">
        <v>52</v>
      </c>
      <c r="H141" s="6">
        <v>98965.6</v>
      </c>
      <c r="I141" s="6">
        <v>21259.200000000001</v>
      </c>
      <c r="J141" s="6">
        <v>4212.3999999999996</v>
      </c>
      <c r="K141" s="6">
        <v>322836.2</v>
      </c>
      <c r="L141" s="6">
        <v>1109.9000000000001</v>
      </c>
      <c r="M141" s="6"/>
      <c r="N141" s="6">
        <v>2587.6</v>
      </c>
      <c r="P141" s="6">
        <v>61819.199999999997</v>
      </c>
      <c r="R141" s="6">
        <v>298.10000000000002</v>
      </c>
      <c r="S141" s="6">
        <v>667</v>
      </c>
      <c r="T141" s="12">
        <v>81.5</v>
      </c>
      <c r="U141" s="6">
        <v>3051.1</v>
      </c>
      <c r="AA141" s="12"/>
    </row>
    <row r="142" spans="1:27">
      <c r="A142" t="str">
        <f>VLOOKUP(F142,info!$A$2:$G$49,3,FALSE)</f>
        <v>Mazda</v>
      </c>
      <c r="B142" s="4">
        <v>1</v>
      </c>
      <c r="C142" t="s">
        <v>233</v>
      </c>
      <c r="D142" t="s">
        <v>77</v>
      </c>
      <c r="E142" t="s">
        <v>176</v>
      </c>
      <c r="F142">
        <v>3550828</v>
      </c>
      <c r="G142" t="s">
        <v>32</v>
      </c>
      <c r="H142" s="5">
        <v>90414</v>
      </c>
      <c r="I142" s="5">
        <v>22085</v>
      </c>
      <c r="J142" s="5">
        <v>7700</v>
      </c>
      <c r="K142" s="5">
        <v>334334</v>
      </c>
      <c r="L142" s="5">
        <v>500.2</v>
      </c>
      <c r="M142" s="5"/>
      <c r="N142" s="5">
        <v>5335</v>
      </c>
      <c r="P142" s="5">
        <v>54023</v>
      </c>
      <c r="R142" s="5">
        <v>209.2</v>
      </c>
      <c r="S142" s="5">
        <v>520.70000000000005</v>
      </c>
      <c r="T142" s="8">
        <v>60.3</v>
      </c>
      <c r="U142" s="5">
        <v>2965</v>
      </c>
      <c r="AA142" s="8">
        <v>52.2</v>
      </c>
    </row>
    <row r="143" spans="1:27">
      <c r="A143" t="str">
        <f>VLOOKUP(F143,info!$A$2:$G$49,3,FALSE)</f>
        <v>Mazda</v>
      </c>
      <c r="B143" s="4">
        <v>2</v>
      </c>
      <c r="C143" t="s">
        <v>233</v>
      </c>
      <c r="D143" t="s">
        <v>77</v>
      </c>
      <c r="E143" t="s">
        <v>177</v>
      </c>
      <c r="F143">
        <v>3550828</v>
      </c>
      <c r="G143" t="s">
        <v>34</v>
      </c>
      <c r="H143" s="5">
        <v>88167</v>
      </c>
      <c r="I143" s="5">
        <v>22306</v>
      </c>
      <c r="J143" s="5">
        <v>7895</v>
      </c>
      <c r="K143" s="5">
        <v>339837</v>
      </c>
      <c r="L143" s="5">
        <v>545.70000000000005</v>
      </c>
      <c r="M143" s="5"/>
      <c r="N143" s="5">
        <v>5320</v>
      </c>
      <c r="P143" s="5">
        <v>53072</v>
      </c>
      <c r="R143" s="5"/>
      <c r="S143" s="5">
        <v>501.1</v>
      </c>
      <c r="T143" s="8">
        <v>56.9</v>
      </c>
      <c r="U143" s="5">
        <v>3076.2</v>
      </c>
      <c r="AA143" s="8">
        <v>38.799999999999997</v>
      </c>
    </row>
    <row r="144" spans="1:27">
      <c r="A144" t="str">
        <f>VLOOKUP(F144,info!$A$2:$G$49,3,FALSE)</f>
        <v>Mazda</v>
      </c>
      <c r="B144" s="4">
        <v>3</v>
      </c>
      <c r="C144" t="s">
        <v>233</v>
      </c>
      <c r="D144" t="s">
        <v>77</v>
      </c>
      <c r="E144" t="s">
        <v>178</v>
      </c>
      <c r="F144">
        <v>3550828</v>
      </c>
      <c r="G144" t="s">
        <v>34</v>
      </c>
      <c r="H144" s="5">
        <v>86607</v>
      </c>
      <c r="I144" s="5">
        <v>22297</v>
      </c>
      <c r="J144" s="5">
        <v>8159</v>
      </c>
      <c r="K144" s="5">
        <v>340291</v>
      </c>
      <c r="L144" s="5">
        <v>582.9</v>
      </c>
      <c r="M144" s="5"/>
      <c r="N144" s="5">
        <v>5492</v>
      </c>
      <c r="P144" s="5">
        <v>53605</v>
      </c>
      <c r="R144" s="5">
        <v>270.7</v>
      </c>
      <c r="S144" s="5">
        <v>584.6</v>
      </c>
      <c r="T144" s="8">
        <v>59.1</v>
      </c>
      <c r="U144" s="5">
        <v>3302</v>
      </c>
      <c r="AA144" s="8"/>
    </row>
    <row r="145" spans="1:27">
      <c r="A145" t="str">
        <f>VLOOKUP(F145,info!$A$2:$G$49,3,FALSE)</f>
        <v>Peugeot</v>
      </c>
      <c r="B145" s="4">
        <v>4</v>
      </c>
      <c r="C145" t="s">
        <v>233</v>
      </c>
      <c r="D145" t="s">
        <v>77</v>
      </c>
      <c r="E145" t="s">
        <v>179</v>
      </c>
      <c r="F145">
        <v>9367324</v>
      </c>
      <c r="G145" t="s">
        <v>32</v>
      </c>
      <c r="H145" s="5">
        <v>91103</v>
      </c>
      <c r="I145" s="5">
        <v>20802</v>
      </c>
      <c r="J145" s="5">
        <v>3346</v>
      </c>
      <c r="K145" s="5">
        <v>342993</v>
      </c>
      <c r="L145" s="5">
        <v>622.5</v>
      </c>
      <c r="M145" s="5"/>
      <c r="N145" s="5">
        <v>1357</v>
      </c>
      <c r="P145" s="5">
        <v>54856</v>
      </c>
      <c r="R145" s="5">
        <v>188.7</v>
      </c>
      <c r="S145" s="5">
        <v>487</v>
      </c>
      <c r="T145" s="5">
        <v>104</v>
      </c>
      <c r="U145" s="5">
        <v>5147</v>
      </c>
      <c r="AA145" s="8">
        <v>84.7</v>
      </c>
    </row>
    <row r="146" spans="1:27">
      <c r="A146" t="str">
        <f>VLOOKUP(F146,info!$A$2:$G$49,3,FALSE)</f>
        <v>Peugeot</v>
      </c>
      <c r="B146" s="4">
        <v>5</v>
      </c>
      <c r="C146" t="s">
        <v>233</v>
      </c>
      <c r="D146" t="s">
        <v>77</v>
      </c>
      <c r="E146" t="s">
        <v>180</v>
      </c>
      <c r="F146">
        <v>9367324</v>
      </c>
      <c r="G146" t="s">
        <v>32</v>
      </c>
      <c r="H146" s="5">
        <v>96298</v>
      </c>
      <c r="I146" s="5">
        <v>21136</v>
      </c>
      <c r="J146" s="5">
        <v>1394</v>
      </c>
      <c r="K146" s="5">
        <v>343685</v>
      </c>
      <c r="L146" s="5">
        <v>552.5</v>
      </c>
      <c r="M146" s="5"/>
      <c r="N146" s="5">
        <v>577.1</v>
      </c>
      <c r="P146" s="5">
        <v>54822</v>
      </c>
      <c r="R146" s="5"/>
      <c r="S146" s="5">
        <v>354.6</v>
      </c>
      <c r="T146" s="5">
        <v>119.7</v>
      </c>
      <c r="U146" s="5">
        <v>5181</v>
      </c>
      <c r="AA146" s="8"/>
    </row>
    <row r="147" spans="1:27">
      <c r="A147" t="str">
        <f>VLOOKUP(F147,info!$A$2:$G$49,3,FALSE)</f>
        <v>Mazda</v>
      </c>
      <c r="B147" s="4">
        <v>6</v>
      </c>
      <c r="C147" t="s">
        <v>233</v>
      </c>
      <c r="D147" t="s">
        <v>77</v>
      </c>
      <c r="E147" t="s">
        <v>181</v>
      </c>
      <c r="F147">
        <v>3550828</v>
      </c>
      <c r="G147" t="s">
        <v>32</v>
      </c>
      <c r="H147" s="5">
        <v>86676</v>
      </c>
      <c r="I147" s="5">
        <v>22280</v>
      </c>
      <c r="J147" s="5">
        <v>8300</v>
      </c>
      <c r="K147" s="5">
        <v>341547</v>
      </c>
      <c r="L147" s="5">
        <v>520.70000000000005</v>
      </c>
      <c r="M147" s="5"/>
      <c r="N147" s="5">
        <v>5490</v>
      </c>
      <c r="P147" s="5">
        <v>53553</v>
      </c>
      <c r="R147" s="5"/>
      <c r="S147" s="5">
        <v>404.1</v>
      </c>
      <c r="T147" s="8">
        <v>60.8</v>
      </c>
      <c r="U147" s="5">
        <v>3263</v>
      </c>
      <c r="AA147" s="8"/>
    </row>
    <row r="148" spans="1:27">
      <c r="A148" t="str">
        <f>VLOOKUP(F148,info!$A$2:$G$49,3,FALSE)</f>
        <v>Hyundai</v>
      </c>
      <c r="B148" s="4">
        <v>7</v>
      </c>
      <c r="C148" t="s">
        <v>233</v>
      </c>
      <c r="D148" t="s">
        <v>77</v>
      </c>
      <c r="E148" t="s">
        <v>182</v>
      </c>
      <c r="F148">
        <v>9540217</v>
      </c>
      <c r="G148" t="s">
        <v>34</v>
      </c>
      <c r="H148" s="5">
        <v>89782</v>
      </c>
      <c r="I148" s="5">
        <v>21009</v>
      </c>
      <c r="J148" s="5">
        <v>6348</v>
      </c>
      <c r="K148" s="5">
        <v>333279</v>
      </c>
      <c r="L148" s="5">
        <v>709.4</v>
      </c>
      <c r="M148" s="5"/>
      <c r="N148" s="5">
        <v>2816</v>
      </c>
      <c r="P148" s="5">
        <v>61064</v>
      </c>
      <c r="R148" s="5">
        <v>225.6</v>
      </c>
      <c r="S148" s="5">
        <v>490.3</v>
      </c>
      <c r="T148" s="8">
        <v>71.400000000000006</v>
      </c>
      <c r="U148" s="5">
        <v>3036</v>
      </c>
      <c r="AA148" s="8"/>
    </row>
    <row r="149" spans="1:27">
      <c r="A149" t="str">
        <f>VLOOKUP(F149,info!$A$2:$G$49,3,FALSE)</f>
        <v>Honda</v>
      </c>
      <c r="B149" s="4">
        <v>8</v>
      </c>
      <c r="C149" t="s">
        <v>233</v>
      </c>
      <c r="D149" t="s">
        <v>77</v>
      </c>
      <c r="E149" t="s">
        <v>183</v>
      </c>
      <c r="F149">
        <v>8096906</v>
      </c>
      <c r="G149" t="s">
        <v>32</v>
      </c>
      <c r="H149" s="5">
        <v>88404</v>
      </c>
      <c r="I149" s="5">
        <v>21627</v>
      </c>
      <c r="J149" s="5">
        <v>906.2</v>
      </c>
      <c r="K149" s="5">
        <v>349310</v>
      </c>
      <c r="L149" s="5">
        <v>598.9</v>
      </c>
      <c r="M149" s="5"/>
      <c r="N149" s="5">
        <v>561.20000000000005</v>
      </c>
      <c r="P149" s="5">
        <v>54166</v>
      </c>
      <c r="R149" s="5"/>
      <c r="S149" s="5">
        <v>408.6</v>
      </c>
      <c r="T149" s="9">
        <v>0</v>
      </c>
      <c r="U149" s="5">
        <v>3011</v>
      </c>
      <c r="AA149" s="8">
        <v>36.6</v>
      </c>
    </row>
    <row r="150" spans="1:27">
      <c r="A150" t="str">
        <f>VLOOKUP(F150,info!$A$2:$G$49,3,FALSE)</f>
        <v>Honda</v>
      </c>
      <c r="B150" s="4">
        <v>9</v>
      </c>
      <c r="C150" t="s">
        <v>233</v>
      </c>
      <c r="D150" t="s">
        <v>77</v>
      </c>
      <c r="E150" t="s">
        <v>184</v>
      </c>
      <c r="F150">
        <v>8096906</v>
      </c>
      <c r="G150" t="s">
        <v>34</v>
      </c>
      <c r="H150" s="5">
        <v>87610</v>
      </c>
      <c r="I150" s="5">
        <v>21759</v>
      </c>
      <c r="J150" s="5">
        <v>918.2</v>
      </c>
      <c r="K150" s="5">
        <v>350010</v>
      </c>
      <c r="L150" s="5">
        <v>671.5</v>
      </c>
      <c r="M150" s="5"/>
      <c r="N150" s="5">
        <v>463.1</v>
      </c>
      <c r="P150" s="5">
        <v>54280</v>
      </c>
      <c r="R150" s="5"/>
      <c r="S150" s="5">
        <v>374.6</v>
      </c>
      <c r="T150" s="9">
        <v>0</v>
      </c>
      <c r="U150" s="5">
        <v>3048</v>
      </c>
      <c r="AA150" s="8"/>
    </row>
    <row r="151" spans="1:27">
      <c r="A151" t="str">
        <f>VLOOKUP(F151,info!$A$2:$G$49,3,FALSE)</f>
        <v>Ford</v>
      </c>
      <c r="B151" s="4">
        <v>10</v>
      </c>
      <c r="C151" t="s">
        <v>233</v>
      </c>
      <c r="D151" t="s">
        <v>77</v>
      </c>
      <c r="E151" t="s">
        <v>185</v>
      </c>
      <c r="F151">
        <v>6917835</v>
      </c>
      <c r="G151" t="s">
        <v>32</v>
      </c>
      <c r="H151" s="5">
        <v>84919</v>
      </c>
      <c r="I151" s="5">
        <v>21377</v>
      </c>
      <c r="J151" s="5">
        <v>9513</v>
      </c>
      <c r="K151" s="5">
        <v>336106</v>
      </c>
      <c r="L151" s="5">
        <v>477.5</v>
      </c>
      <c r="M151" s="5"/>
      <c r="N151" s="5">
        <v>2484</v>
      </c>
      <c r="P151" s="5">
        <v>51498</v>
      </c>
      <c r="R151" s="5"/>
      <c r="S151" s="5">
        <v>366.9</v>
      </c>
      <c r="T151" s="8">
        <v>30.3</v>
      </c>
      <c r="U151" s="5">
        <v>6348</v>
      </c>
      <c r="AA151" s="8">
        <v>99.6</v>
      </c>
    </row>
    <row r="152" spans="1:27">
      <c r="A152" t="str">
        <f>VLOOKUP(F152,info!$A$2:$G$49,3,FALSE)</f>
        <v>Honda</v>
      </c>
      <c r="B152" s="4">
        <v>11</v>
      </c>
      <c r="C152" t="s">
        <v>233</v>
      </c>
      <c r="D152" t="s">
        <v>77</v>
      </c>
      <c r="E152" t="s">
        <v>186</v>
      </c>
      <c r="F152">
        <v>8096906</v>
      </c>
      <c r="G152" t="s">
        <v>34</v>
      </c>
      <c r="H152" s="5">
        <v>84318</v>
      </c>
      <c r="I152" s="5">
        <v>21485</v>
      </c>
      <c r="J152" s="5">
        <v>1471</v>
      </c>
      <c r="K152" s="5">
        <v>350254</v>
      </c>
      <c r="L152" s="5">
        <v>752.6</v>
      </c>
      <c r="M152" s="5"/>
      <c r="N152" s="5">
        <v>572.20000000000005</v>
      </c>
      <c r="P152" s="5">
        <v>55363</v>
      </c>
      <c r="R152" s="5"/>
      <c r="S152" s="5">
        <v>335.8</v>
      </c>
      <c r="T152" s="9">
        <v>0</v>
      </c>
      <c r="U152" s="5">
        <v>3178</v>
      </c>
      <c r="AA152" s="8"/>
    </row>
    <row r="153" spans="1:27">
      <c r="A153" t="str">
        <f>VLOOKUP(F153,info!$A$2:$G$49,3,FALSE)</f>
        <v>Daewoo</v>
      </c>
      <c r="B153" s="4">
        <v>12</v>
      </c>
      <c r="C153" t="s">
        <v>233</v>
      </c>
      <c r="D153" t="s">
        <v>77</v>
      </c>
      <c r="E153" t="s">
        <v>187</v>
      </c>
      <c r="F153">
        <v>8501017</v>
      </c>
      <c r="G153" t="s">
        <v>34</v>
      </c>
      <c r="H153" s="5">
        <v>86638</v>
      </c>
      <c r="I153" s="5">
        <v>21576</v>
      </c>
      <c r="J153" s="5">
        <v>5889</v>
      </c>
      <c r="K153" s="5">
        <v>344368</v>
      </c>
      <c r="L153" s="5">
        <v>819.8</v>
      </c>
      <c r="M153" s="5"/>
      <c r="N153" s="5">
        <v>4174</v>
      </c>
      <c r="P153" s="5">
        <v>52113</v>
      </c>
      <c r="R153" s="5">
        <v>223.2</v>
      </c>
      <c r="S153" s="5">
        <v>384.6</v>
      </c>
      <c r="T153" s="8">
        <v>27.4</v>
      </c>
      <c r="U153" s="5">
        <v>3005</v>
      </c>
      <c r="AA153" s="8">
        <v>48.5</v>
      </c>
    </row>
    <row r="154" spans="1:27">
      <c r="A154" t="str">
        <f>VLOOKUP(F154,info!$A$2:$G$49,3,FALSE)</f>
        <v>Hyundai</v>
      </c>
      <c r="B154" s="4">
        <v>13</v>
      </c>
      <c r="C154" t="s">
        <v>233</v>
      </c>
      <c r="D154" t="s">
        <v>77</v>
      </c>
      <c r="E154" t="s">
        <v>188</v>
      </c>
      <c r="F154">
        <v>9540217</v>
      </c>
      <c r="G154" t="s">
        <v>34</v>
      </c>
      <c r="H154" s="5">
        <v>92735</v>
      </c>
      <c r="I154" s="5">
        <v>21171</v>
      </c>
      <c r="J154" s="5">
        <v>5312</v>
      </c>
      <c r="K154" s="5">
        <v>332788</v>
      </c>
      <c r="L154" s="5">
        <v>646.29999999999995</v>
      </c>
      <c r="M154" s="5"/>
      <c r="N154" s="5">
        <v>2651</v>
      </c>
      <c r="P154" s="5">
        <v>61868</v>
      </c>
      <c r="R154" s="5">
        <v>258.2</v>
      </c>
      <c r="S154" s="5">
        <v>413.6</v>
      </c>
      <c r="T154" s="8">
        <v>77</v>
      </c>
      <c r="U154" s="5">
        <v>3259</v>
      </c>
      <c r="AA154" s="8">
        <v>49.9</v>
      </c>
    </row>
    <row r="155" spans="1:27">
      <c r="A155" t="str">
        <f>VLOOKUP(F155,info!$A$2:$G$49,3,FALSE)</f>
        <v>Peugeot</v>
      </c>
      <c r="B155" s="4">
        <v>14</v>
      </c>
      <c r="C155" t="s">
        <v>233</v>
      </c>
      <c r="D155" t="s">
        <v>77</v>
      </c>
      <c r="E155" t="s">
        <v>189</v>
      </c>
      <c r="F155">
        <v>9367324</v>
      </c>
      <c r="G155" t="s">
        <v>34</v>
      </c>
      <c r="H155" s="5">
        <v>90300</v>
      </c>
      <c r="I155" s="5">
        <v>21051</v>
      </c>
      <c r="J155" s="5">
        <v>5840</v>
      </c>
      <c r="K155" s="5">
        <v>336983</v>
      </c>
      <c r="L155" s="5">
        <v>762.7</v>
      </c>
      <c r="M155" s="5"/>
      <c r="N155" s="5">
        <v>2773</v>
      </c>
      <c r="P155" s="5">
        <v>61515</v>
      </c>
      <c r="R155" s="5">
        <v>255.5</v>
      </c>
      <c r="S155" s="5">
        <v>484.8</v>
      </c>
      <c r="T155" s="8">
        <v>67.2</v>
      </c>
      <c r="U155" s="5">
        <v>3193</v>
      </c>
      <c r="AA155" s="8"/>
    </row>
    <row r="156" spans="1:27">
      <c r="A156" t="str">
        <f>VLOOKUP(F156,info!$A$2:$G$49,3,FALSE)</f>
        <v>Ford</v>
      </c>
      <c r="B156" s="4">
        <v>15</v>
      </c>
      <c r="C156" t="s">
        <v>233</v>
      </c>
      <c r="D156" t="s">
        <v>77</v>
      </c>
      <c r="E156" t="s">
        <v>190</v>
      </c>
      <c r="F156">
        <v>6917835</v>
      </c>
      <c r="G156" t="s">
        <v>34</v>
      </c>
      <c r="H156" s="5">
        <v>91285</v>
      </c>
      <c r="I156" s="5">
        <v>21864</v>
      </c>
      <c r="J156" s="5">
        <v>4815</v>
      </c>
      <c r="K156" s="5">
        <v>335701</v>
      </c>
      <c r="L156" s="5">
        <v>496.8</v>
      </c>
      <c r="M156" s="5"/>
      <c r="N156" s="5">
        <v>2120</v>
      </c>
      <c r="P156" s="5">
        <v>53620</v>
      </c>
      <c r="R156" s="5">
        <v>282.89999999999998</v>
      </c>
      <c r="S156" s="5">
        <v>287.89999999999998</v>
      </c>
      <c r="T156" s="8">
        <v>25.2</v>
      </c>
      <c r="U156" s="5">
        <v>6242</v>
      </c>
      <c r="AA156" s="8">
        <v>74.8</v>
      </c>
    </row>
    <row r="157" spans="1:27">
      <c r="A157" t="str">
        <f>VLOOKUP(F157,info!$A$2:$G$49,3,FALSE)</f>
        <v>Hyundai</v>
      </c>
      <c r="B157" s="4">
        <v>16</v>
      </c>
      <c r="C157" t="s">
        <v>233</v>
      </c>
      <c r="D157" t="s">
        <v>77</v>
      </c>
      <c r="E157" t="s">
        <v>191</v>
      </c>
      <c r="F157">
        <v>6316720</v>
      </c>
      <c r="G157" t="s">
        <v>34</v>
      </c>
      <c r="H157" s="5">
        <v>100752</v>
      </c>
      <c r="I157" s="5">
        <v>22557</v>
      </c>
      <c r="J157" s="5">
        <v>5450</v>
      </c>
      <c r="K157" s="5">
        <v>332501</v>
      </c>
      <c r="L157" s="5">
        <v>753.8</v>
      </c>
      <c r="M157" s="5"/>
      <c r="N157" s="5">
        <v>2470</v>
      </c>
      <c r="P157" s="5">
        <v>54917</v>
      </c>
      <c r="R157" s="5">
        <v>213.5</v>
      </c>
      <c r="S157" s="5">
        <v>394.1</v>
      </c>
      <c r="T157" s="8">
        <v>64</v>
      </c>
      <c r="U157" s="5">
        <v>2595</v>
      </c>
      <c r="AA157" s="8">
        <v>31.8</v>
      </c>
    </row>
    <row r="158" spans="1:27">
      <c r="A158" t="str">
        <f>VLOOKUP(F158,info!$A$2:$G$49,3,FALSE)</f>
        <v>Hyundai</v>
      </c>
      <c r="B158" s="4">
        <v>17</v>
      </c>
      <c r="C158" t="s">
        <v>233</v>
      </c>
      <c r="D158" t="s">
        <v>77</v>
      </c>
      <c r="E158" t="s">
        <v>192</v>
      </c>
      <c r="F158">
        <v>6316720</v>
      </c>
      <c r="G158" t="s">
        <v>34</v>
      </c>
      <c r="H158" s="5">
        <v>91464</v>
      </c>
      <c r="I158" s="5">
        <v>21447</v>
      </c>
      <c r="J158" s="5">
        <v>5451</v>
      </c>
      <c r="K158" s="5">
        <v>338755</v>
      </c>
      <c r="L158" s="5">
        <v>683.7</v>
      </c>
      <c r="M158" s="5"/>
      <c r="N158" s="5">
        <v>2662</v>
      </c>
      <c r="P158" s="5">
        <v>60147</v>
      </c>
      <c r="R158" s="5">
        <v>258.8</v>
      </c>
      <c r="S158" s="5">
        <v>338</v>
      </c>
      <c r="T158" s="8">
        <v>70.400000000000006</v>
      </c>
      <c r="U158" s="5">
        <v>2877</v>
      </c>
      <c r="AA158" s="8"/>
    </row>
    <row r="159" spans="1:27">
      <c r="A159" t="str">
        <f>VLOOKUP(F159,info!$A$2:$G$49,3,FALSE)</f>
        <v>Honda</v>
      </c>
      <c r="B159" s="4">
        <v>18</v>
      </c>
      <c r="C159" t="s">
        <v>233</v>
      </c>
      <c r="D159" t="s">
        <v>77</v>
      </c>
      <c r="E159" t="s">
        <v>193</v>
      </c>
      <c r="F159">
        <v>8096906</v>
      </c>
      <c r="G159" t="s">
        <v>32</v>
      </c>
      <c r="H159" s="5">
        <v>86791</v>
      </c>
      <c r="I159" s="5">
        <v>21608</v>
      </c>
      <c r="J159" s="5">
        <v>1198</v>
      </c>
      <c r="K159" s="5">
        <v>349834</v>
      </c>
      <c r="L159" s="5">
        <v>644</v>
      </c>
      <c r="M159" s="5"/>
      <c r="N159" s="5">
        <v>457.1</v>
      </c>
      <c r="P159" s="5">
        <v>55180</v>
      </c>
      <c r="R159" s="5"/>
      <c r="S159" s="5">
        <v>313.60000000000002</v>
      </c>
      <c r="T159" s="9">
        <v>0</v>
      </c>
      <c r="U159" s="5">
        <v>3125</v>
      </c>
      <c r="AA159" s="8">
        <v>49.1</v>
      </c>
    </row>
    <row r="160" spans="1:27">
      <c r="A160" t="str">
        <f>VLOOKUP(F160,info!$A$2:$G$49,3,FALSE)</f>
        <v>Hyundai</v>
      </c>
      <c r="B160" s="4">
        <v>19</v>
      </c>
      <c r="C160" t="s">
        <v>233</v>
      </c>
      <c r="D160" t="s">
        <v>77</v>
      </c>
      <c r="E160" t="s">
        <v>194</v>
      </c>
      <c r="F160">
        <v>6316720</v>
      </c>
      <c r="G160" t="s">
        <v>32</v>
      </c>
      <c r="H160" s="5">
        <v>90389</v>
      </c>
      <c r="I160" s="5">
        <v>20851</v>
      </c>
      <c r="J160" s="5">
        <v>5556</v>
      </c>
      <c r="K160" s="5">
        <v>332557</v>
      </c>
      <c r="L160" s="5">
        <v>694.5</v>
      </c>
      <c r="M160" s="5">
        <v>249.8</v>
      </c>
      <c r="N160" s="5">
        <v>2696</v>
      </c>
      <c r="P160" s="5">
        <v>62285</v>
      </c>
      <c r="R160" s="5">
        <v>278.89999999999998</v>
      </c>
      <c r="S160" s="5">
        <v>442.5</v>
      </c>
      <c r="T160" s="8">
        <v>76.599999999999994</v>
      </c>
      <c r="U160" s="5">
        <v>2783</v>
      </c>
      <c r="AA160" s="8">
        <v>38.700000000000003</v>
      </c>
    </row>
    <row r="161" spans="1:27">
      <c r="A161" t="str">
        <f>VLOOKUP(F161,info!$A$2:$G$49,3,FALSE)</f>
        <v>Fiat</v>
      </c>
      <c r="B161" s="4">
        <v>20</v>
      </c>
      <c r="C161" t="s">
        <v>233</v>
      </c>
      <c r="D161" t="s">
        <v>77</v>
      </c>
      <c r="E161" t="s">
        <v>195</v>
      </c>
      <c r="F161">
        <v>5751910</v>
      </c>
      <c r="G161" t="s">
        <v>34</v>
      </c>
      <c r="H161" s="5">
        <v>92759</v>
      </c>
      <c r="I161" s="5">
        <v>20763</v>
      </c>
      <c r="J161" s="5">
        <v>3956</v>
      </c>
      <c r="K161" s="5">
        <v>338684</v>
      </c>
      <c r="L161" s="5">
        <v>556</v>
      </c>
      <c r="M161" s="5"/>
      <c r="N161" s="5">
        <v>2486</v>
      </c>
      <c r="P161" s="5">
        <v>50986</v>
      </c>
      <c r="R161" s="5">
        <v>307.8</v>
      </c>
      <c r="S161" s="5">
        <v>319.89999999999998</v>
      </c>
      <c r="T161" s="8">
        <v>49.2</v>
      </c>
      <c r="U161" s="5">
        <v>5457</v>
      </c>
      <c r="AA161" s="8">
        <v>57.8</v>
      </c>
    </row>
    <row r="162" spans="1:27">
      <c r="A162" t="str">
        <f>VLOOKUP(F162,info!$A$2:$G$49,3,FALSE)</f>
        <v>Hyundai</v>
      </c>
      <c r="B162" s="4">
        <v>21</v>
      </c>
      <c r="C162" t="s">
        <v>233</v>
      </c>
      <c r="D162" t="s">
        <v>77</v>
      </c>
      <c r="E162" t="s">
        <v>196</v>
      </c>
      <c r="F162">
        <v>5826120</v>
      </c>
      <c r="G162" t="s">
        <v>52</v>
      </c>
      <c r="H162" s="5">
        <v>90491</v>
      </c>
      <c r="I162" s="5">
        <v>21433</v>
      </c>
      <c r="J162" s="5">
        <v>5437</v>
      </c>
      <c r="K162" s="5">
        <v>338381</v>
      </c>
      <c r="L162" s="5">
        <v>796.6</v>
      </c>
      <c r="M162" s="5"/>
      <c r="N162" s="5">
        <v>2286</v>
      </c>
      <c r="P162" s="5">
        <v>63193</v>
      </c>
      <c r="R162" s="5">
        <v>252.4</v>
      </c>
      <c r="S162" s="5">
        <v>325.10000000000002</v>
      </c>
      <c r="T162" s="8">
        <v>76.099999999999994</v>
      </c>
      <c r="U162" s="5">
        <v>3306</v>
      </c>
      <c r="AA162" s="8">
        <v>40.9</v>
      </c>
    </row>
    <row r="163" spans="1:27">
      <c r="A163" t="str">
        <f>VLOOKUP(F163,info!$A$2:$G$49,3,FALSE)</f>
        <v>Daewoo</v>
      </c>
      <c r="B163" s="4">
        <v>22</v>
      </c>
      <c r="C163" t="s">
        <v>233</v>
      </c>
      <c r="D163" t="s">
        <v>77</v>
      </c>
      <c r="E163" t="s">
        <v>197</v>
      </c>
      <c r="F163">
        <v>8501017</v>
      </c>
      <c r="G163" t="s">
        <v>32</v>
      </c>
      <c r="H163" s="5">
        <v>85058</v>
      </c>
      <c r="I163" s="5">
        <v>21369</v>
      </c>
      <c r="J163" s="5">
        <v>6596</v>
      </c>
      <c r="K163" s="5">
        <v>345330</v>
      </c>
      <c r="L163" s="5">
        <v>807.9</v>
      </c>
      <c r="M163" s="5"/>
      <c r="N163" s="5">
        <v>4217</v>
      </c>
      <c r="P163" s="5">
        <v>52203</v>
      </c>
      <c r="R163" s="5">
        <v>199.7</v>
      </c>
      <c r="S163" s="5">
        <v>327</v>
      </c>
      <c r="T163" s="8">
        <v>27</v>
      </c>
      <c r="U163" s="5">
        <v>2947</v>
      </c>
      <c r="AA163" s="8"/>
    </row>
    <row r="164" spans="1:27">
      <c r="A164" t="str">
        <f>VLOOKUP(F164,info!$A$2:$G$49,3,FALSE)</f>
        <v>Daewoo</v>
      </c>
      <c r="B164" s="4">
        <v>23</v>
      </c>
      <c r="C164" t="s">
        <v>233</v>
      </c>
      <c r="D164" t="s">
        <v>77</v>
      </c>
      <c r="E164" t="s">
        <v>198</v>
      </c>
      <c r="F164">
        <v>8501017</v>
      </c>
      <c r="G164" t="s">
        <v>34</v>
      </c>
      <c r="H164" s="5">
        <v>85006</v>
      </c>
      <c r="I164" s="5">
        <v>21540</v>
      </c>
      <c r="J164" s="5">
        <v>6646</v>
      </c>
      <c r="K164" s="5">
        <v>344877</v>
      </c>
      <c r="L164" s="5">
        <v>858.2</v>
      </c>
      <c r="M164" s="5"/>
      <c r="N164" s="5">
        <v>4247</v>
      </c>
      <c r="P164" s="5">
        <v>52459</v>
      </c>
      <c r="R164" s="5">
        <v>220.9</v>
      </c>
      <c r="S164" s="5">
        <v>242.9</v>
      </c>
      <c r="T164" s="8">
        <v>23.8</v>
      </c>
      <c r="U164" s="5">
        <v>3213</v>
      </c>
      <c r="AA164" s="8">
        <v>62</v>
      </c>
    </row>
    <row r="165" spans="1:27">
      <c r="A165" t="str">
        <f>VLOOKUP(F165,info!$A$2:$G$49,3,FALSE)</f>
        <v>Mitsubishi</v>
      </c>
      <c r="B165" s="4">
        <v>24</v>
      </c>
      <c r="C165" t="s">
        <v>233</v>
      </c>
      <c r="D165" t="s">
        <v>77</v>
      </c>
      <c r="E165" t="s">
        <v>199</v>
      </c>
      <c r="F165">
        <v>7027220</v>
      </c>
      <c r="G165" t="s">
        <v>32</v>
      </c>
      <c r="H165" s="5">
        <v>87131</v>
      </c>
      <c r="I165" s="5">
        <v>22470</v>
      </c>
      <c r="J165" s="5">
        <v>9021</v>
      </c>
      <c r="K165" s="5">
        <v>339340</v>
      </c>
      <c r="L165" s="7">
        <v>719.5</v>
      </c>
      <c r="M165" s="5"/>
      <c r="N165" s="5">
        <v>1980</v>
      </c>
      <c r="P165" s="5">
        <v>54196</v>
      </c>
      <c r="R165" s="5">
        <v>340.1</v>
      </c>
      <c r="S165" s="5">
        <v>369</v>
      </c>
      <c r="T165" s="5">
        <v>145.19999999999999</v>
      </c>
      <c r="U165" s="5">
        <v>2187</v>
      </c>
      <c r="AA165" s="8">
        <v>59.4</v>
      </c>
    </row>
    <row r="166" spans="1:27">
      <c r="A166" t="str">
        <f>VLOOKUP(F166,info!$A$2:$G$49,3,FALSE)</f>
        <v>Subaru</v>
      </c>
      <c r="B166" s="4">
        <v>25</v>
      </c>
      <c r="C166" t="s">
        <v>233</v>
      </c>
      <c r="D166" t="s">
        <v>77</v>
      </c>
      <c r="E166" t="s">
        <v>200</v>
      </c>
      <c r="F166">
        <v>2675308</v>
      </c>
      <c r="G166" t="s">
        <v>32</v>
      </c>
      <c r="H166" s="5">
        <v>84947</v>
      </c>
      <c r="I166" s="5">
        <v>19980</v>
      </c>
      <c r="J166" s="5">
        <v>8814</v>
      </c>
      <c r="K166" s="5">
        <v>342824</v>
      </c>
      <c r="L166" s="5">
        <v>588.6</v>
      </c>
      <c r="M166" s="5"/>
      <c r="N166" s="5">
        <v>4736</v>
      </c>
      <c r="P166" s="5">
        <v>55733</v>
      </c>
      <c r="R166" s="5">
        <v>203.5</v>
      </c>
      <c r="S166" s="5">
        <v>463.8</v>
      </c>
      <c r="T166" s="8">
        <v>59.3</v>
      </c>
      <c r="U166" s="5">
        <v>2070</v>
      </c>
      <c r="AA166" s="8">
        <v>44.5</v>
      </c>
    </row>
    <row r="167" spans="1:27">
      <c r="A167" t="str">
        <f>VLOOKUP(F167,info!$A$2:$G$49,3,FALSE)</f>
        <v>Mitsubishi</v>
      </c>
      <c r="B167" s="4">
        <v>26</v>
      </c>
      <c r="C167" t="s">
        <v>233</v>
      </c>
      <c r="D167" t="s">
        <v>77</v>
      </c>
      <c r="E167" t="s">
        <v>201</v>
      </c>
      <c r="F167">
        <v>7027220</v>
      </c>
      <c r="G167" t="s">
        <v>34</v>
      </c>
      <c r="H167" s="5">
        <v>91905</v>
      </c>
      <c r="I167" s="5">
        <v>23522</v>
      </c>
      <c r="J167" s="5">
        <v>9024</v>
      </c>
      <c r="K167" s="5">
        <v>335691</v>
      </c>
      <c r="L167" s="5">
        <v>567.4</v>
      </c>
      <c r="M167" s="5"/>
      <c r="N167" s="5">
        <v>3811</v>
      </c>
      <c r="P167" s="5">
        <v>50731</v>
      </c>
      <c r="R167" s="5">
        <v>481.2</v>
      </c>
      <c r="S167" s="5">
        <v>411.5</v>
      </c>
      <c r="T167" s="8">
        <v>99.9</v>
      </c>
      <c r="U167" s="5">
        <v>1751</v>
      </c>
      <c r="AA167" s="8">
        <v>37.1</v>
      </c>
    </row>
    <row r="168" spans="1:27">
      <c r="A168" t="str">
        <f>VLOOKUP(F168,info!$A$2:$G$49,3,FALSE)</f>
        <v>Fiat</v>
      </c>
      <c r="B168" s="4">
        <v>27</v>
      </c>
      <c r="C168" t="s">
        <v>233</v>
      </c>
      <c r="D168" t="s">
        <v>77</v>
      </c>
      <c r="E168" t="s">
        <v>202</v>
      </c>
      <c r="F168">
        <v>5751910</v>
      </c>
      <c r="G168" t="s">
        <v>32</v>
      </c>
      <c r="H168" s="5">
        <v>88661</v>
      </c>
      <c r="I168" s="5">
        <v>21998</v>
      </c>
      <c r="J168" s="5">
        <v>3480</v>
      </c>
      <c r="K168" s="5">
        <v>346768</v>
      </c>
      <c r="L168" s="5">
        <v>388.2</v>
      </c>
      <c r="M168" s="5"/>
      <c r="N168" s="5">
        <v>2364</v>
      </c>
      <c r="P168" s="5">
        <v>49991</v>
      </c>
      <c r="R168" s="5">
        <v>288.10000000000002</v>
      </c>
      <c r="S168" s="5">
        <v>377.1</v>
      </c>
      <c r="T168" s="8">
        <v>35.799999999999997</v>
      </c>
      <c r="U168" s="5">
        <v>5110</v>
      </c>
      <c r="AA168" s="8">
        <v>55</v>
      </c>
    </row>
    <row r="169" spans="1:27">
      <c r="A169" t="str">
        <f>VLOOKUP(F169,info!$A$2:$G$49,3,FALSE)</f>
        <v>Subaru</v>
      </c>
      <c r="B169" s="4">
        <v>28</v>
      </c>
      <c r="C169" t="s">
        <v>233</v>
      </c>
      <c r="D169" t="s">
        <v>77</v>
      </c>
      <c r="E169" t="s">
        <v>203</v>
      </c>
      <c r="F169">
        <v>2675308</v>
      </c>
      <c r="G169" t="s">
        <v>32</v>
      </c>
      <c r="H169" s="5">
        <v>90982</v>
      </c>
      <c r="I169" s="5">
        <v>20658</v>
      </c>
      <c r="J169" s="5">
        <v>8161</v>
      </c>
      <c r="K169" s="5">
        <v>340649</v>
      </c>
      <c r="L169" s="5">
        <v>645.5</v>
      </c>
      <c r="M169" s="5"/>
      <c r="N169" s="5">
        <v>4545</v>
      </c>
      <c r="P169" s="5">
        <v>53661</v>
      </c>
      <c r="R169" s="5">
        <v>191.9</v>
      </c>
      <c r="S169" s="5">
        <v>375.2</v>
      </c>
      <c r="T169" s="8">
        <v>54.8</v>
      </c>
      <c r="U169" s="5">
        <v>1968</v>
      </c>
      <c r="AA169" s="8">
        <v>51.9</v>
      </c>
    </row>
    <row r="170" spans="1:27">
      <c r="A170" t="str">
        <f>VLOOKUP(F170,info!$A$2:$G$49,3,FALSE)</f>
        <v>Renault</v>
      </c>
      <c r="B170" s="4">
        <v>29</v>
      </c>
      <c r="C170" t="s">
        <v>233</v>
      </c>
      <c r="D170" t="s">
        <v>77</v>
      </c>
      <c r="E170" t="s">
        <v>204</v>
      </c>
      <c r="F170">
        <v>1147816</v>
      </c>
      <c r="G170" t="s">
        <v>52</v>
      </c>
      <c r="H170" s="5">
        <v>92473</v>
      </c>
      <c r="I170" s="5">
        <v>22984</v>
      </c>
      <c r="J170" s="5">
        <v>4978</v>
      </c>
      <c r="K170" s="5">
        <v>340054</v>
      </c>
      <c r="L170" s="5">
        <v>477</v>
      </c>
      <c r="M170" s="5"/>
      <c r="N170" s="5">
        <v>1063</v>
      </c>
      <c r="P170" s="5">
        <v>53098</v>
      </c>
      <c r="R170" s="5">
        <v>290</v>
      </c>
      <c r="S170" s="5">
        <v>350.8</v>
      </c>
      <c r="T170" s="5">
        <v>172.9</v>
      </c>
      <c r="U170" s="5">
        <v>3070</v>
      </c>
      <c r="AA170" s="8">
        <v>51.6</v>
      </c>
    </row>
    <row r="171" spans="1:27">
      <c r="A171" t="str">
        <f>VLOOKUP(F171,info!$A$2:$G$49,3,FALSE)</f>
        <v>Ford</v>
      </c>
      <c r="B171" s="4">
        <v>30</v>
      </c>
      <c r="C171" t="s">
        <v>233</v>
      </c>
      <c r="D171" t="s">
        <v>77</v>
      </c>
      <c r="E171" t="s">
        <v>205</v>
      </c>
      <c r="F171">
        <v>6917835</v>
      </c>
      <c r="G171" t="s">
        <v>34</v>
      </c>
      <c r="H171" s="5">
        <v>86208</v>
      </c>
      <c r="I171" s="5">
        <v>22576</v>
      </c>
      <c r="J171" s="5">
        <v>4959</v>
      </c>
      <c r="K171" s="5">
        <v>343611</v>
      </c>
      <c r="L171" s="5">
        <v>553.70000000000005</v>
      </c>
      <c r="M171" s="5"/>
      <c r="N171" s="5">
        <v>2294</v>
      </c>
      <c r="P171" s="5">
        <v>52851</v>
      </c>
      <c r="R171" s="5">
        <v>253.5</v>
      </c>
      <c r="S171" s="5">
        <v>372.5</v>
      </c>
      <c r="T171" s="8">
        <v>27</v>
      </c>
      <c r="U171" s="5">
        <v>6380</v>
      </c>
      <c r="AA171" s="8">
        <v>92.4</v>
      </c>
    </row>
    <row r="172" spans="1:27">
      <c r="A172" t="str">
        <f>VLOOKUP(F172,info!$A$2:$G$49,3,FALSE)</f>
        <v>Hyundai</v>
      </c>
      <c r="B172" s="4">
        <v>31</v>
      </c>
      <c r="C172" t="s">
        <v>233</v>
      </c>
      <c r="D172" t="s">
        <v>77</v>
      </c>
      <c r="E172" t="s">
        <v>206</v>
      </c>
      <c r="F172">
        <v>9602910</v>
      </c>
      <c r="G172" t="s">
        <v>52</v>
      </c>
      <c r="H172" s="5">
        <v>89416</v>
      </c>
      <c r="I172" s="5">
        <v>21113</v>
      </c>
      <c r="J172" s="5">
        <v>6211</v>
      </c>
      <c r="K172" s="5">
        <v>333791</v>
      </c>
      <c r="L172" s="5">
        <v>643.70000000000005</v>
      </c>
      <c r="M172" s="5"/>
      <c r="N172" s="5">
        <v>3277</v>
      </c>
      <c r="P172" s="5">
        <v>61317</v>
      </c>
      <c r="R172" s="5">
        <v>247.4</v>
      </c>
      <c r="S172" s="5">
        <v>362</v>
      </c>
      <c r="T172" s="8">
        <v>69.599999999999994</v>
      </c>
      <c r="U172" s="5">
        <v>3072</v>
      </c>
      <c r="AA172" s="8">
        <v>40</v>
      </c>
    </row>
    <row r="173" spans="1:27">
      <c r="A173" t="str">
        <f>VLOOKUP(F173,info!$A$2:$G$49,3,FALSE)</f>
        <v>Hyundai</v>
      </c>
      <c r="B173" s="4">
        <v>32</v>
      </c>
      <c r="C173" t="s">
        <v>233</v>
      </c>
      <c r="D173" t="s">
        <v>77</v>
      </c>
      <c r="E173" t="s">
        <v>207</v>
      </c>
      <c r="F173">
        <v>9602910</v>
      </c>
      <c r="G173" t="s">
        <v>52</v>
      </c>
      <c r="H173" s="5">
        <v>89654</v>
      </c>
      <c r="I173" s="5">
        <v>21171</v>
      </c>
      <c r="J173" s="5">
        <v>5910</v>
      </c>
      <c r="K173" s="5">
        <v>335180</v>
      </c>
      <c r="L173" s="5">
        <v>590.9</v>
      </c>
      <c r="M173" s="5"/>
      <c r="N173" s="5">
        <v>3302</v>
      </c>
      <c r="P173" s="5">
        <v>60960</v>
      </c>
      <c r="R173" s="5">
        <v>229.2</v>
      </c>
      <c r="S173" s="5">
        <v>429.9</v>
      </c>
      <c r="T173" s="8">
        <v>56.7</v>
      </c>
      <c r="U173" s="5">
        <v>3078</v>
      </c>
      <c r="AA173" s="8"/>
    </row>
    <row r="174" spans="1:27">
      <c r="A174" t="str">
        <f>VLOOKUP(F174,info!$A$2:$G$49,3,FALSE)</f>
        <v>Hyundai</v>
      </c>
      <c r="B174" s="4">
        <v>33</v>
      </c>
      <c r="C174" t="s">
        <v>233</v>
      </c>
      <c r="D174" t="s">
        <v>77</v>
      </c>
      <c r="E174" t="s">
        <v>208</v>
      </c>
      <c r="F174">
        <v>9602910</v>
      </c>
      <c r="G174" t="s">
        <v>34</v>
      </c>
      <c r="H174" s="5">
        <v>87355</v>
      </c>
      <c r="I174" s="5">
        <v>20970</v>
      </c>
      <c r="J174" s="5">
        <v>6063</v>
      </c>
      <c r="K174" s="5">
        <v>335164</v>
      </c>
      <c r="L174" s="5">
        <v>698.6</v>
      </c>
      <c r="M174" s="5"/>
      <c r="N174" s="5">
        <v>2906</v>
      </c>
      <c r="P174" s="5">
        <v>62358</v>
      </c>
      <c r="R174" s="5">
        <v>260</v>
      </c>
      <c r="S174" s="5">
        <v>346.2</v>
      </c>
      <c r="T174" s="8">
        <v>63.1</v>
      </c>
      <c r="U174" s="5">
        <v>2969</v>
      </c>
      <c r="AA174" s="8">
        <v>43.2</v>
      </c>
    </row>
    <row r="175" spans="1:27">
      <c r="A175" t="str">
        <f>VLOOKUP(F175,info!$A$2:$G$49,3,FALSE)</f>
        <v>Hyundai</v>
      </c>
      <c r="B175" s="4">
        <v>34</v>
      </c>
      <c r="C175" t="s">
        <v>233</v>
      </c>
      <c r="D175" t="s">
        <v>77</v>
      </c>
      <c r="E175" t="s">
        <v>209</v>
      </c>
      <c r="F175">
        <v>9602910</v>
      </c>
      <c r="G175" t="s">
        <v>52</v>
      </c>
      <c r="H175" s="5">
        <v>88492</v>
      </c>
      <c r="I175" s="5">
        <v>21487</v>
      </c>
      <c r="J175" s="5">
        <v>6016</v>
      </c>
      <c r="K175" s="5">
        <v>337962</v>
      </c>
      <c r="L175" s="5">
        <v>776.5</v>
      </c>
      <c r="M175" s="5"/>
      <c r="N175" s="5">
        <v>2821</v>
      </c>
      <c r="P175" s="5">
        <v>61521</v>
      </c>
      <c r="R175" s="5">
        <v>305.89999999999998</v>
      </c>
      <c r="S175" s="5">
        <v>394.8</v>
      </c>
      <c r="T175" s="8">
        <v>59.1</v>
      </c>
      <c r="U175" s="5">
        <v>3030</v>
      </c>
      <c r="AA175" s="8"/>
    </row>
    <row r="176" spans="1:27">
      <c r="A176" t="str">
        <f>VLOOKUP(F176,info!$A$2:$G$49,3,FALSE)</f>
        <v>Hyundai</v>
      </c>
      <c r="B176" s="4">
        <v>35</v>
      </c>
      <c r="C176" t="s">
        <v>233</v>
      </c>
      <c r="D176" t="s">
        <v>77</v>
      </c>
      <c r="E176" t="s">
        <v>210</v>
      </c>
      <c r="F176">
        <v>5826120</v>
      </c>
      <c r="G176" t="s">
        <v>32</v>
      </c>
      <c r="H176" s="5">
        <v>90141</v>
      </c>
      <c r="I176" s="5">
        <v>20962</v>
      </c>
      <c r="J176" s="5">
        <v>5278</v>
      </c>
      <c r="K176" s="5">
        <v>335565</v>
      </c>
      <c r="L176" s="5">
        <v>711.2</v>
      </c>
      <c r="M176" s="5"/>
      <c r="N176" s="5">
        <v>2251</v>
      </c>
      <c r="P176" s="5">
        <v>62263</v>
      </c>
      <c r="R176" s="5">
        <v>266.89999999999998</v>
      </c>
      <c r="S176" s="5">
        <v>397.6</v>
      </c>
      <c r="T176" s="8">
        <v>77.599999999999994</v>
      </c>
      <c r="U176" s="5">
        <v>2487</v>
      </c>
      <c r="AA176" s="8"/>
    </row>
    <row r="177" spans="1:30">
      <c r="A177" t="str">
        <f>VLOOKUP(F177,info!$A$2:$G$49,3,FALSE)</f>
        <v>Hyundai</v>
      </c>
      <c r="B177" s="4">
        <v>36</v>
      </c>
      <c r="C177" t="s">
        <v>233</v>
      </c>
      <c r="D177" t="s">
        <v>77</v>
      </c>
      <c r="E177" t="s">
        <v>211</v>
      </c>
      <c r="F177">
        <v>5826120</v>
      </c>
      <c r="G177" t="s">
        <v>34</v>
      </c>
      <c r="H177" s="5">
        <v>86342</v>
      </c>
      <c r="I177" s="5">
        <v>23985</v>
      </c>
      <c r="J177" s="5">
        <v>9807</v>
      </c>
      <c r="K177" s="5">
        <v>337776</v>
      </c>
      <c r="L177" s="5">
        <v>698.9</v>
      </c>
      <c r="M177" s="5"/>
      <c r="N177" s="5">
        <v>5436</v>
      </c>
      <c r="P177" s="5">
        <v>54161</v>
      </c>
      <c r="R177" s="5">
        <v>347.5</v>
      </c>
      <c r="S177" s="5">
        <v>506.4</v>
      </c>
      <c r="T177" s="5">
        <v>173.6</v>
      </c>
      <c r="U177" s="5">
        <v>2855</v>
      </c>
      <c r="AA177" s="8">
        <v>49.9</v>
      </c>
    </row>
    <row r="178" spans="1:30">
      <c r="A178" t="str">
        <f>VLOOKUP(F178,info!$A$2:$G$49,3,FALSE)</f>
        <v>Ford</v>
      </c>
      <c r="B178" s="4">
        <v>37</v>
      </c>
      <c r="C178" t="s">
        <v>233</v>
      </c>
      <c r="D178" t="s">
        <v>77</v>
      </c>
      <c r="E178" t="s">
        <v>212</v>
      </c>
      <c r="F178">
        <v>6917835</v>
      </c>
      <c r="G178" t="s">
        <v>32</v>
      </c>
      <c r="H178" s="5">
        <v>90459</v>
      </c>
      <c r="I178" s="5">
        <v>21704</v>
      </c>
      <c r="J178" s="5">
        <v>4488</v>
      </c>
      <c r="K178" s="5">
        <v>334848</v>
      </c>
      <c r="L178" s="5">
        <v>508.6</v>
      </c>
      <c r="M178" s="5"/>
      <c r="N178" s="5">
        <v>2383</v>
      </c>
      <c r="P178" s="5">
        <v>53945</v>
      </c>
      <c r="R178" s="5">
        <v>263.3</v>
      </c>
      <c r="S178" s="7">
        <v>415.82727272727277</v>
      </c>
      <c r="T178" s="10">
        <v>30.0625</v>
      </c>
      <c r="U178" s="5">
        <v>6425</v>
      </c>
      <c r="AA178" s="8">
        <v>91.4</v>
      </c>
    </row>
    <row r="179" spans="1:30">
      <c r="A179" t="str">
        <f>VLOOKUP(F179,info!$A$2:$G$49,3,FALSE)</f>
        <v>Hyundai</v>
      </c>
      <c r="B179" s="4">
        <v>38</v>
      </c>
      <c r="C179" t="s">
        <v>233</v>
      </c>
      <c r="D179" t="s">
        <v>77</v>
      </c>
      <c r="E179" t="s">
        <v>213</v>
      </c>
      <c r="F179">
        <v>5826120</v>
      </c>
      <c r="G179" t="s">
        <v>34</v>
      </c>
      <c r="H179" s="5">
        <v>90413</v>
      </c>
      <c r="I179" s="5">
        <v>21264</v>
      </c>
      <c r="J179" s="5">
        <v>5616</v>
      </c>
      <c r="K179" s="5">
        <v>333577</v>
      </c>
      <c r="L179" s="5">
        <v>672.5</v>
      </c>
      <c r="M179" s="5"/>
      <c r="N179" s="5">
        <v>2311</v>
      </c>
      <c r="P179" s="5">
        <v>62944</v>
      </c>
      <c r="R179" s="5">
        <v>316.7</v>
      </c>
      <c r="S179" s="5">
        <v>528.70000000000005</v>
      </c>
      <c r="T179" s="8">
        <v>83.9</v>
      </c>
      <c r="U179" s="5">
        <v>2475</v>
      </c>
      <c r="AA179" s="8"/>
    </row>
    <row r="180" spans="1:30">
      <c r="A180" t="str">
        <f>VLOOKUP(F180,info!$A$2:$G$49,3,FALSE)</f>
        <v>Renault</v>
      </c>
      <c r="B180" s="4">
        <v>39</v>
      </c>
      <c r="C180" t="s">
        <v>233</v>
      </c>
      <c r="D180" t="s">
        <v>77</v>
      </c>
      <c r="E180" t="s">
        <v>214</v>
      </c>
      <c r="F180">
        <v>1147816</v>
      </c>
      <c r="G180" t="s">
        <v>52</v>
      </c>
      <c r="H180" s="5">
        <v>87873</v>
      </c>
      <c r="I180" s="5">
        <v>22443</v>
      </c>
      <c r="J180" s="5">
        <v>5256</v>
      </c>
      <c r="K180" s="5">
        <v>333082</v>
      </c>
      <c r="L180" s="5">
        <v>580.6</v>
      </c>
      <c r="M180" s="5"/>
      <c r="N180" s="5">
        <v>1114</v>
      </c>
      <c r="P180" s="5">
        <v>53007</v>
      </c>
      <c r="R180" s="5">
        <v>296.2</v>
      </c>
      <c r="S180" s="5">
        <v>465.8</v>
      </c>
      <c r="T180" s="5">
        <v>173.6</v>
      </c>
      <c r="U180" s="5">
        <v>3235</v>
      </c>
      <c r="AA180" s="8">
        <v>48.9</v>
      </c>
    </row>
    <row r="181" spans="1:30">
      <c r="A181" t="str">
        <f>VLOOKUP(F181,info!$A$2:$G$49,3,FALSE)</f>
        <v>Subaru</v>
      </c>
      <c r="B181" s="4">
        <v>40</v>
      </c>
      <c r="C181" t="s">
        <v>233</v>
      </c>
      <c r="D181" t="s">
        <v>77</v>
      </c>
      <c r="E181" t="s">
        <v>215</v>
      </c>
      <c r="F181">
        <v>2675308</v>
      </c>
      <c r="G181" t="s">
        <v>34</v>
      </c>
      <c r="H181" s="5">
        <v>88728</v>
      </c>
      <c r="I181" s="5">
        <v>20568</v>
      </c>
      <c r="J181" s="5">
        <v>8282</v>
      </c>
      <c r="K181" s="5">
        <v>342049</v>
      </c>
      <c r="L181" s="5">
        <v>610.20000000000005</v>
      </c>
      <c r="M181" s="5"/>
      <c r="N181" s="5">
        <v>4682</v>
      </c>
      <c r="P181" s="5">
        <v>54179</v>
      </c>
      <c r="R181" s="5">
        <v>235.3</v>
      </c>
      <c r="S181" s="5">
        <v>522.70000000000005</v>
      </c>
      <c r="T181" s="8">
        <v>45.6</v>
      </c>
      <c r="U181" s="5">
        <v>2006</v>
      </c>
      <c r="AA181" s="8"/>
    </row>
    <row r="182" spans="1:30">
      <c r="A182" t="str">
        <f>VLOOKUP(F182,info!$A$2:$G$49,3,FALSE)</f>
        <v>Fiat</v>
      </c>
      <c r="B182" s="4">
        <v>41</v>
      </c>
      <c r="C182" t="s">
        <v>233</v>
      </c>
      <c r="D182" t="s">
        <v>77</v>
      </c>
      <c r="E182" t="s">
        <v>216</v>
      </c>
      <c r="F182">
        <v>5751910</v>
      </c>
      <c r="G182" t="s">
        <v>34</v>
      </c>
      <c r="H182" s="5">
        <v>90039</v>
      </c>
      <c r="I182" s="5">
        <v>21458</v>
      </c>
      <c r="J182" s="5">
        <v>3393</v>
      </c>
      <c r="K182" s="5">
        <v>343479</v>
      </c>
      <c r="L182" s="5">
        <v>550.4</v>
      </c>
      <c r="M182" s="5"/>
      <c r="N182" s="5">
        <v>976.8</v>
      </c>
      <c r="P182" s="5">
        <v>52909</v>
      </c>
      <c r="R182" s="5"/>
      <c r="S182" s="5">
        <v>559.20000000000005</v>
      </c>
      <c r="T182" s="5">
        <v>119.9</v>
      </c>
      <c r="U182" s="5">
        <v>4955</v>
      </c>
      <c r="AA182" s="8">
        <v>65.400000000000006</v>
      </c>
    </row>
    <row r="183" spans="1:30">
      <c r="A183" t="str">
        <f>VLOOKUP(F183,info!$A$2:$G$49,3,FALSE)</f>
        <v>Renault</v>
      </c>
      <c r="B183" s="4">
        <v>42</v>
      </c>
      <c r="C183" t="s">
        <v>233</v>
      </c>
      <c r="D183" t="s">
        <v>77</v>
      </c>
      <c r="E183" t="s">
        <v>217</v>
      </c>
      <c r="F183">
        <v>1147816</v>
      </c>
      <c r="G183" t="s">
        <v>34</v>
      </c>
      <c r="H183" s="5">
        <v>86899</v>
      </c>
      <c r="I183" s="5">
        <v>21956</v>
      </c>
      <c r="J183" s="5">
        <v>8769</v>
      </c>
      <c r="K183" s="5">
        <v>331094</v>
      </c>
      <c r="L183" s="5">
        <v>461.6</v>
      </c>
      <c r="M183" s="5"/>
      <c r="N183" s="5">
        <v>7061</v>
      </c>
      <c r="P183" s="5">
        <v>53594</v>
      </c>
      <c r="R183" s="5">
        <v>286.89999999999998</v>
      </c>
      <c r="S183" s="5">
        <v>579.9</v>
      </c>
      <c r="T183" s="8">
        <v>46.1</v>
      </c>
      <c r="U183" s="5">
        <v>4521</v>
      </c>
      <c r="AA183" s="8"/>
    </row>
    <row r="184" spans="1:30">
      <c r="A184" t="str">
        <f>VLOOKUP(F184,info!$A$2:$G$49,3,FALSE)</f>
        <v>Fiat</v>
      </c>
      <c r="B184" s="4">
        <v>43</v>
      </c>
      <c r="C184" t="s">
        <v>233</v>
      </c>
      <c r="D184" t="s">
        <v>77</v>
      </c>
      <c r="E184" t="s">
        <v>218</v>
      </c>
      <c r="F184">
        <v>5751910</v>
      </c>
      <c r="G184" t="s">
        <v>32</v>
      </c>
      <c r="H184" s="5">
        <v>94009</v>
      </c>
      <c r="I184" s="5">
        <v>20844</v>
      </c>
      <c r="J184" s="5">
        <v>3197</v>
      </c>
      <c r="K184" s="5">
        <v>337446</v>
      </c>
      <c r="L184" s="5">
        <v>589.9</v>
      </c>
      <c r="M184" s="5"/>
      <c r="N184" s="5">
        <v>940.2</v>
      </c>
      <c r="P184" s="5">
        <v>52785</v>
      </c>
      <c r="R184" s="5"/>
      <c r="S184" s="5">
        <v>467.3</v>
      </c>
      <c r="T184" s="5">
        <v>108.3</v>
      </c>
      <c r="U184" s="5">
        <v>5265</v>
      </c>
      <c r="AA184" s="8">
        <v>49.1</v>
      </c>
    </row>
    <row r="185" spans="1:30">
      <c r="A185" t="str">
        <f>VLOOKUP(F185,info!$A$2:$G$49,3,FALSE)</f>
        <v>Hyundai</v>
      </c>
      <c r="B185" s="4">
        <v>44</v>
      </c>
      <c r="C185" t="s">
        <v>233</v>
      </c>
      <c r="D185" t="s">
        <v>77</v>
      </c>
      <c r="E185" t="s">
        <v>219</v>
      </c>
      <c r="F185">
        <v>9602910</v>
      </c>
      <c r="G185" t="s">
        <v>32</v>
      </c>
      <c r="H185" s="5">
        <v>92376</v>
      </c>
      <c r="I185" s="5">
        <v>21616</v>
      </c>
      <c r="J185" s="5">
        <v>5880</v>
      </c>
      <c r="K185" s="5">
        <v>336711</v>
      </c>
      <c r="L185" s="5">
        <v>875</v>
      </c>
      <c r="M185" s="5"/>
      <c r="N185" s="5">
        <v>2800</v>
      </c>
      <c r="P185" s="5">
        <v>58859</v>
      </c>
      <c r="R185" s="5">
        <v>297.39999999999998</v>
      </c>
      <c r="S185" s="5">
        <v>516.20000000000005</v>
      </c>
      <c r="T185" s="8">
        <v>63.9</v>
      </c>
      <c r="U185" s="5">
        <v>2966</v>
      </c>
      <c r="AA185" s="8"/>
    </row>
    <row r="186" spans="1:30">
      <c r="A186" t="str">
        <f>VLOOKUP(F186,info!$A$2:$G$49,3,FALSE)</f>
        <v>Subaru</v>
      </c>
      <c r="B186" s="4">
        <v>45</v>
      </c>
      <c r="C186" t="s">
        <v>233</v>
      </c>
      <c r="D186" t="s">
        <v>77</v>
      </c>
      <c r="E186" t="s">
        <v>220</v>
      </c>
      <c r="F186">
        <v>2675308</v>
      </c>
      <c r="G186" t="s">
        <v>34</v>
      </c>
      <c r="H186" s="5">
        <v>86765</v>
      </c>
      <c r="I186" s="5">
        <v>20184</v>
      </c>
      <c r="J186" s="5">
        <v>9107</v>
      </c>
      <c r="K186" s="5">
        <v>341761</v>
      </c>
      <c r="L186" s="5">
        <v>664.1</v>
      </c>
      <c r="M186" s="5"/>
      <c r="N186" s="5">
        <v>4562</v>
      </c>
      <c r="P186" s="5">
        <v>53808</v>
      </c>
      <c r="R186" s="5">
        <v>253.2</v>
      </c>
      <c r="S186" s="5">
        <v>534.5</v>
      </c>
      <c r="T186" s="8">
        <v>55.6</v>
      </c>
      <c r="U186" s="5">
        <v>2062</v>
      </c>
      <c r="AA186" s="8">
        <v>57.2</v>
      </c>
    </row>
    <row r="187" spans="1:30">
      <c r="A187" t="str">
        <f>VLOOKUP(F187,info!$A$2:$G$49,3,FALSE)</f>
        <v>Renault</v>
      </c>
      <c r="B187" s="4">
        <v>46</v>
      </c>
      <c r="C187" t="s">
        <v>233</v>
      </c>
      <c r="D187" t="s">
        <v>77</v>
      </c>
      <c r="E187" t="s">
        <v>221</v>
      </c>
      <c r="F187">
        <v>1147816</v>
      </c>
      <c r="G187" t="s">
        <v>34</v>
      </c>
      <c r="H187" s="5">
        <v>120882</v>
      </c>
      <c r="I187" s="5">
        <v>26920</v>
      </c>
      <c r="J187" s="5">
        <v>4369</v>
      </c>
      <c r="K187" s="5">
        <v>335643</v>
      </c>
      <c r="L187" s="5">
        <v>639</v>
      </c>
      <c r="M187" s="5"/>
      <c r="N187" s="5">
        <v>1190</v>
      </c>
      <c r="P187" s="5">
        <v>34275</v>
      </c>
      <c r="R187" s="5"/>
      <c r="S187" s="5">
        <v>262.89999999999998</v>
      </c>
      <c r="T187" s="8">
        <v>49.1</v>
      </c>
      <c r="U187" s="5">
        <v>2767</v>
      </c>
      <c r="AA187" s="8">
        <v>70.2</v>
      </c>
    </row>
    <row r="188" spans="1:30">
      <c r="A188" t="str">
        <f>VLOOKUP(F188,info!$A$2:$G$49,3,FALSE)</f>
        <v>Renault</v>
      </c>
      <c r="B188" s="4">
        <v>47</v>
      </c>
      <c r="C188" t="s">
        <v>233</v>
      </c>
      <c r="D188" t="s">
        <v>77</v>
      </c>
      <c r="E188" t="s">
        <v>222</v>
      </c>
      <c r="F188">
        <v>1147816</v>
      </c>
      <c r="G188" t="s">
        <v>32</v>
      </c>
      <c r="H188" s="5">
        <v>107072</v>
      </c>
      <c r="I188" s="5">
        <v>24477</v>
      </c>
      <c r="J188" s="5">
        <v>4049</v>
      </c>
      <c r="K188" s="5">
        <v>337145</v>
      </c>
      <c r="L188" s="5">
        <v>500.6</v>
      </c>
      <c r="M188" s="5"/>
      <c r="N188" s="5">
        <v>1548</v>
      </c>
      <c r="P188" s="5">
        <v>41817</v>
      </c>
      <c r="R188" s="5"/>
      <c r="S188" s="5">
        <v>390.6</v>
      </c>
      <c r="T188" s="8">
        <v>56.6</v>
      </c>
      <c r="U188" s="5">
        <v>3517</v>
      </c>
      <c r="AA188" s="5">
        <v>117.6</v>
      </c>
    </row>
    <row r="189" spans="1:30">
      <c r="A189" t="str">
        <f>VLOOKUP(F189,info!$A$2:$G$49,3,FALSE)</f>
        <v>Hyundai</v>
      </c>
      <c r="B189" s="4">
        <v>48</v>
      </c>
      <c r="C189" t="s">
        <v>233</v>
      </c>
      <c r="D189" t="s">
        <v>77</v>
      </c>
      <c r="E189" t="s">
        <v>223</v>
      </c>
      <c r="F189">
        <v>5826120</v>
      </c>
      <c r="G189" t="s">
        <v>52</v>
      </c>
      <c r="H189" s="5">
        <v>92438</v>
      </c>
      <c r="I189" s="5">
        <v>21047</v>
      </c>
      <c r="J189" s="5">
        <v>5251</v>
      </c>
      <c r="K189" s="5">
        <v>333701</v>
      </c>
      <c r="L189" s="5">
        <v>759.4</v>
      </c>
      <c r="M189" s="5"/>
      <c r="N189" s="5">
        <v>2332</v>
      </c>
      <c r="P189" s="5">
        <v>62020</v>
      </c>
      <c r="R189" s="5">
        <v>268.7</v>
      </c>
      <c r="S189" s="5">
        <v>464</v>
      </c>
      <c r="T189" s="8">
        <v>82.5</v>
      </c>
      <c r="U189" s="5">
        <v>2512</v>
      </c>
      <c r="AA189" s="8">
        <v>40.200000000000003</v>
      </c>
    </row>
    <row r="190" spans="1:30">
      <c r="A190" t="str">
        <f>VLOOKUP(F190,info!$A$2:$G$49,3,FALSE)</f>
        <v>Mazda</v>
      </c>
      <c r="B190" s="4">
        <v>1</v>
      </c>
      <c r="C190" t="s">
        <v>366</v>
      </c>
      <c r="D190" t="s">
        <v>30</v>
      </c>
      <c r="E190" s="29" t="s">
        <v>255</v>
      </c>
      <c r="F190" s="28">
        <v>3550828</v>
      </c>
      <c r="G190" s="28" t="s">
        <v>32</v>
      </c>
      <c r="H190" s="28"/>
      <c r="I190" s="29"/>
      <c r="J190" s="29">
        <v>2177.17</v>
      </c>
      <c r="K190" s="29">
        <v>426419.85</v>
      </c>
      <c r="L190" s="29">
        <v>1670.24</v>
      </c>
      <c r="M190" s="29">
        <v>147.06</v>
      </c>
      <c r="N190" s="29">
        <v>39637.129999999997</v>
      </c>
      <c r="O190" s="29"/>
      <c r="P190" s="29">
        <v>531909.17000000004</v>
      </c>
      <c r="Q190" s="29"/>
      <c r="R190" s="29">
        <v>1396.21</v>
      </c>
      <c r="S190" s="29">
        <v>25.31</v>
      </c>
      <c r="T190" s="29">
        <v>474.85</v>
      </c>
      <c r="U190" s="29">
        <v>15700.21</v>
      </c>
      <c r="V190" s="29">
        <v>609.38</v>
      </c>
      <c r="W190" s="29"/>
      <c r="X190" s="29"/>
      <c r="Y190" s="29"/>
      <c r="Z190" s="29"/>
      <c r="AA190" s="28"/>
      <c r="AB190" s="29">
        <v>3236.21</v>
      </c>
      <c r="AC190" s="29">
        <v>4991.6000000000004</v>
      </c>
      <c r="AD190" s="29">
        <v>794.4</v>
      </c>
    </row>
    <row r="191" spans="1:30">
      <c r="A191" t="str">
        <f>VLOOKUP(F191,info!$A$2:$G$49,3,FALSE)</f>
        <v>Mazda</v>
      </c>
      <c r="B191" s="4">
        <v>2</v>
      </c>
      <c r="C191" t="s">
        <v>366</v>
      </c>
      <c r="D191" t="s">
        <v>30</v>
      </c>
      <c r="E191" s="29" t="s">
        <v>256</v>
      </c>
      <c r="F191" s="28">
        <v>3550828</v>
      </c>
      <c r="G191" s="28" t="s">
        <v>34</v>
      </c>
      <c r="H191" s="28"/>
      <c r="I191" s="29"/>
      <c r="J191" s="29">
        <v>2216.34</v>
      </c>
      <c r="K191" s="29">
        <v>439066.83</v>
      </c>
      <c r="L191" s="29">
        <v>1598.96</v>
      </c>
      <c r="M191" s="29">
        <v>209.76</v>
      </c>
      <c r="N191" s="29">
        <v>39221.629999999997</v>
      </c>
      <c r="O191" s="29"/>
      <c r="P191" s="29">
        <v>559690.63</v>
      </c>
      <c r="Q191" s="29"/>
      <c r="R191" s="29">
        <v>1339.59</v>
      </c>
      <c r="S191" s="29">
        <v>173.01</v>
      </c>
      <c r="T191" s="29">
        <v>506.14</v>
      </c>
      <c r="U191" s="29">
        <v>23076.93</v>
      </c>
      <c r="V191" s="29">
        <v>468.9</v>
      </c>
      <c r="W191" s="29"/>
      <c r="X191" s="29"/>
      <c r="Y191" s="29"/>
      <c r="Z191" s="29"/>
      <c r="AA191" s="28"/>
      <c r="AB191" s="29">
        <v>3012.47</v>
      </c>
      <c r="AC191" s="29">
        <v>6077.23</v>
      </c>
      <c r="AD191" s="29">
        <v>180.55</v>
      </c>
    </row>
    <row r="192" spans="1:30">
      <c r="A192" t="str">
        <f>VLOOKUP(F192,info!$A$2:$G$49,3,FALSE)</f>
        <v>Mazda</v>
      </c>
      <c r="B192" s="4">
        <v>3</v>
      </c>
      <c r="C192" t="s">
        <v>366</v>
      </c>
      <c r="D192" t="s">
        <v>30</v>
      </c>
      <c r="E192" s="29" t="s">
        <v>257</v>
      </c>
      <c r="F192" s="28">
        <v>3550828</v>
      </c>
      <c r="G192" s="28" t="s">
        <v>34</v>
      </c>
      <c r="H192" s="28"/>
      <c r="I192" s="29"/>
      <c r="J192" s="29">
        <v>2250.58</v>
      </c>
      <c r="K192" s="29">
        <v>396148.82</v>
      </c>
      <c r="L192" s="29">
        <v>1626.06</v>
      </c>
      <c r="M192" s="29">
        <v>81.400000000000006</v>
      </c>
      <c r="N192" s="29">
        <v>35292.9</v>
      </c>
      <c r="O192" s="29"/>
      <c r="P192" s="29">
        <v>498205.06</v>
      </c>
      <c r="Q192" s="29"/>
      <c r="R192" s="29">
        <v>1099.6300000000001</v>
      </c>
      <c r="S192" s="29">
        <v>73.17</v>
      </c>
      <c r="T192" s="29">
        <v>407.89</v>
      </c>
      <c r="U192" s="29">
        <v>20290.509999999998</v>
      </c>
      <c r="V192" s="29">
        <v>524.33000000000004</v>
      </c>
      <c r="W192" s="29"/>
      <c r="X192" s="29"/>
      <c r="Y192" s="29"/>
      <c r="Z192" s="29"/>
      <c r="AA192" s="28"/>
      <c r="AB192" s="29">
        <v>2630.44</v>
      </c>
      <c r="AC192" s="29">
        <v>5172.29</v>
      </c>
      <c r="AD192" s="29">
        <v>30.64</v>
      </c>
    </row>
    <row r="193" spans="1:30">
      <c r="A193" t="str">
        <f>VLOOKUP(F193,info!$A$2:$G$49,3,FALSE)</f>
        <v>Peugeot</v>
      </c>
      <c r="B193" s="4">
        <v>4</v>
      </c>
      <c r="C193" t="s">
        <v>366</v>
      </c>
      <c r="D193" t="s">
        <v>30</v>
      </c>
      <c r="E193" s="29" t="s">
        <v>258</v>
      </c>
      <c r="F193" s="28">
        <v>9367324</v>
      </c>
      <c r="G193" s="28" t="s">
        <v>32</v>
      </c>
      <c r="H193" s="28"/>
      <c r="I193" s="29"/>
      <c r="J193" s="29">
        <v>1356.91</v>
      </c>
      <c r="K193" s="29">
        <v>499306.61</v>
      </c>
      <c r="L193" s="29">
        <v>2150.3000000000002</v>
      </c>
      <c r="M193" s="29">
        <v>7.49</v>
      </c>
      <c r="N193" s="29">
        <v>7466.83</v>
      </c>
      <c r="O193" s="29"/>
      <c r="P193" s="29">
        <v>642924</v>
      </c>
      <c r="Q193" s="29"/>
      <c r="R193" s="29">
        <v>1499.97</v>
      </c>
      <c r="S193" s="29">
        <v>278.55</v>
      </c>
      <c r="T193" s="29">
        <v>939.21</v>
      </c>
      <c r="U193" s="29">
        <v>41930.07</v>
      </c>
      <c r="V193" s="29">
        <v>648.6</v>
      </c>
      <c r="W193" s="29"/>
      <c r="X193" s="29"/>
      <c r="Y193" s="29"/>
      <c r="Z193" s="29"/>
      <c r="AA193" s="28"/>
      <c r="AB193" s="29">
        <v>224.64</v>
      </c>
      <c r="AC193" s="29">
        <v>146.43</v>
      </c>
      <c r="AD193" s="29">
        <v>904.67</v>
      </c>
    </row>
    <row r="194" spans="1:30">
      <c r="A194" t="str">
        <f>VLOOKUP(F194,info!$A$2:$G$49,3,FALSE)</f>
        <v>Peugeot</v>
      </c>
      <c r="B194" s="4">
        <v>5</v>
      </c>
      <c r="C194" t="s">
        <v>366</v>
      </c>
      <c r="D194" t="s">
        <v>30</v>
      </c>
      <c r="E194" s="29" t="s">
        <v>259</v>
      </c>
      <c r="F194" s="28">
        <v>9367324</v>
      </c>
      <c r="G194" s="28" t="s">
        <v>32</v>
      </c>
      <c r="H194" s="28"/>
      <c r="I194" s="29"/>
      <c r="J194" s="29">
        <v>752.59</v>
      </c>
      <c r="K194" s="29">
        <v>549585.11</v>
      </c>
      <c r="L194" s="29">
        <v>2206.1799999999998</v>
      </c>
      <c r="M194" s="29">
        <v>7.32</v>
      </c>
      <c r="N194" s="29">
        <v>662.6</v>
      </c>
      <c r="O194" s="29"/>
      <c r="P194" s="29">
        <v>707221.08</v>
      </c>
      <c r="Q194" s="29"/>
      <c r="R194" s="29">
        <v>28.71</v>
      </c>
      <c r="S194" s="29">
        <v>415.34</v>
      </c>
      <c r="T194" s="29">
        <v>995.93</v>
      </c>
      <c r="U194" s="29">
        <v>47903.839999999997</v>
      </c>
      <c r="V194" s="29">
        <v>904.24</v>
      </c>
      <c r="W194" s="29"/>
      <c r="X194" s="29"/>
      <c r="Y194" s="29"/>
      <c r="Z194" s="29"/>
      <c r="AA194" s="28"/>
      <c r="AB194" s="29">
        <v>221.67</v>
      </c>
      <c r="AC194" s="29">
        <v>247.92</v>
      </c>
      <c r="AD194" s="29">
        <v>1840.37</v>
      </c>
    </row>
    <row r="195" spans="1:30">
      <c r="A195" t="str">
        <f>VLOOKUP(F195,info!$A$2:$G$49,3,FALSE)</f>
        <v>Mazda</v>
      </c>
      <c r="B195" s="4">
        <v>6</v>
      </c>
      <c r="C195" t="s">
        <v>366</v>
      </c>
      <c r="D195" t="s">
        <v>30</v>
      </c>
      <c r="E195" s="29" t="s">
        <v>260</v>
      </c>
      <c r="F195" s="28">
        <v>3550828</v>
      </c>
      <c r="G195" s="28" t="s">
        <v>32</v>
      </c>
      <c r="H195" s="28"/>
      <c r="I195" s="29"/>
      <c r="J195" s="29">
        <v>2962.45</v>
      </c>
      <c r="K195" s="29">
        <v>580167.75</v>
      </c>
      <c r="L195" s="29">
        <v>2124.11</v>
      </c>
      <c r="M195" s="29">
        <v>29.11</v>
      </c>
      <c r="N195" s="29">
        <v>54780.54</v>
      </c>
      <c r="O195" s="29"/>
      <c r="P195" s="29">
        <v>721694.89</v>
      </c>
      <c r="Q195" s="29"/>
      <c r="R195" s="29">
        <v>1797.42</v>
      </c>
      <c r="S195" s="29">
        <v>220.72</v>
      </c>
      <c r="T195" s="29">
        <v>528.66999999999996</v>
      </c>
      <c r="U195" s="29">
        <v>28965.13</v>
      </c>
      <c r="V195" s="29">
        <v>789.85</v>
      </c>
      <c r="W195" s="29"/>
      <c r="X195" s="29"/>
      <c r="Y195" s="29"/>
      <c r="Z195" s="29"/>
      <c r="AA195" s="28"/>
      <c r="AB195" s="29">
        <v>3483.39</v>
      </c>
      <c r="AC195" s="29">
        <v>7706.11</v>
      </c>
      <c r="AD195" s="29">
        <v>324.76</v>
      </c>
    </row>
    <row r="196" spans="1:30">
      <c r="A196" t="str">
        <f>VLOOKUP(F196,info!$A$2:$G$49,3,FALSE)</f>
        <v>Hyundai</v>
      </c>
      <c r="B196" s="4">
        <v>7</v>
      </c>
      <c r="C196" t="s">
        <v>366</v>
      </c>
      <c r="D196" t="s">
        <v>30</v>
      </c>
      <c r="E196" s="29" t="s">
        <v>261</v>
      </c>
      <c r="F196" s="28">
        <v>9540217</v>
      </c>
      <c r="G196" s="28" t="s">
        <v>34</v>
      </c>
      <c r="H196" s="28"/>
      <c r="I196" s="29"/>
      <c r="J196" s="29">
        <v>1959.26</v>
      </c>
      <c r="K196" s="29">
        <v>518273.65</v>
      </c>
      <c r="L196" s="29">
        <v>2626.38</v>
      </c>
      <c r="M196" s="29">
        <v>375.78</v>
      </c>
      <c r="N196" s="29">
        <v>21149.63</v>
      </c>
      <c r="O196" s="29"/>
      <c r="P196" s="29">
        <v>743721.56</v>
      </c>
      <c r="Q196" s="29"/>
      <c r="R196" s="29">
        <v>2327.4299999999998</v>
      </c>
      <c r="S196" s="29">
        <v>176</v>
      </c>
      <c r="T196" s="29">
        <v>733.27</v>
      </c>
      <c r="U196" s="29">
        <v>26109.4</v>
      </c>
      <c r="V196" s="29">
        <v>821.22</v>
      </c>
      <c r="W196" s="29"/>
      <c r="X196" s="29"/>
      <c r="Y196" s="29"/>
      <c r="Z196" s="29"/>
      <c r="AA196" s="28"/>
      <c r="AB196" s="29">
        <v>3427.58</v>
      </c>
      <c r="AC196" s="29">
        <v>9928.09</v>
      </c>
      <c r="AD196" s="29">
        <v>1866.82</v>
      </c>
    </row>
    <row r="197" spans="1:30">
      <c r="A197" t="str">
        <f>VLOOKUP(F197,info!$A$2:$G$49,3,FALSE)</f>
        <v>Honda</v>
      </c>
      <c r="B197" s="4">
        <v>8</v>
      </c>
      <c r="C197" t="s">
        <v>366</v>
      </c>
      <c r="D197" t="s">
        <v>30</v>
      </c>
      <c r="E197" s="29" t="s">
        <v>262</v>
      </c>
      <c r="F197" s="28">
        <v>8096906</v>
      </c>
      <c r="G197" s="28" t="s">
        <v>32</v>
      </c>
      <c r="H197" s="28"/>
      <c r="I197" s="29"/>
      <c r="J197" s="29">
        <v>522.70000000000005</v>
      </c>
      <c r="K197" s="29">
        <v>493797.04</v>
      </c>
      <c r="L197" s="29">
        <v>1562.9</v>
      </c>
      <c r="M197" s="29">
        <v>88.66</v>
      </c>
      <c r="N197" s="29">
        <v>379.86</v>
      </c>
      <c r="O197" s="29"/>
      <c r="P197" s="29">
        <v>613776.69999999995</v>
      </c>
      <c r="Q197" s="29"/>
      <c r="R197" s="29">
        <v>158.97999999999999</v>
      </c>
      <c r="S197" s="29">
        <v>90.1</v>
      </c>
      <c r="T197" s="29">
        <v>101.1</v>
      </c>
      <c r="U197" s="29">
        <v>25863.73</v>
      </c>
      <c r="V197" s="29">
        <v>734.99</v>
      </c>
      <c r="W197" s="29"/>
      <c r="X197" s="29"/>
      <c r="Y197" s="29"/>
      <c r="Z197" s="29"/>
      <c r="AA197" s="28"/>
      <c r="AB197" s="29">
        <v>4920.24</v>
      </c>
      <c r="AC197" s="29">
        <v>12352.48</v>
      </c>
      <c r="AD197" s="29">
        <v>1717.56</v>
      </c>
    </row>
    <row r="198" spans="1:30">
      <c r="A198" t="str">
        <f>VLOOKUP(F198,info!$A$2:$G$49,3,FALSE)</f>
        <v>Honda</v>
      </c>
      <c r="B198" s="4">
        <v>9</v>
      </c>
      <c r="C198" t="s">
        <v>366</v>
      </c>
      <c r="D198" t="s">
        <v>30</v>
      </c>
      <c r="E198" s="29" t="s">
        <v>263</v>
      </c>
      <c r="F198" s="28">
        <v>8096906</v>
      </c>
      <c r="G198" s="28" t="s">
        <v>34</v>
      </c>
      <c r="H198" s="28"/>
      <c r="I198" s="29"/>
      <c r="J198" s="29">
        <v>644.34</v>
      </c>
      <c r="K198" s="29">
        <v>441748.86</v>
      </c>
      <c r="L198" s="29">
        <v>1541</v>
      </c>
      <c r="M198" s="29">
        <v>25.97</v>
      </c>
      <c r="N198" s="29">
        <v>53.78</v>
      </c>
      <c r="O198" s="29"/>
      <c r="P198" s="29">
        <v>542007.19999999995</v>
      </c>
      <c r="Q198" s="29"/>
      <c r="R198" s="29">
        <v>4.4000000000000004</v>
      </c>
      <c r="S198" s="29">
        <v>268.82</v>
      </c>
      <c r="T198" s="29">
        <v>52.13</v>
      </c>
      <c r="U198" s="29">
        <v>20936.400000000001</v>
      </c>
      <c r="V198" s="29">
        <v>507.17</v>
      </c>
      <c r="W198" s="29"/>
      <c r="X198" s="29"/>
      <c r="Y198" s="29"/>
      <c r="Z198" s="29"/>
      <c r="AA198" s="28"/>
      <c r="AB198" s="29">
        <v>171.46</v>
      </c>
      <c r="AC198" s="29">
        <v>2.61</v>
      </c>
      <c r="AD198" s="29">
        <v>1664.42</v>
      </c>
    </row>
    <row r="199" spans="1:30">
      <c r="A199" t="str">
        <f>VLOOKUP(F199,info!$A$2:$G$49,3,FALSE)</f>
        <v>Ford</v>
      </c>
      <c r="B199" s="4">
        <v>10</v>
      </c>
      <c r="C199" t="s">
        <v>366</v>
      </c>
      <c r="D199" t="s">
        <v>30</v>
      </c>
      <c r="E199" s="29" t="s">
        <v>264</v>
      </c>
      <c r="F199" s="28">
        <v>6917835</v>
      </c>
      <c r="G199" s="28" t="s">
        <v>32</v>
      </c>
      <c r="H199" s="28"/>
      <c r="I199" s="29"/>
      <c r="J199" s="29">
        <v>1284.01</v>
      </c>
      <c r="K199" s="29">
        <v>405353.69</v>
      </c>
      <c r="L199" s="29">
        <v>1489.28</v>
      </c>
      <c r="M199" s="29">
        <v>155.59</v>
      </c>
      <c r="N199" s="29">
        <v>12849.88</v>
      </c>
      <c r="O199" s="29"/>
      <c r="P199" s="29">
        <v>510974.31</v>
      </c>
      <c r="Q199" s="29"/>
      <c r="R199" s="29">
        <v>1787.85</v>
      </c>
      <c r="S199" s="29">
        <v>174.56</v>
      </c>
      <c r="T199" s="29">
        <v>222.86</v>
      </c>
      <c r="U199" s="29">
        <v>43413.56</v>
      </c>
      <c r="V199" s="29">
        <v>645.61</v>
      </c>
      <c r="W199" s="29"/>
      <c r="X199" s="29"/>
      <c r="Y199" s="29"/>
      <c r="Z199" s="29"/>
      <c r="AA199" s="28"/>
      <c r="AB199" s="29">
        <v>1884.2</v>
      </c>
      <c r="AC199" s="29">
        <v>5372.02</v>
      </c>
      <c r="AD199" s="29">
        <v>684.52</v>
      </c>
    </row>
    <row r="200" spans="1:30">
      <c r="A200" t="str">
        <f>VLOOKUP(F200,info!$A$2:$G$49,3,FALSE)</f>
        <v>Honda</v>
      </c>
      <c r="B200" s="4">
        <v>11</v>
      </c>
      <c r="C200" t="s">
        <v>366</v>
      </c>
      <c r="D200" t="s">
        <v>30</v>
      </c>
      <c r="E200" s="29" t="s">
        <v>265</v>
      </c>
      <c r="F200" s="28">
        <v>8096906</v>
      </c>
      <c r="G200" s="28" t="s">
        <v>34</v>
      </c>
      <c r="H200" s="28"/>
      <c r="I200" s="29"/>
      <c r="J200" s="29">
        <v>850.58</v>
      </c>
      <c r="K200" s="29">
        <v>597054</v>
      </c>
      <c r="L200" s="29">
        <v>4363.87</v>
      </c>
      <c r="M200" s="29">
        <v>1153.3</v>
      </c>
      <c r="N200" s="29">
        <v>32.78</v>
      </c>
      <c r="O200" s="29"/>
      <c r="P200" s="29">
        <v>731528.92</v>
      </c>
      <c r="Q200" s="29"/>
      <c r="R200" s="29">
        <v>34.56</v>
      </c>
      <c r="S200" s="29">
        <v>308.08</v>
      </c>
      <c r="T200" s="29">
        <v>131.84</v>
      </c>
      <c r="U200" s="29">
        <v>29078.95</v>
      </c>
      <c r="V200" s="29">
        <v>790.73</v>
      </c>
      <c r="W200" s="29"/>
      <c r="X200" s="29"/>
      <c r="Y200" s="29"/>
      <c r="Z200" s="29"/>
      <c r="AA200" s="28"/>
      <c r="AB200" s="29">
        <v>179.47</v>
      </c>
      <c r="AC200" s="29">
        <v>11.42</v>
      </c>
      <c r="AD200" s="29">
        <v>2244.7399999999998</v>
      </c>
    </row>
    <row r="201" spans="1:30">
      <c r="A201" t="str">
        <f>VLOOKUP(F201,info!$A$2:$G$49,3,FALSE)</f>
        <v>Daewoo</v>
      </c>
      <c r="B201" s="4">
        <v>12</v>
      </c>
      <c r="C201" t="s">
        <v>366</v>
      </c>
      <c r="D201" t="s">
        <v>30</v>
      </c>
      <c r="E201" s="29" t="s">
        <v>266</v>
      </c>
      <c r="F201" s="28">
        <v>8501017</v>
      </c>
      <c r="G201" s="28" t="s">
        <v>34</v>
      </c>
      <c r="H201" s="28"/>
      <c r="I201" s="29"/>
      <c r="J201" s="29">
        <v>2317.08</v>
      </c>
      <c r="K201" s="29">
        <v>564372.05000000005</v>
      </c>
      <c r="L201" s="29">
        <v>2655.96</v>
      </c>
      <c r="M201" s="29">
        <v>216.09</v>
      </c>
      <c r="N201" s="29">
        <v>36932.379999999997</v>
      </c>
      <c r="O201" s="29"/>
      <c r="P201" s="29">
        <v>673828.99</v>
      </c>
      <c r="Q201" s="29"/>
      <c r="R201" s="29">
        <v>1937.19</v>
      </c>
      <c r="S201" s="29">
        <v>380.59</v>
      </c>
      <c r="T201" s="29">
        <v>74.44</v>
      </c>
      <c r="U201" s="29">
        <v>29420.53</v>
      </c>
      <c r="V201" s="29">
        <v>588.79</v>
      </c>
      <c r="W201" s="29"/>
      <c r="X201" s="29"/>
      <c r="Y201" s="29"/>
      <c r="Z201" s="29"/>
      <c r="AA201" s="28"/>
      <c r="AB201" s="29">
        <v>3781.84</v>
      </c>
      <c r="AC201" s="29">
        <v>10790.27</v>
      </c>
      <c r="AD201" s="29">
        <v>1691.77</v>
      </c>
    </row>
    <row r="202" spans="1:30">
      <c r="A202" t="str">
        <f>VLOOKUP(F202,info!$A$2:$G$49,3,FALSE)</f>
        <v>Hyundai</v>
      </c>
      <c r="B202" s="4">
        <v>13</v>
      </c>
      <c r="C202" t="s">
        <v>366</v>
      </c>
      <c r="D202" t="s">
        <v>30</v>
      </c>
      <c r="E202" s="29" t="s">
        <v>267</v>
      </c>
      <c r="F202" s="28">
        <v>9540217</v>
      </c>
      <c r="G202" s="28" t="s">
        <v>34</v>
      </c>
      <c r="H202" s="28"/>
      <c r="I202" s="29"/>
      <c r="J202" s="29">
        <v>1477.19</v>
      </c>
      <c r="K202" s="29">
        <v>359505.32</v>
      </c>
      <c r="L202" s="29">
        <v>2618.39</v>
      </c>
      <c r="M202" s="29">
        <v>281.45</v>
      </c>
      <c r="N202" s="29">
        <v>14735.86</v>
      </c>
      <c r="O202" s="29"/>
      <c r="P202" s="29">
        <v>518445.41</v>
      </c>
      <c r="Q202" s="29"/>
      <c r="R202" s="29">
        <v>1789.78</v>
      </c>
      <c r="S202" s="29">
        <v>24.59</v>
      </c>
      <c r="T202" s="29">
        <v>423.02</v>
      </c>
      <c r="U202" s="29">
        <v>17764.78</v>
      </c>
      <c r="V202" s="29">
        <v>480.65</v>
      </c>
      <c r="W202" s="29"/>
      <c r="X202" s="29"/>
      <c r="Y202" s="29"/>
      <c r="Z202" s="29"/>
      <c r="AA202" s="28"/>
      <c r="AB202" s="29">
        <v>2243.6</v>
      </c>
      <c r="AC202" s="29">
        <v>4939.83</v>
      </c>
      <c r="AD202" s="29">
        <v>654.77</v>
      </c>
    </row>
    <row r="203" spans="1:30">
      <c r="A203" t="str">
        <f>VLOOKUP(F203,info!$A$2:$G$49,3,FALSE)</f>
        <v>Peugeot</v>
      </c>
      <c r="B203" s="4">
        <v>14</v>
      </c>
      <c r="C203" t="s">
        <v>366</v>
      </c>
      <c r="D203" t="s">
        <v>30</v>
      </c>
      <c r="E203" s="29" t="s">
        <v>268</v>
      </c>
      <c r="F203" s="28">
        <v>9367324</v>
      </c>
      <c r="G203" s="28" t="s">
        <v>34</v>
      </c>
      <c r="H203" s="28"/>
      <c r="I203" s="29"/>
      <c r="J203" s="29">
        <v>1382.13</v>
      </c>
      <c r="K203" s="29">
        <v>406611.20000000001</v>
      </c>
      <c r="L203" s="29">
        <v>2091.09</v>
      </c>
      <c r="M203" s="29">
        <v>62.05</v>
      </c>
      <c r="N203" s="29">
        <v>16662.91</v>
      </c>
      <c r="O203" s="29"/>
      <c r="P203" s="29">
        <v>593714.76</v>
      </c>
      <c r="Q203" s="29"/>
      <c r="R203" s="29">
        <v>2042.79</v>
      </c>
      <c r="S203" s="29">
        <v>138.76</v>
      </c>
      <c r="T203" s="29">
        <v>388.65</v>
      </c>
      <c r="U203" s="29">
        <v>20155.490000000002</v>
      </c>
      <c r="V203" s="29">
        <v>431.04</v>
      </c>
      <c r="W203" s="29"/>
      <c r="X203" s="29"/>
      <c r="Y203" s="29"/>
      <c r="Z203" s="29"/>
      <c r="AA203" s="28"/>
      <c r="AB203" s="29">
        <v>3591.61</v>
      </c>
      <c r="AC203" s="29">
        <v>8849.16</v>
      </c>
      <c r="AD203" s="29">
        <v>1051.3599999999999</v>
      </c>
    </row>
    <row r="204" spans="1:30">
      <c r="A204" t="str">
        <f>VLOOKUP(F204,info!$A$2:$G$49,3,FALSE)</f>
        <v>Hyundai</v>
      </c>
      <c r="B204" s="4">
        <v>15</v>
      </c>
      <c r="C204" t="s">
        <v>366</v>
      </c>
      <c r="D204" t="s">
        <v>30</v>
      </c>
      <c r="E204" s="29" t="s">
        <v>269</v>
      </c>
      <c r="F204" s="28">
        <v>6316720</v>
      </c>
      <c r="G204" s="28" t="s">
        <v>34</v>
      </c>
      <c r="H204" s="28"/>
      <c r="I204" s="29"/>
      <c r="J204" s="29">
        <v>1655.33</v>
      </c>
      <c r="K204" s="29">
        <v>548098.35</v>
      </c>
      <c r="L204" s="29">
        <v>2069.8000000000002</v>
      </c>
      <c r="M204" s="29">
        <v>89.6</v>
      </c>
      <c r="N204" s="29">
        <v>16163.47</v>
      </c>
      <c r="O204" s="29"/>
      <c r="P204" s="29">
        <v>682118.02</v>
      </c>
      <c r="Q204" s="29"/>
      <c r="R204" s="29">
        <v>2257.4699999999998</v>
      </c>
      <c r="S204" s="29">
        <v>180.28</v>
      </c>
      <c r="T204" s="29">
        <v>306.39</v>
      </c>
      <c r="U204" s="29">
        <v>62803.25</v>
      </c>
      <c r="V204" s="29">
        <v>1127.92</v>
      </c>
      <c r="W204" s="29"/>
      <c r="X204" s="29"/>
      <c r="Y204" s="29"/>
      <c r="Z204" s="29"/>
      <c r="AA204" s="28"/>
      <c r="AB204" s="29">
        <v>3420.96</v>
      </c>
      <c r="AC204" s="29">
        <v>7857.62</v>
      </c>
      <c r="AD204" s="29">
        <v>1416.44</v>
      </c>
    </row>
    <row r="205" spans="1:30">
      <c r="A205" t="str">
        <f>VLOOKUP(F205,info!$A$2:$G$49,3,FALSE)</f>
        <v>Hyundai</v>
      </c>
      <c r="B205" s="4">
        <v>16</v>
      </c>
      <c r="C205" t="s">
        <v>366</v>
      </c>
      <c r="D205" t="s">
        <v>30</v>
      </c>
      <c r="E205" s="29" t="s">
        <v>270</v>
      </c>
      <c r="F205" s="28">
        <v>6316720</v>
      </c>
      <c r="G205" s="28" t="s">
        <v>34</v>
      </c>
      <c r="H205" s="28"/>
      <c r="I205" s="29"/>
      <c r="J205" s="29">
        <v>1698.03</v>
      </c>
      <c r="K205" s="29">
        <v>465488.59</v>
      </c>
      <c r="L205" s="29">
        <v>2479.64</v>
      </c>
      <c r="M205" s="29">
        <v>559.41</v>
      </c>
      <c r="N205" s="29">
        <v>18352.05</v>
      </c>
      <c r="O205" s="29"/>
      <c r="P205" s="29">
        <v>674446.78</v>
      </c>
      <c r="Q205" s="29"/>
      <c r="R205" s="29">
        <v>1752.26</v>
      </c>
      <c r="S205" s="29">
        <v>398.11</v>
      </c>
      <c r="T205" s="29">
        <v>817.87</v>
      </c>
      <c r="U205" s="29">
        <v>24976.52</v>
      </c>
      <c r="V205" s="29">
        <v>747.34</v>
      </c>
      <c r="W205" s="29"/>
      <c r="X205" s="29"/>
      <c r="Y205" s="29"/>
      <c r="Z205" s="29"/>
      <c r="AA205" s="28"/>
      <c r="AB205" s="29">
        <v>3129.24</v>
      </c>
      <c r="AC205" s="29">
        <v>7492.79</v>
      </c>
      <c r="AD205" s="29">
        <v>1155.77</v>
      </c>
    </row>
    <row r="206" spans="1:30">
      <c r="A206" t="str">
        <f>VLOOKUP(F206,info!$A$2:$G$49,3,FALSE)</f>
        <v>Hyundai</v>
      </c>
      <c r="B206" s="4">
        <v>17</v>
      </c>
      <c r="C206" t="s">
        <v>366</v>
      </c>
      <c r="D206" t="s">
        <v>30</v>
      </c>
      <c r="E206" s="29" t="s">
        <v>271</v>
      </c>
      <c r="F206" s="28">
        <v>6316720</v>
      </c>
      <c r="G206" s="28" t="s">
        <v>34</v>
      </c>
      <c r="H206" s="28"/>
      <c r="I206" s="29"/>
      <c r="J206" s="29">
        <v>533.97</v>
      </c>
      <c r="K206" s="29">
        <v>104709.15</v>
      </c>
      <c r="L206" s="29">
        <v>653.33000000000004</v>
      </c>
      <c r="M206" s="29">
        <v>248.78</v>
      </c>
      <c r="N206" s="29">
        <v>4338.8</v>
      </c>
      <c r="O206" s="29"/>
      <c r="P206" s="29">
        <v>144665.26999999999</v>
      </c>
      <c r="Q206" s="29"/>
      <c r="R206" s="29">
        <v>337.62</v>
      </c>
      <c r="S206" s="29">
        <v>6.38</v>
      </c>
      <c r="T206" s="29">
        <v>114.09</v>
      </c>
      <c r="U206" s="29">
        <v>5149.9799999999996</v>
      </c>
      <c r="V206" s="29">
        <v>144.87</v>
      </c>
      <c r="W206" s="29"/>
      <c r="X206" s="29"/>
      <c r="Y206" s="29"/>
      <c r="Z206" s="29"/>
      <c r="AA206" s="28"/>
      <c r="AB206" s="29">
        <v>971.79</v>
      </c>
      <c r="AC206" s="29">
        <v>2610.46</v>
      </c>
      <c r="AD206" s="29">
        <v>129.69999999999999</v>
      </c>
    </row>
    <row r="207" spans="1:30">
      <c r="A207" t="str">
        <f>VLOOKUP(F207,info!$A$2:$G$49,3,FALSE)</f>
        <v>Honda</v>
      </c>
      <c r="B207" s="4">
        <v>18</v>
      </c>
      <c r="C207" t="s">
        <v>366</v>
      </c>
      <c r="D207" t="s">
        <v>30</v>
      </c>
      <c r="E207" s="29" t="s">
        <v>272</v>
      </c>
      <c r="F207" s="28">
        <v>8096906</v>
      </c>
      <c r="G207" s="28" t="s">
        <v>32</v>
      </c>
      <c r="H207" s="28"/>
      <c r="I207" s="29"/>
      <c r="J207" s="29">
        <v>370.29</v>
      </c>
      <c r="K207" s="29">
        <v>131942.95000000001</v>
      </c>
      <c r="L207" s="29">
        <v>577.97</v>
      </c>
      <c r="M207" s="29">
        <v>171.6</v>
      </c>
      <c r="N207" s="29">
        <v>136.22</v>
      </c>
      <c r="O207" s="29"/>
      <c r="P207" s="29">
        <v>153492.57</v>
      </c>
      <c r="Q207" s="29"/>
      <c r="R207" s="29">
        <v>8.93</v>
      </c>
      <c r="S207" s="29">
        <v>16.46</v>
      </c>
      <c r="T207" s="29">
        <v>35.47</v>
      </c>
      <c r="U207" s="29">
        <v>6132.44</v>
      </c>
      <c r="V207" s="29">
        <v>198.03</v>
      </c>
      <c r="W207" s="29"/>
      <c r="X207" s="29"/>
      <c r="Y207" s="29"/>
      <c r="Z207" s="29"/>
      <c r="AA207" s="28"/>
      <c r="AB207" s="29">
        <v>732.28</v>
      </c>
      <c r="AC207" s="29">
        <v>621.28</v>
      </c>
      <c r="AD207" s="29">
        <v>533.78</v>
      </c>
    </row>
    <row r="208" spans="1:30">
      <c r="A208" t="str">
        <f>VLOOKUP(F208,info!$A$2:$G$49,3,FALSE)</f>
        <v>Hyundai</v>
      </c>
      <c r="B208" s="4">
        <v>19</v>
      </c>
      <c r="C208" t="s">
        <v>366</v>
      </c>
      <c r="D208" t="s">
        <v>30</v>
      </c>
      <c r="E208" s="29" t="s">
        <v>273</v>
      </c>
      <c r="F208" s="28">
        <v>6316720</v>
      </c>
      <c r="G208" s="28" t="s">
        <v>32</v>
      </c>
      <c r="H208" s="28"/>
      <c r="I208" s="29"/>
      <c r="J208" s="29">
        <v>1041.57</v>
      </c>
      <c r="K208" s="29">
        <v>188671.99</v>
      </c>
      <c r="L208" s="29">
        <v>852.26</v>
      </c>
      <c r="M208" s="29">
        <v>217.13</v>
      </c>
      <c r="N208" s="29">
        <v>7401.47</v>
      </c>
      <c r="O208" s="29"/>
      <c r="P208" s="29">
        <v>255279.31</v>
      </c>
      <c r="Q208" s="29"/>
      <c r="R208" s="29">
        <v>822.14</v>
      </c>
      <c r="S208" s="29">
        <v>68.25</v>
      </c>
      <c r="T208" s="29">
        <v>234.02</v>
      </c>
      <c r="U208" s="29">
        <v>8794.01</v>
      </c>
      <c r="V208" s="29">
        <v>298.39999999999998</v>
      </c>
      <c r="W208" s="29"/>
      <c r="X208" s="29"/>
      <c r="Y208" s="29"/>
      <c r="Z208" s="29"/>
      <c r="AA208" s="28"/>
      <c r="AB208" s="29">
        <v>40.130000000000003</v>
      </c>
      <c r="AC208" s="29">
        <v>11.57</v>
      </c>
      <c r="AD208" s="29">
        <v>653.77</v>
      </c>
    </row>
    <row r="209" spans="1:30">
      <c r="A209" t="str">
        <f>VLOOKUP(F209,info!$A$2:$G$49,3,FALSE)</f>
        <v>Fiat</v>
      </c>
      <c r="B209" s="4">
        <v>20</v>
      </c>
      <c r="C209" t="s">
        <v>366</v>
      </c>
      <c r="D209" t="s">
        <v>30</v>
      </c>
      <c r="E209" s="29" t="s">
        <v>274</v>
      </c>
      <c r="F209" s="28">
        <v>5751910</v>
      </c>
      <c r="G209" s="28" t="s">
        <v>34</v>
      </c>
      <c r="H209" s="28"/>
      <c r="I209" s="29"/>
      <c r="J209" s="29">
        <v>448.56</v>
      </c>
      <c r="K209" s="29">
        <v>96433.14</v>
      </c>
      <c r="L209" s="29">
        <v>447.34</v>
      </c>
      <c r="M209" s="29">
        <v>69.010000000000005</v>
      </c>
      <c r="N209" s="29">
        <v>3594.09</v>
      </c>
      <c r="O209" s="29"/>
      <c r="P209" s="29">
        <v>107951.24</v>
      </c>
      <c r="Q209" s="29"/>
      <c r="R209" s="29">
        <v>405.65</v>
      </c>
      <c r="S209" s="29">
        <v>56.25</v>
      </c>
      <c r="T209" s="29">
        <v>110.69</v>
      </c>
      <c r="U209" s="29">
        <v>8938.0300000000007</v>
      </c>
      <c r="V209" s="29">
        <v>85.76</v>
      </c>
      <c r="W209" s="29"/>
      <c r="X209" s="29"/>
      <c r="Y209" s="29"/>
      <c r="Z209" s="29"/>
      <c r="AA209" s="28"/>
      <c r="AB209" s="29">
        <v>632.79999999999995</v>
      </c>
      <c r="AC209" s="29">
        <v>1845.99</v>
      </c>
      <c r="AD209" s="29">
        <v>118.13</v>
      </c>
    </row>
    <row r="210" spans="1:30">
      <c r="A210" t="str">
        <f>VLOOKUP(F210,info!$A$2:$G$49,3,FALSE)</f>
        <v>Hyundai</v>
      </c>
      <c r="B210" s="4">
        <v>21</v>
      </c>
      <c r="C210" t="s">
        <v>366</v>
      </c>
      <c r="D210" t="s">
        <v>30</v>
      </c>
      <c r="E210" s="29" t="s">
        <v>275</v>
      </c>
      <c r="F210" s="28">
        <v>5826120</v>
      </c>
      <c r="G210" s="28" t="s">
        <v>52</v>
      </c>
      <c r="H210" s="28"/>
      <c r="I210" s="29"/>
      <c r="J210" s="29">
        <v>1810.38</v>
      </c>
      <c r="K210" s="29">
        <v>323918.84000000003</v>
      </c>
      <c r="L210" s="29">
        <v>1875.94</v>
      </c>
      <c r="M210" s="29">
        <v>277.67</v>
      </c>
      <c r="N210" s="29">
        <v>10245.01</v>
      </c>
      <c r="O210" s="29"/>
      <c r="P210" s="29">
        <v>442739.7</v>
      </c>
      <c r="Q210" s="29"/>
      <c r="R210" s="29">
        <v>1581.66</v>
      </c>
      <c r="S210" s="29">
        <v>264.82</v>
      </c>
      <c r="T210" s="29">
        <v>415.3</v>
      </c>
      <c r="U210" s="29">
        <v>15455.3</v>
      </c>
      <c r="V210" s="29">
        <v>401.45</v>
      </c>
      <c r="W210" s="29"/>
      <c r="X210" s="29"/>
      <c r="Y210" s="29"/>
      <c r="Z210" s="29"/>
      <c r="AA210" s="28"/>
      <c r="AB210" s="29">
        <v>118.19</v>
      </c>
      <c r="AC210" s="29">
        <v>26.06</v>
      </c>
      <c r="AD210" s="29">
        <v>1134.8</v>
      </c>
    </row>
    <row r="211" spans="1:30">
      <c r="A211" t="str">
        <f>VLOOKUP(F211,info!$A$2:$G$49,3,FALSE)</f>
        <v>Daewoo</v>
      </c>
      <c r="B211" s="4">
        <v>22</v>
      </c>
      <c r="C211" t="s">
        <v>366</v>
      </c>
      <c r="D211" t="s">
        <v>30</v>
      </c>
      <c r="E211" s="29" t="s">
        <v>276</v>
      </c>
      <c r="F211" s="28">
        <v>8501017</v>
      </c>
      <c r="G211" s="28" t="s">
        <v>32</v>
      </c>
      <c r="H211" s="28"/>
      <c r="I211" s="29"/>
      <c r="J211" s="29">
        <v>636.58000000000004</v>
      </c>
      <c r="K211" s="29">
        <v>112236.45</v>
      </c>
      <c r="L211" s="29">
        <v>590.58000000000004</v>
      </c>
      <c r="M211" s="29">
        <v>93.68</v>
      </c>
      <c r="N211" s="29">
        <v>7414.11</v>
      </c>
      <c r="O211" s="29"/>
      <c r="P211" s="29">
        <v>127194.87</v>
      </c>
      <c r="Q211" s="29"/>
      <c r="R211" s="29">
        <v>355.78</v>
      </c>
      <c r="S211" s="29">
        <v>45.08</v>
      </c>
      <c r="T211" s="29">
        <v>83.12</v>
      </c>
      <c r="U211" s="29">
        <v>5234.7299999999996</v>
      </c>
      <c r="V211" s="29">
        <v>130.25</v>
      </c>
      <c r="W211" s="29"/>
      <c r="X211" s="29"/>
      <c r="Y211" s="29"/>
      <c r="Z211" s="29"/>
      <c r="AA211" s="28"/>
      <c r="AB211" s="29">
        <v>998</v>
      </c>
      <c r="AC211" s="29">
        <v>3262.29</v>
      </c>
      <c r="AD211" s="29">
        <v>196.67</v>
      </c>
    </row>
    <row r="212" spans="1:30">
      <c r="A212" t="str">
        <f>VLOOKUP(F212,info!$A$2:$G$49,3,FALSE)</f>
        <v>Daewoo</v>
      </c>
      <c r="B212" s="4">
        <v>23</v>
      </c>
      <c r="C212" t="s">
        <v>366</v>
      </c>
      <c r="D212" t="s">
        <v>30</v>
      </c>
      <c r="E212" s="29" t="s">
        <v>277</v>
      </c>
      <c r="F212" s="28">
        <v>8501017</v>
      </c>
      <c r="G212" s="28" t="s">
        <v>34</v>
      </c>
      <c r="H212" s="28"/>
      <c r="I212" s="29"/>
      <c r="J212" s="29">
        <v>2175.12</v>
      </c>
      <c r="K212" s="29">
        <v>350437.94</v>
      </c>
      <c r="L212" s="29">
        <v>2101.84</v>
      </c>
      <c r="M212" s="29">
        <v>208.76</v>
      </c>
      <c r="N212" s="29">
        <v>22823.33</v>
      </c>
      <c r="O212" s="29"/>
      <c r="P212" s="29">
        <v>396462.39</v>
      </c>
      <c r="Q212" s="29"/>
      <c r="R212" s="29">
        <v>1253.95</v>
      </c>
      <c r="S212" s="29">
        <v>12.93</v>
      </c>
      <c r="T212" s="29">
        <v>199.26</v>
      </c>
      <c r="U212" s="29">
        <v>17438.3</v>
      </c>
      <c r="V212" s="29">
        <v>444.54</v>
      </c>
      <c r="W212" s="29"/>
      <c r="X212" s="29"/>
      <c r="Y212" s="29"/>
      <c r="Z212" s="29"/>
      <c r="AA212" s="28"/>
      <c r="AB212" s="29">
        <v>2658.88</v>
      </c>
      <c r="AC212" s="29">
        <v>7611.59</v>
      </c>
      <c r="AD212" s="29">
        <v>563.63</v>
      </c>
    </row>
    <row r="213" spans="1:30">
      <c r="A213" t="str">
        <f>VLOOKUP(F213,info!$A$2:$G$49,3,FALSE)</f>
        <v>Mitsubishi</v>
      </c>
      <c r="B213" s="4">
        <v>24</v>
      </c>
      <c r="C213" t="s">
        <v>366</v>
      </c>
      <c r="D213" t="s">
        <v>30</v>
      </c>
      <c r="E213" s="29" t="s">
        <v>278</v>
      </c>
      <c r="F213" s="28">
        <v>7027220</v>
      </c>
      <c r="G213" s="28" t="s">
        <v>32</v>
      </c>
      <c r="H213" s="28"/>
      <c r="I213" s="29"/>
      <c r="J213" s="29">
        <v>509.5</v>
      </c>
      <c r="K213" s="29">
        <v>66137.490000000005</v>
      </c>
      <c r="L213" s="29">
        <v>346.29</v>
      </c>
      <c r="M213" s="29">
        <v>27.54</v>
      </c>
      <c r="N213" s="29">
        <v>2021.93</v>
      </c>
      <c r="O213" s="29"/>
      <c r="P213" s="29">
        <v>80768.37</v>
      </c>
      <c r="Q213" s="29"/>
      <c r="R213" s="29">
        <v>435.14</v>
      </c>
      <c r="S213" s="29">
        <v>10.87</v>
      </c>
      <c r="T213" s="29">
        <v>189.55</v>
      </c>
      <c r="U213" s="29">
        <v>2655.34</v>
      </c>
      <c r="V213" s="29">
        <v>58.13</v>
      </c>
      <c r="W213" s="29"/>
      <c r="X213" s="29"/>
      <c r="Y213" s="29"/>
      <c r="Z213" s="29"/>
      <c r="AA213" s="28"/>
      <c r="AB213" s="29">
        <v>584.4</v>
      </c>
      <c r="AC213" s="29">
        <v>1337.55</v>
      </c>
      <c r="AD213" s="29">
        <v>7.34</v>
      </c>
    </row>
    <row r="214" spans="1:30">
      <c r="A214" t="str">
        <f>VLOOKUP(F214,info!$A$2:$G$49,3,FALSE)</f>
        <v>Subaru</v>
      </c>
      <c r="B214" s="4">
        <v>25</v>
      </c>
      <c r="C214" t="s">
        <v>366</v>
      </c>
      <c r="D214" t="s">
        <v>30</v>
      </c>
      <c r="E214" s="29" t="s">
        <v>279</v>
      </c>
      <c r="F214" s="28">
        <v>2675308</v>
      </c>
      <c r="G214" s="28" t="s">
        <v>32</v>
      </c>
      <c r="H214" s="28"/>
      <c r="I214" s="29"/>
      <c r="J214" s="29">
        <v>1497.4</v>
      </c>
      <c r="K214" s="29">
        <v>186840.71</v>
      </c>
      <c r="L214" s="29">
        <v>901.41</v>
      </c>
      <c r="M214" s="29">
        <v>246.33</v>
      </c>
      <c r="N214" s="29">
        <v>14058.67</v>
      </c>
      <c r="O214" s="29"/>
      <c r="P214" s="29">
        <v>227564.2</v>
      </c>
      <c r="Q214" s="29"/>
      <c r="R214" s="29">
        <v>548.05999999999995</v>
      </c>
      <c r="S214" s="29">
        <v>188.8</v>
      </c>
      <c r="T214" s="29">
        <v>238.63</v>
      </c>
      <c r="U214" s="29">
        <v>6652.74</v>
      </c>
      <c r="V214" s="29">
        <v>277.7</v>
      </c>
      <c r="W214" s="29"/>
      <c r="X214" s="29"/>
      <c r="Y214" s="29"/>
      <c r="Z214" s="29"/>
      <c r="AA214" s="28"/>
      <c r="AB214" s="29">
        <v>2213.83</v>
      </c>
      <c r="AC214" s="29">
        <v>5258.93</v>
      </c>
      <c r="AD214" s="29">
        <v>113.85</v>
      </c>
    </row>
    <row r="215" spans="1:30">
      <c r="A215" t="str">
        <f>VLOOKUP(F215,info!$A$2:$G$49,3,FALSE)</f>
        <v>Mitsubishi</v>
      </c>
      <c r="B215" s="4">
        <v>26</v>
      </c>
      <c r="C215" t="s">
        <v>366</v>
      </c>
      <c r="D215" t="s">
        <v>30</v>
      </c>
      <c r="E215" s="29" t="s">
        <v>280</v>
      </c>
      <c r="F215" s="28">
        <v>7027220</v>
      </c>
      <c r="G215" s="28" t="s">
        <v>34</v>
      </c>
      <c r="H215" s="28"/>
      <c r="I215" s="29"/>
      <c r="J215" s="29">
        <v>1331.59</v>
      </c>
      <c r="K215" s="29">
        <v>183948.2</v>
      </c>
      <c r="L215" s="29">
        <v>802.8</v>
      </c>
      <c r="M215" s="29">
        <v>96.8</v>
      </c>
      <c r="N215" s="29">
        <v>11394.39</v>
      </c>
      <c r="O215" s="29"/>
      <c r="P215" s="29">
        <v>212506.16</v>
      </c>
      <c r="Q215" s="29"/>
      <c r="R215" s="29">
        <v>1881.49</v>
      </c>
      <c r="S215" s="29">
        <v>63.21</v>
      </c>
      <c r="T215" s="29">
        <v>299.64999999999998</v>
      </c>
      <c r="U215" s="29">
        <v>6733</v>
      </c>
      <c r="V215" s="29">
        <v>313.2</v>
      </c>
      <c r="W215" s="29"/>
      <c r="X215" s="29"/>
      <c r="Y215" s="29"/>
      <c r="Z215" s="29"/>
      <c r="AA215" s="28"/>
      <c r="AB215" s="29">
        <v>2062.61</v>
      </c>
      <c r="AC215" s="29">
        <v>4445.96</v>
      </c>
      <c r="AD215" s="29">
        <v>173.39</v>
      </c>
    </row>
    <row r="216" spans="1:30">
      <c r="A216" t="str">
        <f>VLOOKUP(F216,info!$A$2:$G$49,3,FALSE)</f>
        <v>Fiat</v>
      </c>
      <c r="B216" s="4">
        <v>27</v>
      </c>
      <c r="C216" t="s">
        <v>366</v>
      </c>
      <c r="D216" t="s">
        <v>30</v>
      </c>
      <c r="E216" s="29" t="s">
        <v>281</v>
      </c>
      <c r="F216" s="28">
        <v>5751910</v>
      </c>
      <c r="G216" s="28" t="s">
        <v>32</v>
      </c>
      <c r="H216" s="28"/>
      <c r="I216" s="29"/>
      <c r="J216" s="29">
        <v>949.42</v>
      </c>
      <c r="K216" s="29">
        <v>202649.46</v>
      </c>
      <c r="L216" s="29">
        <v>466.98</v>
      </c>
      <c r="M216" s="29">
        <v>34.200000000000003</v>
      </c>
      <c r="N216" s="29">
        <v>6722.37</v>
      </c>
      <c r="O216" s="29"/>
      <c r="P216" s="29">
        <v>226709.71</v>
      </c>
      <c r="Q216" s="29"/>
      <c r="R216" s="29">
        <v>947.14</v>
      </c>
      <c r="S216" s="29">
        <v>67.56</v>
      </c>
      <c r="T216" s="29">
        <v>140.51</v>
      </c>
      <c r="U216" s="29">
        <v>17355.580000000002</v>
      </c>
      <c r="V216" s="29">
        <v>314.79000000000002</v>
      </c>
      <c r="W216" s="29"/>
      <c r="X216" s="29"/>
      <c r="Y216" s="29"/>
      <c r="Z216" s="29"/>
      <c r="AA216" s="28"/>
      <c r="AB216" s="29">
        <v>1883.8</v>
      </c>
      <c r="AC216" s="29">
        <v>5659.71</v>
      </c>
      <c r="AD216" s="29">
        <v>170.78</v>
      </c>
    </row>
    <row r="217" spans="1:30">
      <c r="A217" t="str">
        <f>VLOOKUP(F217,info!$A$2:$G$49,3,FALSE)</f>
        <v>Subaru</v>
      </c>
      <c r="B217" s="4">
        <v>28</v>
      </c>
      <c r="C217" t="s">
        <v>366</v>
      </c>
      <c r="D217" t="s">
        <v>30</v>
      </c>
      <c r="E217" s="29" t="s">
        <v>282</v>
      </c>
      <c r="F217" s="28">
        <v>2675308</v>
      </c>
      <c r="G217" s="28" t="s">
        <v>32</v>
      </c>
      <c r="H217" s="28"/>
      <c r="I217" s="29"/>
      <c r="J217" s="29">
        <v>1785.66</v>
      </c>
      <c r="K217" s="29">
        <v>238777.88</v>
      </c>
      <c r="L217" s="29">
        <v>1078.6199999999999</v>
      </c>
      <c r="M217" s="29">
        <v>166.11</v>
      </c>
      <c r="N217" s="29">
        <v>17730.88</v>
      </c>
      <c r="O217" s="29"/>
      <c r="P217" s="29">
        <v>288977.21000000002</v>
      </c>
      <c r="Q217" s="29"/>
      <c r="R217" s="29">
        <v>675.21</v>
      </c>
      <c r="S217" s="29">
        <v>117.1</v>
      </c>
      <c r="T217" s="29">
        <v>225.76</v>
      </c>
      <c r="U217" s="29">
        <v>8014.53</v>
      </c>
      <c r="V217" s="29">
        <v>367.77</v>
      </c>
      <c r="W217" s="29"/>
      <c r="X217" s="29"/>
      <c r="Y217" s="29"/>
      <c r="Z217" s="29"/>
      <c r="AA217" s="28"/>
      <c r="AB217" s="29">
        <v>104.76</v>
      </c>
      <c r="AC217" s="29">
        <v>75.77</v>
      </c>
      <c r="AD217" s="29">
        <v>453.22</v>
      </c>
    </row>
    <row r="218" spans="1:30">
      <c r="A218" t="str">
        <f>VLOOKUP(F218,info!$A$2:$G$49,3,FALSE)</f>
        <v>Renault</v>
      </c>
      <c r="B218" s="4">
        <v>29</v>
      </c>
      <c r="C218" t="s">
        <v>366</v>
      </c>
      <c r="D218" t="s">
        <v>30</v>
      </c>
      <c r="E218" s="29" t="s">
        <v>283</v>
      </c>
      <c r="F218" s="28">
        <v>1147816</v>
      </c>
      <c r="G218" s="28" t="s">
        <v>52</v>
      </c>
      <c r="H218" s="28"/>
      <c r="I218" s="29"/>
      <c r="J218" s="29">
        <v>537.30999999999995</v>
      </c>
      <c r="K218" s="29">
        <v>109163.26</v>
      </c>
      <c r="L218" s="29">
        <v>286.19</v>
      </c>
      <c r="M218" s="29">
        <v>19.670000000000002</v>
      </c>
      <c r="N218" s="29">
        <v>1264.48</v>
      </c>
      <c r="O218" s="29"/>
      <c r="P218" s="29">
        <v>126401.99</v>
      </c>
      <c r="Q218" s="29"/>
      <c r="R218" s="29">
        <v>603.79</v>
      </c>
      <c r="S218" s="29">
        <v>47.66</v>
      </c>
      <c r="T218" s="29">
        <v>329.07</v>
      </c>
      <c r="U218" s="29">
        <v>5948.38</v>
      </c>
      <c r="V218" s="29">
        <v>157.93</v>
      </c>
      <c r="W218" s="29"/>
      <c r="X218" s="29"/>
      <c r="Y218" s="29"/>
      <c r="Z218" s="29"/>
      <c r="AA218" s="28"/>
      <c r="AB218" s="29">
        <v>915.63</v>
      </c>
      <c r="AC218" s="29">
        <v>1564.52</v>
      </c>
      <c r="AD218" s="29">
        <v>202.39</v>
      </c>
    </row>
    <row r="219" spans="1:30">
      <c r="A219" t="str">
        <f>VLOOKUP(F219,info!$A$2:$G$49,3,FALSE)</f>
        <v>Ford</v>
      </c>
      <c r="B219" s="4">
        <v>30</v>
      </c>
      <c r="C219" t="s">
        <v>366</v>
      </c>
      <c r="D219" t="s">
        <v>30</v>
      </c>
      <c r="E219" s="29" t="s">
        <v>284</v>
      </c>
      <c r="F219" s="28">
        <v>6917835</v>
      </c>
      <c r="G219" s="28" t="s">
        <v>34</v>
      </c>
      <c r="H219" s="28"/>
      <c r="I219" s="29"/>
      <c r="J219" s="29">
        <v>711.26</v>
      </c>
      <c r="K219" s="29">
        <v>134306.35</v>
      </c>
      <c r="L219" s="29">
        <v>441.56</v>
      </c>
      <c r="M219" s="29">
        <v>116.31</v>
      </c>
      <c r="N219" s="29">
        <v>4534.6000000000004</v>
      </c>
      <c r="O219" s="29"/>
      <c r="P219" s="29">
        <v>159982.97</v>
      </c>
      <c r="Q219" s="29"/>
      <c r="R219" s="29">
        <v>586.99</v>
      </c>
      <c r="S219" s="29">
        <v>197.33</v>
      </c>
      <c r="T219" s="29">
        <v>46.51</v>
      </c>
      <c r="U219" s="29">
        <v>13825.39</v>
      </c>
      <c r="V219" s="29">
        <v>295.8</v>
      </c>
      <c r="W219" s="29"/>
      <c r="X219" s="29"/>
      <c r="Y219" s="29"/>
      <c r="Z219" s="29"/>
      <c r="AA219" s="28"/>
      <c r="AB219" s="29">
        <v>934.48</v>
      </c>
      <c r="AC219" s="29">
        <v>3388.79</v>
      </c>
      <c r="AD219" s="29">
        <v>387.2</v>
      </c>
    </row>
    <row r="220" spans="1:30">
      <c r="A220" t="str">
        <f>VLOOKUP(F220,info!$A$2:$G$49,3,FALSE)</f>
        <v>Hyundai</v>
      </c>
      <c r="B220" s="4">
        <v>31</v>
      </c>
      <c r="C220" t="s">
        <v>366</v>
      </c>
      <c r="D220" t="s">
        <v>30</v>
      </c>
      <c r="E220" s="29" t="s">
        <v>285</v>
      </c>
      <c r="F220" s="28">
        <v>9602910</v>
      </c>
      <c r="G220" s="28" t="s">
        <v>52</v>
      </c>
      <c r="H220" s="28"/>
      <c r="I220" s="29"/>
      <c r="J220" s="29">
        <v>1190.6300000000001</v>
      </c>
      <c r="K220" s="29">
        <v>205608.01</v>
      </c>
      <c r="L220" s="29">
        <v>1307.8800000000001</v>
      </c>
      <c r="M220" s="29">
        <v>266.55</v>
      </c>
      <c r="N220" s="29">
        <v>9919.01</v>
      </c>
      <c r="O220" s="29"/>
      <c r="P220" s="29">
        <v>275961.33</v>
      </c>
      <c r="Q220" s="29"/>
      <c r="R220" s="29">
        <v>904.44</v>
      </c>
      <c r="S220" s="29">
        <v>143.97</v>
      </c>
      <c r="T220" s="29">
        <v>129.32</v>
      </c>
      <c r="U220" s="29">
        <v>10033</v>
      </c>
      <c r="V220" s="29">
        <v>371.82</v>
      </c>
      <c r="W220" s="29"/>
      <c r="X220" s="29"/>
      <c r="Y220" s="29"/>
      <c r="Z220" s="29"/>
      <c r="AA220" s="28"/>
      <c r="AB220" s="29">
        <v>1167.25</v>
      </c>
      <c r="AC220" s="29">
        <v>3355.3</v>
      </c>
      <c r="AD220" s="29">
        <v>384.89</v>
      </c>
    </row>
    <row r="221" spans="1:30">
      <c r="A221" t="str">
        <f>VLOOKUP(F221,info!$A$2:$G$49,3,FALSE)</f>
        <v>Hyundai</v>
      </c>
      <c r="B221" s="4">
        <v>32</v>
      </c>
      <c r="C221" t="s">
        <v>366</v>
      </c>
      <c r="D221" t="s">
        <v>30</v>
      </c>
      <c r="E221" s="29" t="s">
        <v>286</v>
      </c>
      <c r="F221" s="28">
        <v>9602910</v>
      </c>
      <c r="G221" s="28" t="s">
        <v>52</v>
      </c>
      <c r="H221" s="28"/>
      <c r="I221" s="29"/>
      <c r="J221" s="29">
        <v>990.74</v>
      </c>
      <c r="K221" s="29">
        <v>167655.17000000001</v>
      </c>
      <c r="L221" s="29">
        <v>1094.2</v>
      </c>
      <c r="M221" s="29">
        <v>298.7</v>
      </c>
      <c r="N221" s="29">
        <v>8671.81</v>
      </c>
      <c r="O221" s="29"/>
      <c r="P221" s="29">
        <v>227280.87</v>
      </c>
      <c r="Q221" s="29"/>
      <c r="R221" s="29">
        <v>911.75</v>
      </c>
      <c r="S221" s="29">
        <v>122.56</v>
      </c>
      <c r="T221" s="29">
        <v>169.62</v>
      </c>
      <c r="U221" s="29">
        <v>8457.86</v>
      </c>
      <c r="V221" s="29">
        <v>277.79000000000002</v>
      </c>
      <c r="W221" s="29"/>
      <c r="X221" s="29"/>
      <c r="Y221" s="29"/>
      <c r="Z221" s="29"/>
      <c r="AA221" s="28"/>
      <c r="AB221" s="29">
        <v>813.72</v>
      </c>
      <c r="AC221" s="29">
        <v>4692.78</v>
      </c>
      <c r="AD221" s="29">
        <v>282.17</v>
      </c>
    </row>
    <row r="222" spans="1:30">
      <c r="A222" t="str">
        <f>VLOOKUP(F222,info!$A$2:$G$49,3,FALSE)</f>
        <v>Hyundai</v>
      </c>
      <c r="B222" s="4">
        <v>33</v>
      </c>
      <c r="C222" t="s">
        <v>366</v>
      </c>
      <c r="D222" t="s">
        <v>30</v>
      </c>
      <c r="E222" s="29" t="s">
        <v>287</v>
      </c>
      <c r="F222" s="28">
        <v>9602910</v>
      </c>
      <c r="G222" s="28" t="s">
        <v>34</v>
      </c>
      <c r="H222" s="28"/>
      <c r="I222" s="29"/>
      <c r="J222" s="29">
        <v>2139.88</v>
      </c>
      <c r="K222" s="29">
        <v>383572.47</v>
      </c>
      <c r="L222" s="29">
        <v>1735.28</v>
      </c>
      <c r="M222" s="29">
        <v>327.45</v>
      </c>
      <c r="N222" s="29">
        <v>15644.56</v>
      </c>
      <c r="O222" s="29"/>
      <c r="P222" s="29">
        <v>472796.28</v>
      </c>
      <c r="Q222" s="29"/>
      <c r="R222" s="29">
        <v>1577.67</v>
      </c>
      <c r="S222" s="29">
        <v>398.3</v>
      </c>
      <c r="T222" s="29">
        <v>338.75</v>
      </c>
      <c r="U222" s="29">
        <v>16290.96</v>
      </c>
      <c r="V222" s="29">
        <v>491.93</v>
      </c>
      <c r="W222" s="29"/>
      <c r="X222" s="29"/>
      <c r="Y222" s="29"/>
      <c r="Z222" s="29"/>
      <c r="AA222" s="28"/>
      <c r="AB222" s="29">
        <v>89.45</v>
      </c>
      <c r="AC222" s="29">
        <v>65.13</v>
      </c>
      <c r="AD222" s="29">
        <v>2302.81</v>
      </c>
    </row>
    <row r="223" spans="1:30">
      <c r="A223" t="str">
        <f>VLOOKUP(F223,info!$A$2:$G$49,3,FALSE)</f>
        <v>Hyundai</v>
      </c>
      <c r="B223" s="4">
        <v>34</v>
      </c>
      <c r="C223" t="s">
        <v>366</v>
      </c>
      <c r="D223" t="s">
        <v>30</v>
      </c>
      <c r="E223" s="29" t="s">
        <v>288</v>
      </c>
      <c r="F223" s="28">
        <v>9602910</v>
      </c>
      <c r="G223" s="28" t="s">
        <v>52</v>
      </c>
      <c r="H223" s="28"/>
      <c r="I223" s="29"/>
      <c r="J223" s="29">
        <v>1287.54</v>
      </c>
      <c r="K223" s="29">
        <v>280772.40999999997</v>
      </c>
      <c r="L223" s="29">
        <v>1637.22</v>
      </c>
      <c r="M223" s="29">
        <v>332.08</v>
      </c>
      <c r="N223" s="29">
        <v>10682.54</v>
      </c>
      <c r="O223" s="29"/>
      <c r="P223" s="29">
        <v>392332.95</v>
      </c>
      <c r="Q223" s="29"/>
      <c r="R223" s="29">
        <v>1296.27</v>
      </c>
      <c r="S223" s="29">
        <v>23.03</v>
      </c>
      <c r="T223" s="29">
        <v>154</v>
      </c>
      <c r="U223" s="29">
        <v>14898.57</v>
      </c>
      <c r="V223" s="29">
        <v>486.76</v>
      </c>
      <c r="W223" s="29"/>
      <c r="X223" s="29"/>
      <c r="Y223" s="29"/>
      <c r="Z223" s="29"/>
      <c r="AA223" s="28"/>
      <c r="AB223" s="29">
        <v>1079.3699999999999</v>
      </c>
      <c r="AC223" s="29">
        <v>3107.29</v>
      </c>
      <c r="AD223" s="29">
        <v>961.42</v>
      </c>
    </row>
    <row r="224" spans="1:30">
      <c r="A224" t="str">
        <f>VLOOKUP(F224,info!$A$2:$G$49,3,FALSE)</f>
        <v>Hyundai</v>
      </c>
      <c r="B224" s="4">
        <v>35</v>
      </c>
      <c r="C224" t="s">
        <v>366</v>
      </c>
      <c r="D224" t="s">
        <v>30</v>
      </c>
      <c r="E224" s="29" t="s">
        <v>289</v>
      </c>
      <c r="F224" s="28">
        <v>5826120</v>
      </c>
      <c r="G224" s="28" t="s">
        <v>32</v>
      </c>
      <c r="H224" s="28"/>
      <c r="I224" s="29"/>
      <c r="J224" s="29">
        <v>1227.1600000000001</v>
      </c>
      <c r="K224" s="29">
        <v>277329.68</v>
      </c>
      <c r="L224" s="29">
        <v>1401.23</v>
      </c>
      <c r="M224" s="29">
        <v>120.52</v>
      </c>
      <c r="N224" s="29">
        <v>8554.26</v>
      </c>
      <c r="O224" s="29"/>
      <c r="P224" s="29">
        <v>394335.83</v>
      </c>
      <c r="Q224" s="29"/>
      <c r="R224" s="29">
        <v>1357.24</v>
      </c>
      <c r="S224" s="29">
        <v>16.420000000000002</v>
      </c>
      <c r="T224" s="29">
        <v>412.16</v>
      </c>
      <c r="U224" s="29">
        <v>14616.02</v>
      </c>
      <c r="V224" s="29">
        <v>590.11</v>
      </c>
      <c r="W224" s="29"/>
      <c r="X224" s="29"/>
      <c r="Y224" s="29"/>
      <c r="Z224" s="29"/>
      <c r="AA224" s="28"/>
      <c r="AB224" s="29">
        <v>2935.21</v>
      </c>
      <c r="AC224" s="29">
        <v>4306.05</v>
      </c>
      <c r="AD224" s="29">
        <v>662.06</v>
      </c>
    </row>
    <row r="225" spans="1:30">
      <c r="A225" t="str">
        <f>VLOOKUP(F225,info!$A$2:$G$49,3,FALSE)</f>
        <v>Hyundai</v>
      </c>
      <c r="B225" s="4">
        <v>36</v>
      </c>
      <c r="C225" t="s">
        <v>366</v>
      </c>
      <c r="D225" t="s">
        <v>30</v>
      </c>
      <c r="E225" s="29" t="s">
        <v>290</v>
      </c>
      <c r="F225" s="28">
        <v>5826120</v>
      </c>
      <c r="G225" s="28" t="s">
        <v>34</v>
      </c>
      <c r="H225" s="28"/>
      <c r="I225" s="29"/>
      <c r="J225" s="29">
        <v>3271.94</v>
      </c>
      <c r="K225" s="29">
        <v>374408.53</v>
      </c>
      <c r="L225" s="29">
        <v>1761.78</v>
      </c>
      <c r="M225" s="29">
        <v>25.57</v>
      </c>
      <c r="N225" s="29">
        <v>32211.66</v>
      </c>
      <c r="O225" s="29"/>
      <c r="P225" s="29">
        <v>418722.22</v>
      </c>
      <c r="Q225" s="29"/>
      <c r="R225" s="29">
        <v>1949.5</v>
      </c>
      <c r="S225" s="29">
        <v>152.87</v>
      </c>
      <c r="T225" s="29">
        <v>924.33</v>
      </c>
      <c r="U225" s="29">
        <v>15914.64</v>
      </c>
      <c r="V225" s="29">
        <v>467.27</v>
      </c>
      <c r="W225" s="29"/>
      <c r="X225" s="29"/>
      <c r="Y225" s="29"/>
      <c r="Z225" s="29"/>
      <c r="AA225" s="28"/>
      <c r="AB225" s="29">
        <v>1421.62</v>
      </c>
      <c r="AC225" s="29">
        <v>1994.6</v>
      </c>
      <c r="AD225" s="29">
        <v>1693.32</v>
      </c>
    </row>
    <row r="226" spans="1:30">
      <c r="A226" t="str">
        <f>VLOOKUP(F226,info!$A$2:$G$49,3,FALSE)</f>
        <v>Ford</v>
      </c>
      <c r="B226" s="4">
        <v>37</v>
      </c>
      <c r="C226" t="s">
        <v>366</v>
      </c>
      <c r="D226" t="s">
        <v>30</v>
      </c>
      <c r="E226" s="29" t="s">
        <v>291</v>
      </c>
      <c r="F226" s="28">
        <v>6917835</v>
      </c>
      <c r="G226" s="28" t="s">
        <v>32</v>
      </c>
      <c r="H226" s="28"/>
      <c r="I226" s="29"/>
      <c r="J226" s="29">
        <v>2222.48</v>
      </c>
      <c r="K226" s="29">
        <v>367669.36</v>
      </c>
      <c r="L226" s="29">
        <v>1528.74</v>
      </c>
      <c r="M226" s="29">
        <v>401.64</v>
      </c>
      <c r="N226" s="29">
        <v>12511.69</v>
      </c>
      <c r="O226" s="29"/>
      <c r="P226" s="29">
        <v>397638.63</v>
      </c>
      <c r="Q226" s="29"/>
      <c r="R226" s="29">
        <v>1351.11</v>
      </c>
      <c r="S226" s="29">
        <v>96.56</v>
      </c>
      <c r="T226" s="29">
        <v>250.28</v>
      </c>
      <c r="U226" s="29">
        <v>33322.42</v>
      </c>
      <c r="V226" s="29">
        <v>513.91999999999996</v>
      </c>
      <c r="W226" s="29"/>
      <c r="X226" s="29"/>
      <c r="Y226" s="29"/>
      <c r="Z226" s="29"/>
      <c r="AA226" s="28"/>
      <c r="AB226" s="29">
        <v>1156.8599999999999</v>
      </c>
      <c r="AC226" s="29">
        <v>3161.27</v>
      </c>
      <c r="AD226" s="29">
        <v>1927.4</v>
      </c>
    </row>
    <row r="227" spans="1:30">
      <c r="A227" t="str">
        <f>VLOOKUP(F227,info!$A$2:$G$49,3,FALSE)</f>
        <v>Hyundai</v>
      </c>
      <c r="B227" s="4">
        <v>38</v>
      </c>
      <c r="C227" t="s">
        <v>366</v>
      </c>
      <c r="D227" t="s">
        <v>30</v>
      </c>
      <c r="E227" s="29" t="s">
        <v>292</v>
      </c>
      <c r="F227" s="28">
        <v>5826120</v>
      </c>
      <c r="G227" s="28" t="s">
        <v>34</v>
      </c>
      <c r="H227" s="28"/>
      <c r="I227" s="29"/>
      <c r="J227" s="29">
        <v>1234.96</v>
      </c>
      <c r="K227" s="29">
        <v>277077.39</v>
      </c>
      <c r="L227" s="29">
        <v>1581.49</v>
      </c>
      <c r="M227" s="29">
        <v>320.24</v>
      </c>
      <c r="N227" s="29">
        <v>7969.72</v>
      </c>
      <c r="O227" s="29"/>
      <c r="P227" s="29">
        <v>394341.3</v>
      </c>
      <c r="Q227" s="29"/>
      <c r="R227" s="29">
        <v>1537.26</v>
      </c>
      <c r="S227" s="29">
        <v>137.29</v>
      </c>
      <c r="T227" s="29">
        <v>399.11</v>
      </c>
      <c r="U227" s="29">
        <v>14689.9</v>
      </c>
      <c r="V227" s="29">
        <v>661.94</v>
      </c>
      <c r="W227" s="29"/>
      <c r="X227" s="29"/>
      <c r="Y227" s="29"/>
      <c r="Z227" s="29"/>
      <c r="AA227" s="28"/>
      <c r="AB227" s="29">
        <v>1961.47</v>
      </c>
      <c r="AC227" s="29">
        <v>3283.28</v>
      </c>
      <c r="AD227" s="29">
        <v>1138.3699999999999</v>
      </c>
    </row>
    <row r="228" spans="1:30">
      <c r="A228" t="str">
        <f>VLOOKUP(F228,info!$A$2:$G$49,3,FALSE)</f>
        <v>Renault</v>
      </c>
      <c r="B228" s="4">
        <v>39</v>
      </c>
      <c r="C228" t="s">
        <v>366</v>
      </c>
      <c r="D228" t="s">
        <v>30</v>
      </c>
      <c r="E228" s="29" t="s">
        <v>293</v>
      </c>
      <c r="F228" s="28">
        <v>1147816</v>
      </c>
      <c r="G228" s="28" t="s">
        <v>52</v>
      </c>
      <c r="H228" s="28"/>
      <c r="I228" s="29"/>
      <c r="J228" s="29">
        <v>845.33</v>
      </c>
      <c r="K228" s="29">
        <v>235970.59</v>
      </c>
      <c r="L228" s="29">
        <v>1318.55</v>
      </c>
      <c r="M228" s="29">
        <v>11.64</v>
      </c>
      <c r="N228" s="29">
        <v>2218.59</v>
      </c>
      <c r="O228" s="29"/>
      <c r="P228" s="29">
        <v>278856.05</v>
      </c>
      <c r="Q228" s="29"/>
      <c r="R228" s="29">
        <v>1041.9100000000001</v>
      </c>
      <c r="S228" s="29">
        <v>226.64</v>
      </c>
      <c r="T228" s="29">
        <v>783.89</v>
      </c>
      <c r="U228" s="29">
        <v>14204.52</v>
      </c>
      <c r="V228" s="29">
        <v>391.42</v>
      </c>
      <c r="W228" s="29"/>
      <c r="X228" s="29"/>
      <c r="Y228" s="29"/>
      <c r="Z228" s="29"/>
      <c r="AA228" s="28"/>
      <c r="AB228" s="29">
        <v>140.36000000000001</v>
      </c>
      <c r="AC228" s="29">
        <v>207.36</v>
      </c>
      <c r="AD228" s="29">
        <v>385.11</v>
      </c>
    </row>
    <row r="229" spans="1:30">
      <c r="A229" t="str">
        <f>VLOOKUP(F229,info!$A$2:$G$49,3,FALSE)</f>
        <v>Subaru</v>
      </c>
      <c r="B229" s="4">
        <v>40</v>
      </c>
      <c r="C229" t="s">
        <v>366</v>
      </c>
      <c r="D229" t="s">
        <v>30</v>
      </c>
      <c r="E229" s="29" t="s">
        <v>294</v>
      </c>
      <c r="F229" s="28">
        <v>2675308</v>
      </c>
      <c r="G229" s="28" t="s">
        <v>34</v>
      </c>
      <c r="H229" s="28"/>
      <c r="I229" s="29"/>
      <c r="J229" s="29">
        <v>1034.93</v>
      </c>
      <c r="K229" s="29">
        <v>177583.47</v>
      </c>
      <c r="L229" s="29">
        <v>925.84</v>
      </c>
      <c r="M229" s="29">
        <v>5.79</v>
      </c>
      <c r="N229" s="29">
        <v>13411.63</v>
      </c>
      <c r="O229" s="29"/>
      <c r="P229" s="29">
        <v>241571.13</v>
      </c>
      <c r="Q229" s="29"/>
      <c r="R229" s="29">
        <v>593.14</v>
      </c>
      <c r="S229" s="29">
        <v>13.92</v>
      </c>
      <c r="T229" s="29">
        <v>296.38</v>
      </c>
      <c r="U229" s="29">
        <v>8116.9</v>
      </c>
      <c r="V229" s="29">
        <v>346.34</v>
      </c>
      <c r="W229" s="29"/>
      <c r="X229" s="29"/>
      <c r="Y229" s="29"/>
      <c r="Z229" s="29"/>
      <c r="AA229" s="28"/>
      <c r="AB229" s="29">
        <v>124.42</v>
      </c>
      <c r="AC229" s="29">
        <v>179.48</v>
      </c>
      <c r="AD229" s="29">
        <v>142.4</v>
      </c>
    </row>
    <row r="230" spans="1:30">
      <c r="A230" t="str">
        <f>VLOOKUP(F230,info!$A$2:$G$49,3,FALSE)</f>
        <v>Fiat</v>
      </c>
      <c r="B230" s="4">
        <v>41</v>
      </c>
      <c r="C230" t="s">
        <v>366</v>
      </c>
      <c r="D230" t="s">
        <v>30</v>
      </c>
      <c r="E230" s="29" t="s">
        <v>295</v>
      </c>
      <c r="F230" s="28">
        <v>5751910</v>
      </c>
      <c r="G230" s="28" t="s">
        <v>34</v>
      </c>
      <c r="H230" s="28"/>
      <c r="I230" s="29"/>
      <c r="J230" s="29">
        <v>672.84</v>
      </c>
      <c r="K230" s="29">
        <v>270018.61</v>
      </c>
      <c r="L230" s="29">
        <v>1469.38</v>
      </c>
      <c r="M230" s="29">
        <v>64.31</v>
      </c>
      <c r="N230" s="29">
        <v>1634.79</v>
      </c>
      <c r="O230" s="29"/>
      <c r="P230" s="29">
        <v>329886.57</v>
      </c>
      <c r="Q230" s="29"/>
      <c r="R230" s="29">
        <v>805.93</v>
      </c>
      <c r="S230" s="29">
        <v>0.54</v>
      </c>
      <c r="T230" s="29">
        <v>712.95</v>
      </c>
      <c r="U230" s="29">
        <v>24837.27</v>
      </c>
      <c r="V230" s="29">
        <v>702.15</v>
      </c>
      <c r="W230" s="29"/>
      <c r="X230" s="29"/>
      <c r="Y230" s="29"/>
      <c r="Z230" s="29"/>
      <c r="AA230" s="28"/>
      <c r="AB230" s="29">
        <v>1595.24</v>
      </c>
      <c r="AC230" s="29">
        <v>5066.54</v>
      </c>
      <c r="AD230" s="29">
        <v>675.23</v>
      </c>
    </row>
    <row r="231" spans="1:30">
      <c r="A231" t="str">
        <f>VLOOKUP(F231,info!$A$2:$G$49,3,FALSE)</f>
        <v>Renault</v>
      </c>
      <c r="B231" s="4">
        <v>42</v>
      </c>
      <c r="C231" t="s">
        <v>366</v>
      </c>
      <c r="D231" t="s">
        <v>30</v>
      </c>
      <c r="E231" s="29" t="s">
        <v>296</v>
      </c>
      <c r="F231" s="28">
        <v>1147816</v>
      </c>
      <c r="G231" s="28" t="s">
        <v>34</v>
      </c>
      <c r="H231" s="28"/>
      <c r="I231" s="29"/>
      <c r="J231" s="29">
        <v>2823.53</v>
      </c>
      <c r="K231" s="29">
        <v>396312.7</v>
      </c>
      <c r="L231" s="29">
        <v>1319.15</v>
      </c>
      <c r="M231" s="29">
        <v>306.01</v>
      </c>
      <c r="N231" s="29">
        <v>44459.29</v>
      </c>
      <c r="O231" s="29"/>
      <c r="P231" s="29">
        <v>444425.68</v>
      </c>
      <c r="Q231" s="29"/>
      <c r="R231" s="29">
        <v>1610.53</v>
      </c>
      <c r="S231" s="29">
        <v>191.43</v>
      </c>
      <c r="T231" s="29">
        <v>267.57</v>
      </c>
      <c r="U231" s="29">
        <v>26429.5</v>
      </c>
      <c r="V231" s="29">
        <v>467.53</v>
      </c>
      <c r="W231" s="29"/>
      <c r="X231" s="29"/>
      <c r="Y231" s="29"/>
      <c r="Z231" s="29"/>
      <c r="AA231" s="28"/>
      <c r="AB231" s="29">
        <v>1605.62</v>
      </c>
      <c r="AC231" s="29">
        <v>1260.98</v>
      </c>
      <c r="AD231" s="29">
        <v>1991.7</v>
      </c>
    </row>
    <row r="232" spans="1:30">
      <c r="A232" t="str">
        <f>VLOOKUP(F232,info!$A$2:$G$49,3,FALSE)</f>
        <v>Fiat</v>
      </c>
      <c r="B232" s="4">
        <v>43</v>
      </c>
      <c r="C232" t="s">
        <v>366</v>
      </c>
      <c r="D232" t="s">
        <v>30</v>
      </c>
      <c r="E232" s="29" t="s">
        <v>297</v>
      </c>
      <c r="F232" s="28">
        <v>5751910</v>
      </c>
      <c r="G232" s="28" t="s">
        <v>32</v>
      </c>
      <c r="H232" s="28"/>
      <c r="I232" s="29"/>
      <c r="J232" s="29">
        <v>1828.66</v>
      </c>
      <c r="K232" s="29">
        <v>419405.56</v>
      </c>
      <c r="L232" s="29">
        <v>1898.51</v>
      </c>
      <c r="M232" s="29">
        <v>403.75</v>
      </c>
      <c r="N232" s="29">
        <v>3411.47</v>
      </c>
      <c r="O232" s="29"/>
      <c r="P232" s="29">
        <v>454829.47</v>
      </c>
      <c r="Q232" s="29"/>
      <c r="R232" s="29">
        <v>1434.41</v>
      </c>
      <c r="S232" s="29">
        <v>62.6</v>
      </c>
      <c r="T232" s="29">
        <v>722.31</v>
      </c>
      <c r="U232" s="29">
        <v>29523.72</v>
      </c>
      <c r="V232" s="29">
        <v>586.33000000000004</v>
      </c>
      <c r="W232" s="29"/>
      <c r="X232" s="29"/>
      <c r="Y232" s="29"/>
      <c r="Z232" s="29"/>
      <c r="AA232" s="28"/>
      <c r="AB232" s="29">
        <v>915.05</v>
      </c>
      <c r="AC232" s="29">
        <v>2081.0100000000002</v>
      </c>
      <c r="AD232" s="29">
        <v>1874.97</v>
      </c>
    </row>
    <row r="233" spans="1:30">
      <c r="A233" t="str">
        <f>VLOOKUP(F233,info!$A$2:$G$49,3,FALSE)</f>
        <v>Hyundai</v>
      </c>
      <c r="B233" s="4">
        <v>44</v>
      </c>
      <c r="C233" t="s">
        <v>366</v>
      </c>
      <c r="D233" t="s">
        <v>30</v>
      </c>
      <c r="E233" s="29" t="s">
        <v>298</v>
      </c>
      <c r="F233" s="28">
        <v>9602910</v>
      </c>
      <c r="G233" s="28" t="s">
        <v>32</v>
      </c>
      <c r="H233" s="28"/>
      <c r="I233" s="29"/>
      <c r="J233" s="29">
        <v>2239.39</v>
      </c>
      <c r="K233" s="29">
        <v>402446.81</v>
      </c>
      <c r="L233" s="29">
        <v>1856.17</v>
      </c>
      <c r="M233" s="29">
        <v>419.12</v>
      </c>
      <c r="N233" s="29">
        <v>15529.12</v>
      </c>
      <c r="O233" s="29"/>
      <c r="P233" s="29">
        <v>511919.48</v>
      </c>
      <c r="Q233" s="29"/>
      <c r="R233" s="29">
        <v>1629.8</v>
      </c>
      <c r="S233" s="29">
        <v>124.71</v>
      </c>
      <c r="T233" s="29">
        <v>407.85</v>
      </c>
      <c r="U233" s="29">
        <v>17300.09</v>
      </c>
      <c r="V233" s="29">
        <v>715.24</v>
      </c>
      <c r="W233" s="29"/>
      <c r="X233" s="29"/>
      <c r="Y233" s="29"/>
      <c r="Z233" s="29"/>
      <c r="AA233" s="28"/>
      <c r="AB233" s="29">
        <v>3964</v>
      </c>
      <c r="AC233" s="29">
        <v>7204.81</v>
      </c>
      <c r="AD233" s="29">
        <v>2219.5</v>
      </c>
    </row>
    <row r="234" spans="1:30">
      <c r="A234" t="str">
        <f>VLOOKUP(F234,info!$A$2:$G$49,3,FALSE)</f>
        <v>Subaru</v>
      </c>
      <c r="B234" s="4">
        <v>45</v>
      </c>
      <c r="C234" t="s">
        <v>366</v>
      </c>
      <c r="D234" t="s">
        <v>30</v>
      </c>
      <c r="E234" s="29" t="s">
        <v>299</v>
      </c>
      <c r="F234" s="28">
        <v>2675308</v>
      </c>
      <c r="G234" s="28" t="s">
        <v>34</v>
      </c>
      <c r="H234" s="28"/>
      <c r="I234" s="29"/>
      <c r="J234" s="29">
        <v>786.49</v>
      </c>
      <c r="K234" s="29">
        <v>128025.02</v>
      </c>
      <c r="L234" s="29">
        <v>859.65</v>
      </c>
      <c r="M234" s="29">
        <v>47</v>
      </c>
      <c r="N234" s="29">
        <v>9318.7900000000009</v>
      </c>
      <c r="O234" s="29"/>
      <c r="P234" s="29">
        <v>166866.35999999999</v>
      </c>
      <c r="Q234" s="29"/>
      <c r="R234" s="29">
        <v>367.27</v>
      </c>
      <c r="S234" s="29">
        <v>6.06</v>
      </c>
      <c r="T234" s="29">
        <v>152.72</v>
      </c>
      <c r="U234" s="29">
        <v>6495.03</v>
      </c>
      <c r="V234" s="29">
        <v>438.39</v>
      </c>
      <c r="W234" s="29"/>
      <c r="X234" s="29"/>
      <c r="Y234" s="29"/>
      <c r="Z234" s="29"/>
      <c r="AA234" s="28"/>
      <c r="AB234" s="29">
        <v>40.78</v>
      </c>
      <c r="AC234" s="29">
        <v>40.229999999999997</v>
      </c>
      <c r="AD234" s="29">
        <v>2.13</v>
      </c>
    </row>
    <row r="235" spans="1:30">
      <c r="A235" t="str">
        <f>VLOOKUP(F235,info!$A$2:$G$49,3,FALSE)</f>
        <v>Renault</v>
      </c>
      <c r="B235" s="4">
        <v>46</v>
      </c>
      <c r="C235" t="s">
        <v>366</v>
      </c>
      <c r="D235" t="s">
        <v>30</v>
      </c>
      <c r="E235" s="29" t="s">
        <v>300</v>
      </c>
      <c r="F235" s="28">
        <v>1147816</v>
      </c>
      <c r="G235" s="28" t="s">
        <v>34</v>
      </c>
      <c r="H235" s="28"/>
      <c r="I235" s="29"/>
      <c r="J235" s="29">
        <v>864.06</v>
      </c>
      <c r="K235" s="29">
        <v>288573.94</v>
      </c>
      <c r="L235" s="29">
        <v>954.9</v>
      </c>
      <c r="M235" s="29">
        <v>114.56</v>
      </c>
      <c r="N235" s="29">
        <v>5740.23</v>
      </c>
      <c r="O235" s="29"/>
      <c r="P235" s="29">
        <v>342990.31</v>
      </c>
      <c r="Q235" s="29"/>
      <c r="R235" s="29">
        <v>888.92</v>
      </c>
      <c r="S235" s="29">
        <v>117.48</v>
      </c>
      <c r="T235" s="29">
        <v>207.73</v>
      </c>
      <c r="U235" s="29">
        <v>25484.25</v>
      </c>
      <c r="V235" s="29">
        <v>558.99</v>
      </c>
      <c r="W235" s="29"/>
      <c r="X235" s="29"/>
      <c r="Y235" s="29"/>
      <c r="Z235" s="29"/>
      <c r="AA235" s="28"/>
      <c r="AB235" s="29">
        <v>1637.52</v>
      </c>
      <c r="AC235" s="29">
        <v>3863.33</v>
      </c>
      <c r="AD235" s="29">
        <v>879.8</v>
      </c>
    </row>
    <row r="236" spans="1:30">
      <c r="A236" t="str">
        <f>VLOOKUP(F236,info!$A$2:$G$49,3,FALSE)</f>
        <v>Renault</v>
      </c>
      <c r="B236" s="4">
        <v>47</v>
      </c>
      <c r="C236" t="s">
        <v>366</v>
      </c>
      <c r="D236" t="s">
        <v>30</v>
      </c>
      <c r="E236" s="29" t="s">
        <v>301</v>
      </c>
      <c r="F236" s="28">
        <v>1147816</v>
      </c>
      <c r="G236" s="28" t="s">
        <v>32</v>
      </c>
      <c r="H236" s="28"/>
      <c r="I236" s="29"/>
      <c r="J236" s="29">
        <v>842.55</v>
      </c>
      <c r="K236" s="29">
        <v>266017.67</v>
      </c>
      <c r="L236" s="29">
        <v>933</v>
      </c>
      <c r="M236" s="29">
        <v>276.33</v>
      </c>
      <c r="N236" s="29">
        <v>5710.84</v>
      </c>
      <c r="O236" s="29"/>
      <c r="P236" s="29">
        <v>323047.67999999999</v>
      </c>
      <c r="Q236" s="29"/>
      <c r="R236" s="29">
        <v>782.35</v>
      </c>
      <c r="S236" s="29">
        <v>193.04</v>
      </c>
      <c r="T236" s="29">
        <v>500.91</v>
      </c>
      <c r="U236" s="29">
        <v>24219.53</v>
      </c>
      <c r="V236" s="29">
        <v>525.44000000000005</v>
      </c>
      <c r="W236" s="29"/>
      <c r="X236" s="29"/>
      <c r="Y236" s="29"/>
      <c r="Z236" s="29"/>
      <c r="AA236" s="28"/>
      <c r="AB236" s="29">
        <v>2007.3</v>
      </c>
      <c r="AC236" s="29">
        <v>7207.79</v>
      </c>
      <c r="AD236" s="29">
        <v>422.48</v>
      </c>
    </row>
    <row r="237" spans="1:30">
      <c r="A237" t="str">
        <f>VLOOKUP(F237,info!$A$2:$G$49,3,FALSE)</f>
        <v>Hyundai</v>
      </c>
      <c r="B237" s="4">
        <v>48</v>
      </c>
      <c r="C237" t="s">
        <v>366</v>
      </c>
      <c r="D237" t="s">
        <v>30</v>
      </c>
      <c r="E237" s="29" t="s">
        <v>302</v>
      </c>
      <c r="F237" s="28">
        <v>5826120</v>
      </c>
      <c r="G237" s="28" t="s">
        <v>52</v>
      </c>
      <c r="H237" s="28"/>
      <c r="I237" s="29"/>
      <c r="J237" s="29">
        <v>1076.97</v>
      </c>
      <c r="K237" s="29">
        <v>272998.69</v>
      </c>
      <c r="L237" s="29">
        <v>1856.35</v>
      </c>
      <c r="M237" s="29">
        <v>151.86000000000001</v>
      </c>
      <c r="N237" s="29">
        <v>7887.99</v>
      </c>
      <c r="O237" s="29"/>
      <c r="P237" s="29">
        <v>388770.16</v>
      </c>
      <c r="Q237" s="29"/>
      <c r="R237" s="29">
        <v>1377.19</v>
      </c>
      <c r="S237" s="29">
        <v>13.88</v>
      </c>
      <c r="T237" s="29">
        <v>581.59</v>
      </c>
      <c r="U237" s="29">
        <v>14694.8</v>
      </c>
      <c r="V237" s="29">
        <v>612.76</v>
      </c>
      <c r="W237" s="29"/>
      <c r="X237" s="29"/>
      <c r="Y237" s="29"/>
      <c r="Z237" s="29"/>
      <c r="AA237" s="28"/>
      <c r="AB237" s="29">
        <v>2188.14</v>
      </c>
      <c r="AC237" s="29">
        <v>4242</v>
      </c>
      <c r="AD237" s="29">
        <v>713.22</v>
      </c>
    </row>
    <row r="238" spans="1:30">
      <c r="A238" t="str">
        <f>VLOOKUP(F238,info!$A$2:$G$49,3,FALSE)</f>
        <v>Mazda</v>
      </c>
      <c r="B238" s="4">
        <v>1</v>
      </c>
      <c r="C238" t="s">
        <v>366</v>
      </c>
      <c r="D238" t="s">
        <v>77</v>
      </c>
      <c r="E238" s="29" t="s">
        <v>303</v>
      </c>
      <c r="F238" s="28">
        <v>3550828</v>
      </c>
      <c r="G238" s="28" t="s">
        <v>32</v>
      </c>
      <c r="H238" s="28"/>
      <c r="I238" s="29"/>
      <c r="J238" s="29">
        <v>2160.5700000000002</v>
      </c>
      <c r="K238" s="30">
        <v>424997.29</v>
      </c>
      <c r="L238" s="30">
        <v>1949.72</v>
      </c>
      <c r="M238" s="30">
        <v>720.94</v>
      </c>
      <c r="N238" s="30">
        <v>38055.14</v>
      </c>
      <c r="O238" s="30"/>
      <c r="P238" s="30">
        <v>549876.54</v>
      </c>
      <c r="Q238" s="30"/>
      <c r="R238" s="30">
        <v>1571.64</v>
      </c>
      <c r="S238" s="30">
        <v>242.71</v>
      </c>
      <c r="T238" s="30">
        <v>205.2</v>
      </c>
      <c r="U238" s="30">
        <v>20687.439999999999</v>
      </c>
      <c r="V238" s="30">
        <v>414.03</v>
      </c>
      <c r="W238" s="29"/>
      <c r="X238" s="29"/>
      <c r="Y238" s="29"/>
      <c r="Z238" s="29"/>
      <c r="AA238" s="28"/>
      <c r="AB238" s="30">
        <v>1112.6500000000001</v>
      </c>
      <c r="AC238" s="30">
        <v>1279.55</v>
      </c>
      <c r="AD238" s="29">
        <v>15522.27</v>
      </c>
    </row>
    <row r="239" spans="1:30">
      <c r="A239" t="str">
        <f>VLOOKUP(F239,info!$A$2:$G$49,3,FALSE)</f>
        <v>Mazda</v>
      </c>
      <c r="B239" s="4">
        <v>2</v>
      </c>
      <c r="C239" t="s">
        <v>366</v>
      </c>
      <c r="D239" t="s">
        <v>77</v>
      </c>
      <c r="E239" s="29" t="s">
        <v>304</v>
      </c>
      <c r="F239" s="28">
        <v>3550828</v>
      </c>
      <c r="G239" s="28" t="s">
        <v>34</v>
      </c>
      <c r="H239" s="28"/>
      <c r="I239" s="29"/>
      <c r="J239" s="29">
        <v>2678.47</v>
      </c>
      <c r="K239" s="30">
        <v>513958.45</v>
      </c>
      <c r="L239" s="30">
        <v>1979.34</v>
      </c>
      <c r="M239" s="30">
        <v>516.78</v>
      </c>
      <c r="N239" s="30">
        <v>44910.61</v>
      </c>
      <c r="O239" s="30"/>
      <c r="P239" s="30">
        <v>664221.30000000005</v>
      </c>
      <c r="Q239" s="30"/>
      <c r="R239" s="30">
        <v>1724.53</v>
      </c>
      <c r="S239" s="30">
        <v>188.67</v>
      </c>
      <c r="T239" s="30">
        <v>368.92</v>
      </c>
      <c r="U239" s="30">
        <v>26897.97</v>
      </c>
      <c r="V239" s="30">
        <v>622.9</v>
      </c>
      <c r="W239" s="29"/>
      <c r="X239" s="29"/>
      <c r="Y239" s="29"/>
      <c r="Z239" s="29"/>
      <c r="AA239" s="28"/>
      <c r="AB239" s="30">
        <v>421.14</v>
      </c>
      <c r="AC239" s="30">
        <v>384.05</v>
      </c>
      <c r="AD239" s="29">
        <v>21836.58</v>
      </c>
    </row>
    <row r="240" spans="1:30">
      <c r="A240" t="str">
        <f>VLOOKUP(F240,info!$A$2:$G$49,3,FALSE)</f>
        <v>Mazda</v>
      </c>
      <c r="B240" s="4">
        <v>3</v>
      </c>
      <c r="C240" t="s">
        <v>366</v>
      </c>
      <c r="D240" t="s">
        <v>77</v>
      </c>
      <c r="E240" s="29" t="s">
        <v>305</v>
      </c>
      <c r="F240" s="28">
        <v>3550828</v>
      </c>
      <c r="G240" s="28" t="s">
        <v>34</v>
      </c>
      <c r="H240" s="28"/>
      <c r="I240" s="29"/>
      <c r="J240" s="29">
        <v>2065.62</v>
      </c>
      <c r="K240" s="30">
        <v>375099.64</v>
      </c>
      <c r="L240" s="30">
        <v>6705.38</v>
      </c>
      <c r="M240" s="30">
        <v>23782.79</v>
      </c>
      <c r="N240" s="30">
        <v>43215.31</v>
      </c>
      <c r="O240" s="30"/>
      <c r="P240" s="30">
        <v>613376.59</v>
      </c>
      <c r="Q240" s="30"/>
      <c r="R240" s="30">
        <v>1782.97</v>
      </c>
      <c r="S240" s="30">
        <v>62.01</v>
      </c>
      <c r="T240" s="30">
        <v>380.85</v>
      </c>
      <c r="U240" s="30">
        <v>25268.75</v>
      </c>
      <c r="V240" s="30">
        <v>696.67</v>
      </c>
      <c r="W240" s="29"/>
      <c r="X240" s="29"/>
      <c r="Y240" s="29"/>
      <c r="Z240" s="29"/>
      <c r="AA240" s="28"/>
      <c r="AB240" s="30">
        <v>2106.17</v>
      </c>
      <c r="AC240" s="30">
        <v>1033.5899999999999</v>
      </c>
      <c r="AD240" s="29">
        <v>19612.62</v>
      </c>
    </row>
    <row r="241" spans="1:30">
      <c r="A241" t="str">
        <f>VLOOKUP(F241,info!$A$2:$G$49,3,FALSE)</f>
        <v>Peugeot</v>
      </c>
      <c r="B241" s="4">
        <v>4</v>
      </c>
      <c r="C241" t="s">
        <v>366</v>
      </c>
      <c r="D241" t="s">
        <v>77</v>
      </c>
      <c r="E241" s="29" t="s">
        <v>306</v>
      </c>
      <c r="F241" s="28">
        <v>9367324</v>
      </c>
      <c r="G241" s="28" t="s">
        <v>32</v>
      </c>
      <c r="H241" s="28"/>
      <c r="I241" s="29"/>
      <c r="J241" s="29">
        <v>1847.48</v>
      </c>
      <c r="K241" s="30">
        <v>637060.74</v>
      </c>
      <c r="L241" s="30">
        <v>2837.5</v>
      </c>
      <c r="M241" s="30">
        <v>953.81</v>
      </c>
      <c r="N241" s="30">
        <v>7381.93</v>
      </c>
      <c r="O241" s="30"/>
      <c r="P241" s="30">
        <v>841606.72</v>
      </c>
      <c r="Q241" s="30"/>
      <c r="R241" s="30">
        <v>2490.21</v>
      </c>
      <c r="S241" s="30">
        <v>233.92</v>
      </c>
      <c r="T241" s="30">
        <v>940.47</v>
      </c>
      <c r="U241" s="30">
        <v>63079.7</v>
      </c>
      <c r="V241" s="30">
        <v>866.54</v>
      </c>
      <c r="W241" s="29"/>
      <c r="X241" s="29"/>
      <c r="Y241" s="29"/>
      <c r="Z241" s="29"/>
      <c r="AA241" s="28"/>
      <c r="AB241" s="30">
        <v>2241.31</v>
      </c>
      <c r="AC241" s="30">
        <v>2013.46</v>
      </c>
      <c r="AD241" s="29">
        <v>27647.51</v>
      </c>
    </row>
    <row r="242" spans="1:30">
      <c r="A242" t="str">
        <f>VLOOKUP(F242,info!$A$2:$G$49,3,FALSE)</f>
        <v>Peugeot</v>
      </c>
      <c r="B242" s="4">
        <v>5</v>
      </c>
      <c r="C242" t="s">
        <v>366</v>
      </c>
      <c r="D242" t="s">
        <v>77</v>
      </c>
      <c r="E242" s="29" t="s">
        <v>307</v>
      </c>
      <c r="F242" s="28">
        <v>9367324</v>
      </c>
      <c r="G242" s="28" t="s">
        <v>32</v>
      </c>
      <c r="H242" s="28"/>
      <c r="I242" s="29"/>
      <c r="J242" s="29">
        <v>1303.75</v>
      </c>
      <c r="K242" s="30">
        <v>723083.79</v>
      </c>
      <c r="L242" s="30">
        <v>3739.25</v>
      </c>
      <c r="M242" s="30">
        <v>733.74</v>
      </c>
      <c r="N242" s="30">
        <v>606.22</v>
      </c>
      <c r="O242" s="30"/>
      <c r="P242" s="30">
        <v>961213.09</v>
      </c>
      <c r="Q242" s="30"/>
      <c r="R242" s="30">
        <v>725.41</v>
      </c>
      <c r="S242" s="30">
        <v>384.76</v>
      </c>
      <c r="T242" s="30">
        <v>1147.6099999999999</v>
      </c>
      <c r="U242" s="30">
        <v>71800.160000000003</v>
      </c>
      <c r="V242" s="30">
        <v>1250.74</v>
      </c>
      <c r="W242" s="29"/>
      <c r="X242" s="29"/>
      <c r="Y242" s="29"/>
      <c r="Z242" s="29"/>
      <c r="AA242" s="28"/>
      <c r="AB242" s="30">
        <v>5994.36</v>
      </c>
      <c r="AC242" s="30">
        <v>114.08</v>
      </c>
      <c r="AD242" s="29">
        <v>48409.38</v>
      </c>
    </row>
    <row r="243" spans="1:30">
      <c r="A243" t="str">
        <f>VLOOKUP(F243,info!$A$2:$G$49,3,FALSE)</f>
        <v>Mazda</v>
      </c>
      <c r="B243" s="4">
        <v>6</v>
      </c>
      <c r="C243" t="s">
        <v>366</v>
      </c>
      <c r="D243" t="s">
        <v>77</v>
      </c>
      <c r="E243" s="29" t="s">
        <v>308</v>
      </c>
      <c r="F243" s="28">
        <v>3550828</v>
      </c>
      <c r="G243" s="28" t="s">
        <v>32</v>
      </c>
      <c r="H243" s="28"/>
      <c r="I243" s="29"/>
      <c r="J243" s="29">
        <v>2493.25</v>
      </c>
      <c r="K243" s="30">
        <v>508529.2</v>
      </c>
      <c r="L243" s="30">
        <v>2007.21</v>
      </c>
      <c r="M243" s="30">
        <v>450.7</v>
      </c>
      <c r="N243" s="30">
        <v>45399.93</v>
      </c>
      <c r="O243" s="30"/>
      <c r="P243" s="30">
        <v>654339.18999999994</v>
      </c>
      <c r="Q243" s="30"/>
      <c r="R243" s="30">
        <v>1782.42</v>
      </c>
      <c r="S243" s="30">
        <v>146.15</v>
      </c>
      <c r="T243" s="30">
        <v>369.58</v>
      </c>
      <c r="U243" s="30">
        <v>26904.63</v>
      </c>
      <c r="V243" s="30">
        <v>719.33</v>
      </c>
      <c r="W243" s="29"/>
      <c r="X243" s="29"/>
      <c r="Y243" s="29"/>
      <c r="Z243" s="29"/>
      <c r="AA243" s="28"/>
      <c r="AB243" s="30">
        <v>346.22</v>
      </c>
      <c r="AC243" s="30">
        <v>1918.79</v>
      </c>
      <c r="AD243" s="29">
        <v>19610.89</v>
      </c>
    </row>
    <row r="244" spans="1:30">
      <c r="A244" t="str">
        <f>VLOOKUP(F244,info!$A$2:$G$49,3,FALSE)</f>
        <v>Hyundai</v>
      </c>
      <c r="B244" s="4">
        <v>7</v>
      </c>
      <c r="C244" t="s">
        <v>366</v>
      </c>
      <c r="D244" t="s">
        <v>77</v>
      </c>
      <c r="E244" s="29" t="s">
        <v>309</v>
      </c>
      <c r="F244" s="28">
        <v>9540217</v>
      </c>
      <c r="G244" s="28" t="s">
        <v>34</v>
      </c>
      <c r="H244" s="28"/>
      <c r="I244" s="29"/>
      <c r="J244" s="29">
        <v>1869.72</v>
      </c>
      <c r="K244" s="30">
        <v>445964.52</v>
      </c>
      <c r="L244" s="30">
        <v>2575.6799999999998</v>
      </c>
      <c r="M244" s="30">
        <v>1257.1099999999999</v>
      </c>
      <c r="N244" s="30">
        <v>17242.8</v>
      </c>
      <c r="O244" s="30"/>
      <c r="P244" s="30">
        <v>689379.51</v>
      </c>
      <c r="Q244" s="30"/>
      <c r="R244" s="30">
        <v>2187.83</v>
      </c>
      <c r="S244" s="30">
        <v>238.3</v>
      </c>
      <c r="T244" s="30">
        <v>479.91</v>
      </c>
      <c r="U244" s="30">
        <v>24670.49</v>
      </c>
      <c r="V244" s="30">
        <v>711.15</v>
      </c>
      <c r="W244" s="29"/>
      <c r="X244" s="29"/>
      <c r="Y244" s="29"/>
      <c r="Z244" s="29"/>
      <c r="AA244" s="28"/>
      <c r="AB244" s="30">
        <v>1695.59</v>
      </c>
      <c r="AC244" s="30">
        <v>1348.91</v>
      </c>
      <c r="AD244" s="29">
        <v>19165.509999999998</v>
      </c>
    </row>
    <row r="245" spans="1:30">
      <c r="A245" t="str">
        <f>VLOOKUP(F245,info!$A$2:$G$49,3,FALSE)</f>
        <v>Honda</v>
      </c>
      <c r="B245" s="4">
        <v>8</v>
      </c>
      <c r="C245" t="s">
        <v>366</v>
      </c>
      <c r="D245" t="s">
        <v>77</v>
      </c>
      <c r="E245" s="29" t="s">
        <v>310</v>
      </c>
      <c r="F245" s="28">
        <v>8096906</v>
      </c>
      <c r="G245" s="28" t="s">
        <v>32</v>
      </c>
      <c r="H245" s="28"/>
      <c r="I245" s="29"/>
      <c r="J245" s="29">
        <v>613.12</v>
      </c>
      <c r="K245" s="30">
        <v>443832.75</v>
      </c>
      <c r="L245" s="30">
        <v>2404.44</v>
      </c>
      <c r="M245" s="30">
        <v>864.95</v>
      </c>
      <c r="N245" s="30">
        <v>1606.7</v>
      </c>
      <c r="O245" s="30"/>
      <c r="P245" s="30">
        <v>575202.84</v>
      </c>
      <c r="Q245" s="30"/>
      <c r="R245" s="30">
        <v>194.19</v>
      </c>
      <c r="S245" s="30">
        <v>243.2</v>
      </c>
      <c r="T245" s="30">
        <v>131.55000000000001</v>
      </c>
      <c r="U245" s="30">
        <v>21460.73</v>
      </c>
      <c r="V245" s="30">
        <v>513.03</v>
      </c>
      <c r="W245" s="29"/>
      <c r="X245" s="29"/>
      <c r="Y245" s="29"/>
      <c r="Z245" s="29"/>
      <c r="AA245" s="28"/>
      <c r="AB245" s="30">
        <v>2197.31</v>
      </c>
      <c r="AC245" s="30">
        <v>2533.5700000000002</v>
      </c>
      <c r="AD245" s="29">
        <v>29021.31</v>
      </c>
    </row>
    <row r="246" spans="1:30">
      <c r="A246" t="str">
        <f>VLOOKUP(F246,info!$A$2:$G$49,3,FALSE)</f>
        <v>Honda</v>
      </c>
      <c r="B246" s="4">
        <v>9</v>
      </c>
      <c r="C246" t="s">
        <v>366</v>
      </c>
      <c r="D246" t="s">
        <v>77</v>
      </c>
      <c r="E246" s="29" t="s">
        <v>311</v>
      </c>
      <c r="F246" s="28">
        <v>8096906</v>
      </c>
      <c r="G246" s="28" t="s">
        <v>34</v>
      </c>
      <c r="H246" s="28"/>
      <c r="I246" s="29"/>
      <c r="J246" s="29">
        <v>992.13</v>
      </c>
      <c r="K246" s="30">
        <v>475854.37</v>
      </c>
      <c r="L246" s="30">
        <v>2996.22</v>
      </c>
      <c r="M246" s="30">
        <v>1014.67</v>
      </c>
      <c r="N246" s="30">
        <v>1845.25</v>
      </c>
      <c r="O246" s="30"/>
      <c r="P246" s="30">
        <v>633047.36</v>
      </c>
      <c r="Q246" s="30"/>
      <c r="R246" s="30">
        <v>340.62</v>
      </c>
      <c r="S246" s="30">
        <v>244.94</v>
      </c>
      <c r="T246" s="30">
        <v>89.74</v>
      </c>
      <c r="U246" s="30">
        <v>27122.7</v>
      </c>
      <c r="V246" s="30">
        <v>714.68</v>
      </c>
      <c r="W246" s="29"/>
      <c r="X246" s="29"/>
      <c r="Y246" s="29"/>
      <c r="Z246" s="29"/>
      <c r="AA246" s="28"/>
      <c r="AB246" s="30">
        <v>4796.09</v>
      </c>
      <c r="AC246" s="30">
        <v>4189.5600000000004</v>
      </c>
      <c r="AD246" s="29">
        <v>43438.54</v>
      </c>
    </row>
    <row r="247" spans="1:30">
      <c r="A247" t="str">
        <f>VLOOKUP(F247,info!$A$2:$G$49,3,FALSE)</f>
        <v>Ford</v>
      </c>
      <c r="B247" s="4">
        <v>10</v>
      </c>
      <c r="C247" t="s">
        <v>366</v>
      </c>
      <c r="D247" t="s">
        <v>77</v>
      </c>
      <c r="E247" s="29" t="s">
        <v>312</v>
      </c>
      <c r="F247" s="28">
        <v>6917835</v>
      </c>
      <c r="G247" s="28" t="s">
        <v>32</v>
      </c>
      <c r="H247" s="28"/>
      <c r="I247" s="29"/>
      <c r="J247" s="29">
        <v>3216.99</v>
      </c>
      <c r="K247" s="30">
        <v>420147.19</v>
      </c>
      <c r="L247" s="30">
        <v>1793.69</v>
      </c>
      <c r="M247" s="30">
        <v>645.49</v>
      </c>
      <c r="N247" s="30">
        <v>15764.87</v>
      </c>
      <c r="O247" s="30"/>
      <c r="P247" s="30">
        <v>550771.28</v>
      </c>
      <c r="Q247" s="30"/>
      <c r="R247" s="30">
        <v>2110.85</v>
      </c>
      <c r="S247" s="30">
        <v>293.37</v>
      </c>
      <c r="T247" s="30">
        <v>124</v>
      </c>
      <c r="U247" s="30">
        <v>50045.51</v>
      </c>
      <c r="V247" s="30">
        <v>874.87</v>
      </c>
      <c r="W247" s="29"/>
      <c r="X247" s="29"/>
      <c r="Y247" s="29"/>
      <c r="Z247" s="29"/>
      <c r="AA247" s="28"/>
      <c r="AB247" s="30">
        <v>3172.71</v>
      </c>
      <c r="AC247" s="30">
        <v>1467</v>
      </c>
      <c r="AD247" s="29">
        <v>32278.37</v>
      </c>
    </row>
    <row r="248" spans="1:30">
      <c r="A248" t="str">
        <f>VLOOKUP(F248,info!$A$2:$G$49,3,FALSE)</f>
        <v>Honda</v>
      </c>
      <c r="B248" s="4">
        <v>11</v>
      </c>
      <c r="C248" t="s">
        <v>366</v>
      </c>
      <c r="D248" t="s">
        <v>77</v>
      </c>
      <c r="E248" s="29" t="s">
        <v>313</v>
      </c>
      <c r="F248" s="28">
        <v>8096906</v>
      </c>
      <c r="G248" s="28" t="s">
        <v>34</v>
      </c>
      <c r="H248" s="28"/>
      <c r="I248" s="29"/>
      <c r="J248" s="29">
        <v>571.35</v>
      </c>
      <c r="K248" s="30">
        <v>369369.71</v>
      </c>
      <c r="L248" s="30">
        <v>2118.19</v>
      </c>
      <c r="M248" s="30">
        <v>493.98</v>
      </c>
      <c r="N248" s="30">
        <v>1537.41</v>
      </c>
      <c r="O248" s="30"/>
      <c r="P248" s="30">
        <v>494805.87</v>
      </c>
      <c r="Q248" s="30"/>
      <c r="R248" s="30">
        <v>49.48</v>
      </c>
      <c r="S248" s="30">
        <v>69.400000000000006</v>
      </c>
      <c r="T248" s="30">
        <v>73.13</v>
      </c>
      <c r="U248" s="30">
        <v>20611.22</v>
      </c>
      <c r="V248" s="30">
        <v>545.22</v>
      </c>
      <c r="W248" s="29"/>
      <c r="X248" s="29"/>
      <c r="Y248" s="29"/>
      <c r="Z248" s="29"/>
      <c r="AA248" s="28"/>
      <c r="AB248" s="30">
        <v>253.18</v>
      </c>
      <c r="AC248" s="30">
        <v>2752.81</v>
      </c>
      <c r="AD248" s="29">
        <v>10925.91</v>
      </c>
    </row>
    <row r="249" spans="1:30">
      <c r="A249" t="str">
        <f>VLOOKUP(F249,info!$A$2:$G$49,3,FALSE)</f>
        <v>Daewoo</v>
      </c>
      <c r="B249" s="4">
        <v>12</v>
      </c>
      <c r="C249" t="s">
        <v>366</v>
      </c>
      <c r="D249" t="s">
        <v>77</v>
      </c>
      <c r="E249" s="29" t="s">
        <v>314</v>
      </c>
      <c r="F249" s="28">
        <v>8501017</v>
      </c>
      <c r="G249" s="28" t="s">
        <v>34</v>
      </c>
      <c r="H249" s="28"/>
      <c r="I249" s="29"/>
      <c r="J249" s="29">
        <v>1610.07</v>
      </c>
      <c r="K249" s="30">
        <v>388469.13</v>
      </c>
      <c r="L249" s="30">
        <v>2234.94</v>
      </c>
      <c r="M249" s="30">
        <v>687.28</v>
      </c>
      <c r="N249" s="30">
        <v>25427.73</v>
      </c>
      <c r="O249" s="30"/>
      <c r="P249" s="30">
        <v>481163.98</v>
      </c>
      <c r="Q249" s="30"/>
      <c r="R249" s="30">
        <v>1728.83</v>
      </c>
      <c r="S249" s="30">
        <v>253.82</v>
      </c>
      <c r="T249" s="30">
        <v>230.22</v>
      </c>
      <c r="U249" s="30">
        <v>20608.32</v>
      </c>
      <c r="V249" s="30">
        <v>481.18</v>
      </c>
      <c r="W249" s="29"/>
      <c r="X249" s="29"/>
      <c r="Y249" s="29"/>
      <c r="Z249" s="29"/>
      <c r="AA249" s="28"/>
      <c r="AB249" s="30">
        <v>2242.52</v>
      </c>
      <c r="AC249" s="30">
        <v>4106.92</v>
      </c>
      <c r="AD249" s="29">
        <v>15539.81</v>
      </c>
    </row>
    <row r="250" spans="1:30">
      <c r="A250" t="str">
        <f>VLOOKUP(F250,info!$A$2:$G$49,3,FALSE)</f>
        <v>Hyundai</v>
      </c>
      <c r="B250" s="4">
        <v>13</v>
      </c>
      <c r="C250" t="s">
        <v>366</v>
      </c>
      <c r="D250" t="s">
        <v>77</v>
      </c>
      <c r="E250" s="29" t="s">
        <v>315</v>
      </c>
      <c r="F250" s="28">
        <v>9540217</v>
      </c>
      <c r="G250" s="28" t="s">
        <v>34</v>
      </c>
      <c r="H250" s="28"/>
      <c r="I250" s="29"/>
      <c r="J250" s="29">
        <v>1893.67</v>
      </c>
      <c r="K250" s="30">
        <v>451280.22</v>
      </c>
      <c r="L250" s="30">
        <v>3667.67</v>
      </c>
      <c r="M250" s="30">
        <v>611.70000000000005</v>
      </c>
      <c r="N250" s="30">
        <v>16509.36</v>
      </c>
      <c r="O250" s="30"/>
      <c r="P250" s="30">
        <v>678714.84</v>
      </c>
      <c r="Q250" s="30"/>
      <c r="R250" s="30">
        <v>2246.2600000000002</v>
      </c>
      <c r="S250" s="30">
        <v>47.93</v>
      </c>
      <c r="T250" s="30">
        <v>506.96</v>
      </c>
      <c r="U250" s="30">
        <v>25104.66</v>
      </c>
      <c r="V250" s="30">
        <v>655.76</v>
      </c>
      <c r="W250" s="29"/>
      <c r="X250" s="29"/>
      <c r="Y250" s="29"/>
      <c r="Z250" s="29"/>
      <c r="AA250" s="28"/>
      <c r="AB250" s="30">
        <v>1033.7</v>
      </c>
      <c r="AC250" s="30">
        <v>453.76</v>
      </c>
      <c r="AD250" s="29">
        <v>19498.93</v>
      </c>
    </row>
    <row r="251" spans="1:30">
      <c r="A251" t="str">
        <f>VLOOKUP(F251,info!$A$2:$G$49,3,FALSE)</f>
        <v>Peugeot</v>
      </c>
      <c r="B251" s="4">
        <v>14</v>
      </c>
      <c r="C251" t="s">
        <v>366</v>
      </c>
      <c r="D251" t="s">
        <v>77</v>
      </c>
      <c r="E251" s="29" t="s">
        <v>316</v>
      </c>
      <c r="F251" s="28">
        <v>9367324</v>
      </c>
      <c r="G251" s="28" t="s">
        <v>34</v>
      </c>
      <c r="H251" s="28"/>
      <c r="I251" s="29"/>
      <c r="J251" s="29">
        <v>1539.5</v>
      </c>
      <c r="K251" s="30">
        <v>429534.95</v>
      </c>
      <c r="L251" s="30">
        <v>1938.47</v>
      </c>
      <c r="M251" s="30">
        <v>458.68</v>
      </c>
      <c r="N251" s="30">
        <v>15963.78</v>
      </c>
      <c r="O251" s="30"/>
      <c r="P251" s="30">
        <v>652331.97</v>
      </c>
      <c r="Q251" s="30"/>
      <c r="R251" s="30">
        <v>2507.4699999999998</v>
      </c>
      <c r="S251" s="30">
        <v>90.35</v>
      </c>
      <c r="T251" s="30">
        <v>152.21</v>
      </c>
      <c r="U251" s="30">
        <v>25714.19</v>
      </c>
      <c r="V251" s="30">
        <v>629.04999999999995</v>
      </c>
      <c r="W251" s="29"/>
      <c r="X251" s="29"/>
      <c r="Y251" s="29"/>
      <c r="Z251" s="29"/>
      <c r="AA251" s="28"/>
      <c r="AB251" s="30">
        <v>796.67</v>
      </c>
      <c r="AC251" s="30">
        <v>18.39</v>
      </c>
      <c r="AD251" s="29">
        <v>21178.83</v>
      </c>
    </row>
    <row r="252" spans="1:30">
      <c r="A252" t="str">
        <f>VLOOKUP(F252,info!$A$2:$G$49,3,FALSE)</f>
        <v>Hyundai</v>
      </c>
      <c r="B252" s="4">
        <v>15</v>
      </c>
      <c r="C252" t="s">
        <v>366</v>
      </c>
      <c r="D252" t="s">
        <v>77</v>
      </c>
      <c r="E252" s="29" t="s">
        <v>317</v>
      </c>
      <c r="F252" s="28">
        <v>6316720</v>
      </c>
      <c r="G252" s="28" t="s">
        <v>34</v>
      </c>
      <c r="H252" s="28"/>
      <c r="I252" s="29"/>
      <c r="J252" s="29">
        <v>1194.71</v>
      </c>
      <c r="K252" s="30">
        <v>382256.07</v>
      </c>
      <c r="L252" s="30">
        <v>2025.2</v>
      </c>
      <c r="M252" s="30">
        <v>972.8</v>
      </c>
      <c r="N252" s="30">
        <v>10898.71</v>
      </c>
      <c r="O252" s="30"/>
      <c r="P252" s="30">
        <v>497572.43</v>
      </c>
      <c r="Q252" s="30"/>
      <c r="R252" s="30">
        <v>1983.59</v>
      </c>
      <c r="S252" s="30">
        <v>351.05</v>
      </c>
      <c r="T252" s="30">
        <v>202.13</v>
      </c>
      <c r="U252" s="30">
        <v>39822.629999999997</v>
      </c>
      <c r="V252" s="30">
        <v>626.04</v>
      </c>
      <c r="W252" s="29"/>
      <c r="X252" s="29"/>
      <c r="Y252" s="29"/>
      <c r="Z252" s="29"/>
      <c r="AA252" s="28"/>
      <c r="AB252" s="30">
        <v>4481.01</v>
      </c>
      <c r="AC252" s="30">
        <v>2670.24</v>
      </c>
      <c r="AD252" s="29">
        <v>26823.95</v>
      </c>
    </row>
    <row r="253" spans="1:30">
      <c r="A253" t="str">
        <f>VLOOKUP(F253,info!$A$2:$G$49,3,FALSE)</f>
        <v>Hyundai</v>
      </c>
      <c r="B253" s="4">
        <v>16</v>
      </c>
      <c r="C253" t="s">
        <v>366</v>
      </c>
      <c r="D253" t="s">
        <v>77</v>
      </c>
      <c r="E253" s="29" t="s">
        <v>318</v>
      </c>
      <c r="F253" s="28">
        <v>6316720</v>
      </c>
      <c r="G253" s="28" t="s">
        <v>34</v>
      </c>
      <c r="H253" s="28"/>
      <c r="I253" s="29"/>
      <c r="J253" s="29">
        <v>1539.9</v>
      </c>
      <c r="K253" s="30">
        <v>374056.85</v>
      </c>
      <c r="L253" s="30">
        <v>2022.88</v>
      </c>
      <c r="M253" s="30">
        <v>702.69</v>
      </c>
      <c r="N253" s="30">
        <v>13262.77</v>
      </c>
      <c r="O253" s="30"/>
      <c r="P253" s="30">
        <v>558201.69999999995</v>
      </c>
      <c r="Q253" s="30"/>
      <c r="R253" s="30">
        <v>1849.46</v>
      </c>
      <c r="S253" s="30">
        <v>171.16</v>
      </c>
      <c r="T253" s="30">
        <v>268.33999999999997</v>
      </c>
      <c r="U253" s="30">
        <v>17538.23</v>
      </c>
      <c r="V253" s="30">
        <v>561.98</v>
      </c>
      <c r="W253" s="29"/>
      <c r="X253" s="29"/>
      <c r="Y253" s="29"/>
      <c r="Z253" s="29"/>
      <c r="AA253" s="28"/>
      <c r="AB253" s="30">
        <v>310.74</v>
      </c>
      <c r="AC253" s="30">
        <v>329.29</v>
      </c>
      <c r="AD253" s="29">
        <v>16363.6</v>
      </c>
    </row>
    <row r="254" spans="1:30">
      <c r="A254" t="str">
        <f>VLOOKUP(F254,info!$A$2:$G$49,3,FALSE)</f>
        <v>Hyundai</v>
      </c>
      <c r="B254" s="4">
        <v>17</v>
      </c>
      <c r="C254" t="s">
        <v>366</v>
      </c>
      <c r="D254" t="s">
        <v>77</v>
      </c>
      <c r="E254" s="29" t="s">
        <v>319</v>
      </c>
      <c r="F254" s="28">
        <v>6316720</v>
      </c>
      <c r="G254" s="28" t="s">
        <v>34</v>
      </c>
      <c r="H254" s="28"/>
      <c r="I254" s="29"/>
      <c r="J254" s="29">
        <v>796.91</v>
      </c>
      <c r="K254" s="30">
        <v>119880.72</v>
      </c>
      <c r="L254" s="30">
        <v>624.55999999999995</v>
      </c>
      <c r="M254" s="30">
        <v>272.89</v>
      </c>
      <c r="N254" s="30">
        <v>4205.47</v>
      </c>
      <c r="O254" s="30"/>
      <c r="P254" s="30">
        <v>167566.78</v>
      </c>
      <c r="Q254" s="30"/>
      <c r="R254" s="30">
        <v>500.87</v>
      </c>
      <c r="S254" s="30">
        <v>38.270000000000003</v>
      </c>
      <c r="T254" s="30">
        <v>156.1</v>
      </c>
      <c r="U254" s="30">
        <v>5846.07</v>
      </c>
      <c r="V254" s="30">
        <v>140.69999999999999</v>
      </c>
      <c r="W254" s="29"/>
      <c r="X254" s="29"/>
      <c r="Y254" s="29"/>
      <c r="Z254" s="29"/>
      <c r="AA254" s="28"/>
      <c r="AB254" s="30">
        <v>453.82</v>
      </c>
      <c r="AC254" s="30">
        <v>370.66</v>
      </c>
      <c r="AD254" s="29">
        <v>5037.07</v>
      </c>
    </row>
    <row r="255" spans="1:30">
      <c r="A255" t="str">
        <f>VLOOKUP(F255,info!$A$2:$G$49,3,FALSE)</f>
        <v>Honda</v>
      </c>
      <c r="B255" s="4">
        <v>18</v>
      </c>
      <c r="C255" t="s">
        <v>366</v>
      </c>
      <c r="D255" t="s">
        <v>77</v>
      </c>
      <c r="E255" s="29" t="s">
        <v>320</v>
      </c>
      <c r="F255" s="28">
        <v>8096906</v>
      </c>
      <c r="G255" s="28" t="s">
        <v>32</v>
      </c>
      <c r="H255" s="28"/>
      <c r="I255" s="29"/>
      <c r="J255" s="29">
        <v>545.1</v>
      </c>
      <c r="K255" s="30">
        <v>154795.6</v>
      </c>
      <c r="L255" s="30">
        <v>481.96</v>
      </c>
      <c r="M255" s="30">
        <v>314.54000000000002</v>
      </c>
      <c r="N255" s="30">
        <v>193.84</v>
      </c>
      <c r="O255" s="30"/>
      <c r="P255" s="30">
        <v>189733.15</v>
      </c>
      <c r="Q255" s="30"/>
      <c r="R255" s="30">
        <v>175.2</v>
      </c>
      <c r="S255" s="30">
        <v>5.0199999999999996</v>
      </c>
      <c r="T255" s="30">
        <v>62.28</v>
      </c>
      <c r="U255" s="30">
        <v>7602.44</v>
      </c>
      <c r="V255" s="30">
        <v>229.35</v>
      </c>
      <c r="W255" s="29"/>
      <c r="X255" s="29"/>
      <c r="Y255" s="29"/>
      <c r="Z255" s="29"/>
      <c r="AA255" s="28"/>
      <c r="AB255" s="30">
        <v>1286.8499999999999</v>
      </c>
      <c r="AC255" s="30">
        <v>33.72</v>
      </c>
      <c r="AD255" s="29">
        <v>10833.62</v>
      </c>
    </row>
    <row r="256" spans="1:30">
      <c r="A256" t="str">
        <f>VLOOKUP(F256,info!$A$2:$G$49,3,FALSE)</f>
        <v>Hyundai</v>
      </c>
      <c r="B256" s="4">
        <v>19</v>
      </c>
      <c r="C256" t="s">
        <v>366</v>
      </c>
      <c r="D256" t="s">
        <v>77</v>
      </c>
      <c r="E256" s="29" t="s">
        <v>321</v>
      </c>
      <c r="F256" s="28">
        <v>6316720</v>
      </c>
      <c r="G256" s="28" t="s">
        <v>32</v>
      </c>
      <c r="H256" s="28"/>
      <c r="I256" s="29"/>
      <c r="J256" s="29">
        <v>1186.44</v>
      </c>
      <c r="K256" s="30">
        <v>171347.13</v>
      </c>
      <c r="L256" s="30">
        <v>999.81</v>
      </c>
      <c r="M256" s="30">
        <v>525.04999999999995</v>
      </c>
      <c r="N256" s="30">
        <v>6039.64</v>
      </c>
      <c r="O256" s="30"/>
      <c r="P256" s="30">
        <v>239886.33</v>
      </c>
      <c r="Q256" s="30"/>
      <c r="R256" s="30">
        <v>784.83</v>
      </c>
      <c r="S256" s="30">
        <v>14.39</v>
      </c>
      <c r="T256" s="30">
        <v>206.57</v>
      </c>
      <c r="U256" s="30">
        <v>7492.25</v>
      </c>
      <c r="V256" s="30">
        <v>232.1</v>
      </c>
      <c r="W256" s="29"/>
      <c r="X256" s="29"/>
      <c r="Y256" s="29"/>
      <c r="Z256" s="29"/>
      <c r="AA256" s="28"/>
      <c r="AB256" s="30">
        <v>1053.72</v>
      </c>
      <c r="AC256" s="30">
        <v>1362.56</v>
      </c>
      <c r="AD256" s="29">
        <v>7241.13</v>
      </c>
    </row>
    <row r="257" spans="1:30">
      <c r="A257" t="str">
        <f>VLOOKUP(F257,info!$A$2:$G$49,3,FALSE)</f>
        <v>Fiat</v>
      </c>
      <c r="B257" s="4">
        <v>20</v>
      </c>
      <c r="C257" t="s">
        <v>366</v>
      </c>
      <c r="D257" t="s">
        <v>77</v>
      </c>
      <c r="E257" s="29" t="s">
        <v>322</v>
      </c>
      <c r="F257" s="28">
        <v>5751910</v>
      </c>
      <c r="G257" s="28" t="s">
        <v>34</v>
      </c>
      <c r="H257" s="28"/>
      <c r="I257" s="29"/>
      <c r="J257" s="29">
        <v>1047.0999999999999</v>
      </c>
      <c r="K257" s="30">
        <v>213049.55</v>
      </c>
      <c r="L257" s="30">
        <v>1070.31</v>
      </c>
      <c r="M257" s="30">
        <v>529.83000000000004</v>
      </c>
      <c r="N257" s="30">
        <v>8809.52</v>
      </c>
      <c r="O257" s="30"/>
      <c r="P257" s="30">
        <v>240293.51</v>
      </c>
      <c r="Q257" s="30"/>
      <c r="R257" s="30">
        <v>1285.0999999999999</v>
      </c>
      <c r="S257" s="30">
        <v>230.2</v>
      </c>
      <c r="T257" s="30">
        <v>355.14</v>
      </c>
      <c r="U257" s="30">
        <v>17984.7</v>
      </c>
      <c r="V257" s="30">
        <v>394.23</v>
      </c>
      <c r="W257" s="29"/>
      <c r="X257" s="29"/>
      <c r="Y257" s="29"/>
      <c r="Z257" s="29"/>
      <c r="AA257" s="28"/>
      <c r="AB257" s="30">
        <v>1978.5</v>
      </c>
      <c r="AC257" s="30">
        <v>2401.56</v>
      </c>
      <c r="AD257" s="29">
        <v>12390.66</v>
      </c>
    </row>
    <row r="258" spans="1:30">
      <c r="A258" t="str">
        <f>VLOOKUP(F258,info!$A$2:$G$49,3,FALSE)</f>
        <v>Hyundai</v>
      </c>
      <c r="B258" s="4">
        <v>21</v>
      </c>
      <c r="C258" t="s">
        <v>366</v>
      </c>
      <c r="D258" t="s">
        <v>77</v>
      </c>
      <c r="E258" s="29" t="s">
        <v>323</v>
      </c>
      <c r="F258" s="28">
        <v>5826120</v>
      </c>
      <c r="G258" s="28" t="s">
        <v>52</v>
      </c>
      <c r="H258" s="28"/>
      <c r="I258" s="29"/>
      <c r="J258" s="29">
        <v>281.95</v>
      </c>
      <c r="K258" s="30">
        <v>59162.39</v>
      </c>
      <c r="L258" s="30">
        <v>562.85</v>
      </c>
      <c r="M258" s="30">
        <v>247.74</v>
      </c>
      <c r="N258" s="30">
        <v>1461.26</v>
      </c>
      <c r="O258" s="30"/>
      <c r="P258" s="30">
        <v>75195.69</v>
      </c>
      <c r="Q258" s="30"/>
      <c r="R258" s="30">
        <v>345.22</v>
      </c>
      <c r="S258" s="30">
        <v>35.270000000000003</v>
      </c>
      <c r="T258" s="30">
        <v>82.49</v>
      </c>
      <c r="U258" s="30">
        <v>2109</v>
      </c>
      <c r="V258" s="30">
        <v>45.26</v>
      </c>
      <c r="W258" s="29"/>
      <c r="X258" s="29"/>
      <c r="Y258" s="29"/>
      <c r="Z258" s="29"/>
      <c r="AA258" s="28"/>
      <c r="AB258" s="30">
        <v>363.84</v>
      </c>
      <c r="AC258" s="30">
        <v>325.94</v>
      </c>
      <c r="AD258" s="29">
        <v>1600.84</v>
      </c>
    </row>
    <row r="259" spans="1:30">
      <c r="A259" t="str">
        <f>VLOOKUP(F259,info!$A$2:$G$49,3,FALSE)</f>
        <v>Daewoo</v>
      </c>
      <c r="B259" s="4">
        <v>22</v>
      </c>
      <c r="C259" t="s">
        <v>366</v>
      </c>
      <c r="D259" t="s">
        <v>77</v>
      </c>
      <c r="E259" s="29" t="s">
        <v>324</v>
      </c>
      <c r="F259" s="28">
        <v>8501017</v>
      </c>
      <c r="G259" s="28" t="s">
        <v>32</v>
      </c>
      <c r="H259" s="28"/>
      <c r="I259" s="29"/>
      <c r="J259" s="29">
        <v>2328.25</v>
      </c>
      <c r="K259" s="30">
        <v>369088.11</v>
      </c>
      <c r="L259" s="30">
        <v>2078.2199999999998</v>
      </c>
      <c r="M259" s="30">
        <v>422.84</v>
      </c>
      <c r="N259" s="30">
        <v>22804.89</v>
      </c>
      <c r="O259" s="30"/>
      <c r="P259" s="30">
        <v>416480.17</v>
      </c>
      <c r="Q259" s="30"/>
      <c r="R259" s="30">
        <v>1394.34</v>
      </c>
      <c r="S259" s="30">
        <v>130.41</v>
      </c>
      <c r="T259" s="30">
        <v>94.4</v>
      </c>
      <c r="U259" s="30">
        <v>17120.77</v>
      </c>
      <c r="V259" s="30">
        <v>375.99</v>
      </c>
      <c r="W259" s="29"/>
      <c r="X259" s="29"/>
      <c r="Y259" s="29"/>
      <c r="Z259" s="29"/>
      <c r="AA259" s="28"/>
      <c r="AB259" s="30">
        <v>1438.58</v>
      </c>
      <c r="AC259" s="30">
        <v>1578.19</v>
      </c>
      <c r="AD259" s="29">
        <v>12147.49</v>
      </c>
    </row>
    <row r="260" spans="1:30">
      <c r="A260" t="str">
        <f>VLOOKUP(F260,info!$A$2:$G$49,3,FALSE)</f>
        <v>Daewoo</v>
      </c>
      <c r="B260" s="4">
        <v>23</v>
      </c>
      <c r="C260" t="s">
        <v>366</v>
      </c>
      <c r="D260" t="s">
        <v>77</v>
      </c>
      <c r="E260" s="29" t="s">
        <v>325</v>
      </c>
      <c r="F260" s="28">
        <v>8501017</v>
      </c>
      <c r="G260" s="28" t="s">
        <v>34</v>
      </c>
      <c r="H260" s="28"/>
      <c r="I260" s="29"/>
      <c r="J260" s="29">
        <v>665.79</v>
      </c>
      <c r="K260" s="30">
        <v>110624.59</v>
      </c>
      <c r="L260" s="30">
        <v>772.01</v>
      </c>
      <c r="M260" s="30">
        <v>589.85</v>
      </c>
      <c r="N260" s="30">
        <v>6670.75</v>
      </c>
      <c r="O260" s="30"/>
      <c r="P260" s="30">
        <v>127601.61</v>
      </c>
      <c r="Q260" s="30"/>
      <c r="R260" s="30">
        <v>575.26</v>
      </c>
      <c r="S260" s="30">
        <v>69.849999999999994</v>
      </c>
      <c r="T260" s="30">
        <v>125.36</v>
      </c>
      <c r="U260" s="30">
        <v>5656.67</v>
      </c>
      <c r="V260" s="30">
        <v>130.47999999999999</v>
      </c>
      <c r="W260" s="29"/>
      <c r="X260" s="29"/>
      <c r="Y260" s="29"/>
      <c r="Z260" s="29"/>
      <c r="AA260" s="28"/>
      <c r="AB260" s="30">
        <v>569.49</v>
      </c>
      <c r="AC260" s="30">
        <v>285.04000000000002</v>
      </c>
      <c r="AD260" s="29">
        <v>3772.91</v>
      </c>
    </row>
    <row r="261" spans="1:30">
      <c r="A261" t="str">
        <f>VLOOKUP(F261,info!$A$2:$G$49,3,FALSE)</f>
        <v>Mitsubishi</v>
      </c>
      <c r="B261" s="4">
        <v>24</v>
      </c>
      <c r="C261" t="s">
        <v>366</v>
      </c>
      <c r="D261" t="s">
        <v>77</v>
      </c>
      <c r="E261" s="29" t="s">
        <v>326</v>
      </c>
      <c r="F261" s="28">
        <v>7027220</v>
      </c>
      <c r="G261" s="28" t="s">
        <v>32</v>
      </c>
      <c r="H261" s="28"/>
      <c r="I261" s="29"/>
      <c r="J261" s="29">
        <v>923.53</v>
      </c>
      <c r="K261" s="30">
        <v>110947.68</v>
      </c>
      <c r="L261" s="30">
        <v>678.99</v>
      </c>
      <c r="M261" s="30">
        <v>40.76</v>
      </c>
      <c r="N261" s="30">
        <v>3321.71</v>
      </c>
      <c r="O261" s="30"/>
      <c r="P261" s="30">
        <v>134948.04999999999</v>
      </c>
      <c r="Q261" s="30"/>
      <c r="R261" s="30">
        <v>693.8</v>
      </c>
      <c r="S261" s="30">
        <v>16</v>
      </c>
      <c r="T261" s="30">
        <v>252.24</v>
      </c>
      <c r="U261" s="30">
        <v>4373.54</v>
      </c>
      <c r="V261" s="30">
        <v>70.680000000000007</v>
      </c>
      <c r="W261" s="29"/>
      <c r="X261" s="29"/>
      <c r="Y261" s="29"/>
      <c r="Z261" s="29"/>
      <c r="AA261" s="28"/>
      <c r="AB261" s="30">
        <v>515.73</v>
      </c>
      <c r="AC261" s="30">
        <v>875.77</v>
      </c>
      <c r="AD261" s="29">
        <v>108.12</v>
      </c>
    </row>
    <row r="262" spans="1:30">
      <c r="A262" t="str">
        <f>VLOOKUP(F262,info!$A$2:$G$49,3,FALSE)</f>
        <v>Subaru</v>
      </c>
      <c r="B262" s="4">
        <v>25</v>
      </c>
      <c r="C262" t="s">
        <v>366</v>
      </c>
      <c r="D262" t="s">
        <v>77</v>
      </c>
      <c r="E262" s="29" t="s">
        <v>327</v>
      </c>
      <c r="F262" s="28">
        <v>2675308</v>
      </c>
      <c r="G262" s="28" t="s">
        <v>32</v>
      </c>
      <c r="H262" s="28"/>
      <c r="I262" s="29"/>
      <c r="J262" s="29">
        <v>651.38</v>
      </c>
      <c r="K262" s="30">
        <v>98925.33</v>
      </c>
      <c r="L262" s="30">
        <v>562.89</v>
      </c>
      <c r="M262" s="30">
        <v>394.73</v>
      </c>
      <c r="N262" s="30">
        <v>7253.94</v>
      </c>
      <c r="O262" s="30"/>
      <c r="P262" s="30">
        <v>122250.93</v>
      </c>
      <c r="Q262" s="30"/>
      <c r="R262" s="30">
        <v>389.83</v>
      </c>
      <c r="S262" s="30">
        <v>28.02</v>
      </c>
      <c r="T262" s="30">
        <v>168.2</v>
      </c>
      <c r="U262" s="30">
        <v>2990.9</v>
      </c>
      <c r="V262" s="30">
        <v>105.69</v>
      </c>
      <c r="W262" s="29"/>
      <c r="X262" s="29"/>
      <c r="Y262" s="29"/>
      <c r="Z262" s="29"/>
      <c r="AA262" s="28"/>
      <c r="AB262" s="30">
        <v>222.33</v>
      </c>
      <c r="AC262" s="30">
        <v>634.79999999999995</v>
      </c>
      <c r="AD262" s="29">
        <v>3541.26</v>
      </c>
    </row>
    <row r="263" spans="1:30">
      <c r="A263" t="str">
        <f>VLOOKUP(F263,info!$A$2:$G$49,3,FALSE)</f>
        <v>Mitsubishi</v>
      </c>
      <c r="B263" s="4">
        <v>26</v>
      </c>
      <c r="C263" t="s">
        <v>366</v>
      </c>
      <c r="D263" t="s">
        <v>77</v>
      </c>
      <c r="E263" s="29" t="s">
        <v>328</v>
      </c>
      <c r="F263" s="28">
        <v>7027220</v>
      </c>
      <c r="G263" s="28" t="s">
        <v>34</v>
      </c>
      <c r="H263" s="28"/>
      <c r="I263" s="29"/>
      <c r="J263" s="29">
        <v>468.71</v>
      </c>
      <c r="K263" s="30">
        <v>68802.850000000006</v>
      </c>
      <c r="L263" s="30">
        <v>430.18</v>
      </c>
      <c r="M263" s="30">
        <v>150</v>
      </c>
      <c r="N263" s="30">
        <v>3915.95</v>
      </c>
      <c r="O263" s="30"/>
      <c r="P263" s="30">
        <v>77960.91</v>
      </c>
      <c r="Q263" s="30"/>
      <c r="R263" s="30">
        <v>755.41</v>
      </c>
      <c r="S263" s="30">
        <v>43.36</v>
      </c>
      <c r="T263" s="30">
        <v>115.52</v>
      </c>
      <c r="U263" s="30">
        <v>1987.68</v>
      </c>
      <c r="V263" s="30">
        <v>88.48</v>
      </c>
      <c r="W263" s="29"/>
      <c r="X263" s="29"/>
      <c r="Y263" s="29"/>
      <c r="Z263" s="29"/>
      <c r="AA263" s="28"/>
      <c r="AB263" s="30">
        <v>670.1</v>
      </c>
      <c r="AC263" s="30">
        <v>510.81</v>
      </c>
      <c r="AD263" s="29">
        <v>2675.21</v>
      </c>
    </row>
    <row r="264" spans="1:30">
      <c r="A264" t="str">
        <f>VLOOKUP(F264,info!$A$2:$G$49,3,FALSE)</f>
        <v>Fiat</v>
      </c>
      <c r="B264" s="4">
        <v>27</v>
      </c>
      <c r="C264" t="s">
        <v>366</v>
      </c>
      <c r="D264" t="s">
        <v>77</v>
      </c>
      <c r="E264" s="29" t="s">
        <v>329</v>
      </c>
      <c r="F264" s="28">
        <v>5751910</v>
      </c>
      <c r="G264" s="28" t="s">
        <v>32</v>
      </c>
      <c r="H264" s="28"/>
      <c r="I264" s="29"/>
      <c r="J264" s="29">
        <v>1342.93</v>
      </c>
      <c r="K264" s="30">
        <v>205460.88</v>
      </c>
      <c r="L264" s="30">
        <v>826.81</v>
      </c>
      <c r="M264" s="30">
        <v>684.19</v>
      </c>
      <c r="N264" s="30">
        <v>6872.87</v>
      </c>
      <c r="O264" s="30"/>
      <c r="P264" s="30">
        <v>230636.32</v>
      </c>
      <c r="Q264" s="30"/>
      <c r="R264" s="30">
        <v>999.9</v>
      </c>
      <c r="S264" s="30">
        <v>15.1</v>
      </c>
      <c r="T264" s="30">
        <v>163.15</v>
      </c>
      <c r="U264" s="30">
        <v>16696.53</v>
      </c>
      <c r="V264" s="30">
        <v>360.87</v>
      </c>
      <c r="W264" s="29"/>
      <c r="X264" s="29"/>
      <c r="Y264" s="29"/>
      <c r="Z264" s="29"/>
      <c r="AA264" s="28"/>
      <c r="AB264" s="30">
        <v>550.35</v>
      </c>
      <c r="AC264" s="30">
        <v>269.31</v>
      </c>
      <c r="AD264" s="29">
        <v>8629.9699999999993</v>
      </c>
    </row>
    <row r="265" spans="1:30">
      <c r="A265" t="str">
        <f>VLOOKUP(F265,info!$A$2:$G$49,3,FALSE)</f>
        <v>Subaru</v>
      </c>
      <c r="B265" s="4">
        <v>28</v>
      </c>
      <c r="C265" t="s">
        <v>366</v>
      </c>
      <c r="D265" t="s">
        <v>77</v>
      </c>
      <c r="E265" s="29" t="s">
        <v>330</v>
      </c>
      <c r="F265" s="28">
        <v>2675308</v>
      </c>
      <c r="G265" s="28" t="s">
        <v>32</v>
      </c>
      <c r="H265" s="28"/>
      <c r="I265" s="29"/>
      <c r="J265" s="29">
        <v>1933.19</v>
      </c>
      <c r="K265" s="30">
        <v>225792.13</v>
      </c>
      <c r="L265" s="30">
        <v>1838.49</v>
      </c>
      <c r="M265" s="30">
        <v>993.31</v>
      </c>
      <c r="N265" s="30">
        <v>14316.25</v>
      </c>
      <c r="O265" s="30"/>
      <c r="P265" s="30">
        <v>235144.83</v>
      </c>
      <c r="Q265" s="30"/>
      <c r="R265" s="30">
        <v>670.42</v>
      </c>
      <c r="S265" s="30">
        <v>179.53</v>
      </c>
      <c r="T265" s="30">
        <v>132.80000000000001</v>
      </c>
      <c r="U265" s="30">
        <v>5415.24</v>
      </c>
      <c r="V265" s="30">
        <v>324.07</v>
      </c>
      <c r="W265" s="29"/>
      <c r="X265" s="29"/>
      <c r="Y265" s="29"/>
      <c r="Z265" s="29"/>
      <c r="AA265" s="28"/>
      <c r="AB265" s="30">
        <v>694.53</v>
      </c>
      <c r="AC265" s="30">
        <v>764.63</v>
      </c>
      <c r="AD265" s="29">
        <v>5855.8</v>
      </c>
    </row>
    <row r="266" spans="1:30">
      <c r="A266" t="str">
        <f>VLOOKUP(F266,info!$A$2:$G$49,3,FALSE)</f>
        <v>Renault</v>
      </c>
      <c r="B266" s="4">
        <v>29</v>
      </c>
      <c r="C266" t="s">
        <v>366</v>
      </c>
      <c r="D266" t="s">
        <v>77</v>
      </c>
      <c r="E266" s="29" t="s">
        <v>331</v>
      </c>
      <c r="F266" s="28">
        <v>1147816</v>
      </c>
      <c r="G266" s="28" t="s">
        <v>52</v>
      </c>
      <c r="H266" s="28"/>
      <c r="I266" s="29"/>
      <c r="J266" s="29">
        <v>854.32</v>
      </c>
      <c r="K266" s="30">
        <v>146963.48000000001</v>
      </c>
      <c r="L266" s="30">
        <v>739.69</v>
      </c>
      <c r="M266" s="30">
        <v>466.65</v>
      </c>
      <c r="N266" s="30">
        <v>495.85</v>
      </c>
      <c r="O266" s="30"/>
      <c r="P266" s="30">
        <v>176369.49</v>
      </c>
      <c r="Q266" s="30"/>
      <c r="R266" s="30">
        <v>808.93</v>
      </c>
      <c r="S266" s="30">
        <v>89.7</v>
      </c>
      <c r="T266" s="30">
        <v>319.23</v>
      </c>
      <c r="U266" s="30">
        <v>8103.63</v>
      </c>
      <c r="V266" s="30">
        <v>207.43</v>
      </c>
      <c r="W266" s="29"/>
      <c r="X266" s="29"/>
      <c r="Y266" s="29"/>
      <c r="Z266" s="29"/>
      <c r="AA266" s="28"/>
      <c r="AB266" s="30">
        <v>731.19</v>
      </c>
      <c r="AC266" s="30">
        <v>1825.53</v>
      </c>
      <c r="AD266" s="29">
        <v>5427.72</v>
      </c>
    </row>
    <row r="267" spans="1:30">
      <c r="A267" t="str">
        <f>VLOOKUP(F267,info!$A$2:$G$49,3,FALSE)</f>
        <v>Ford</v>
      </c>
      <c r="B267" s="4">
        <v>30</v>
      </c>
      <c r="C267" t="s">
        <v>366</v>
      </c>
      <c r="D267" t="s">
        <v>77</v>
      </c>
      <c r="E267" s="29" t="s">
        <v>332</v>
      </c>
      <c r="F267" s="28">
        <v>6917835</v>
      </c>
      <c r="G267" s="28" t="s">
        <v>34</v>
      </c>
      <c r="H267" s="28"/>
      <c r="I267" s="29"/>
      <c r="J267" s="29">
        <v>929.93</v>
      </c>
      <c r="K267" s="30">
        <v>156178.70000000001</v>
      </c>
      <c r="L267" s="30">
        <v>485.2</v>
      </c>
      <c r="M267" s="30">
        <v>236.58</v>
      </c>
      <c r="N267" s="30">
        <v>3010.57</v>
      </c>
      <c r="O267" s="30"/>
      <c r="P267" s="30">
        <v>193486.19</v>
      </c>
      <c r="Q267" s="30"/>
      <c r="R267" s="30">
        <v>832.98</v>
      </c>
      <c r="S267" s="30">
        <v>54.66</v>
      </c>
      <c r="T267" s="30">
        <v>5.81</v>
      </c>
      <c r="U267" s="30">
        <v>17067.439999999999</v>
      </c>
      <c r="V267" s="30">
        <v>325.64</v>
      </c>
      <c r="W267" s="29"/>
      <c r="X267" s="29"/>
      <c r="Y267" s="29"/>
      <c r="Z267" s="29"/>
      <c r="AA267" s="28"/>
      <c r="AB267" s="30">
        <v>1307.3</v>
      </c>
      <c r="AC267" s="30">
        <v>1632.7</v>
      </c>
      <c r="AD267" s="29">
        <v>8269.08</v>
      </c>
    </row>
    <row r="268" spans="1:30">
      <c r="A268" t="str">
        <f>VLOOKUP(F268,info!$A$2:$G$49,3,FALSE)</f>
        <v>Hyundai</v>
      </c>
      <c r="B268" s="4">
        <v>31</v>
      </c>
      <c r="C268" t="s">
        <v>366</v>
      </c>
      <c r="D268" t="s">
        <v>77</v>
      </c>
      <c r="E268" s="29" t="s">
        <v>333</v>
      </c>
      <c r="F268" s="28">
        <v>9602910</v>
      </c>
      <c r="G268" s="28" t="s">
        <v>52</v>
      </c>
      <c r="H268" s="28"/>
      <c r="I268" s="29"/>
      <c r="J268" s="29">
        <v>1060.97</v>
      </c>
      <c r="K268" s="30">
        <v>151015.66</v>
      </c>
      <c r="L268" s="30">
        <v>873.06</v>
      </c>
      <c r="M268" s="30">
        <v>535.02</v>
      </c>
      <c r="N268" s="30">
        <v>6880.75</v>
      </c>
      <c r="O268" s="30"/>
      <c r="P268" s="30">
        <v>209361.68</v>
      </c>
      <c r="Q268" s="30"/>
      <c r="R268" s="30">
        <v>754.09</v>
      </c>
      <c r="S268" s="30">
        <v>96.15</v>
      </c>
      <c r="T268" s="30">
        <v>93.81</v>
      </c>
      <c r="U268" s="30">
        <v>7475.25</v>
      </c>
      <c r="V268" s="30">
        <v>279.38</v>
      </c>
      <c r="W268" s="29"/>
      <c r="X268" s="29"/>
      <c r="Y268" s="29"/>
      <c r="Z268" s="29"/>
      <c r="AA268" s="28"/>
      <c r="AB268" s="30">
        <v>175.59</v>
      </c>
      <c r="AC268" s="30">
        <v>1452.47</v>
      </c>
      <c r="AD268" s="29">
        <v>5016.95</v>
      </c>
    </row>
    <row r="269" spans="1:30">
      <c r="A269" t="str">
        <f>VLOOKUP(F269,info!$A$2:$G$49,3,FALSE)</f>
        <v>Hyundai</v>
      </c>
      <c r="B269" s="4">
        <v>32</v>
      </c>
      <c r="C269" t="s">
        <v>366</v>
      </c>
      <c r="D269" t="s">
        <v>77</v>
      </c>
      <c r="E269" s="29" t="s">
        <v>334</v>
      </c>
      <c r="F269" s="28">
        <v>9602910</v>
      </c>
      <c r="G269" s="28" t="s">
        <v>52</v>
      </c>
      <c r="H269" s="28"/>
      <c r="I269" s="29"/>
      <c r="J269" s="29">
        <v>1458.99</v>
      </c>
      <c r="K269" s="30">
        <v>242930.37</v>
      </c>
      <c r="L269" s="30">
        <v>1462.31</v>
      </c>
      <c r="M269" s="30">
        <v>1129.68</v>
      </c>
      <c r="N269" s="30">
        <v>13906.58</v>
      </c>
      <c r="O269" s="30"/>
      <c r="P269" s="30">
        <v>340047.99</v>
      </c>
      <c r="Q269" s="30"/>
      <c r="R269" s="30">
        <v>1428.97</v>
      </c>
      <c r="S269" s="30">
        <v>313.52999999999997</v>
      </c>
      <c r="T269" s="30">
        <v>455.32</v>
      </c>
      <c r="U269" s="30">
        <v>12486.5</v>
      </c>
      <c r="V269" s="30">
        <v>330.75</v>
      </c>
      <c r="W269" s="29"/>
      <c r="X269" s="29"/>
      <c r="Y269" s="29"/>
      <c r="Z269" s="29"/>
      <c r="AA269" s="28"/>
      <c r="AB269" s="30">
        <v>1289.08</v>
      </c>
      <c r="AC269" s="30">
        <v>381.14</v>
      </c>
      <c r="AD269" s="29">
        <v>9153.4500000000007</v>
      </c>
    </row>
    <row r="270" spans="1:30">
      <c r="A270" t="str">
        <f>VLOOKUP(F270,info!$A$2:$G$49,3,FALSE)</f>
        <v>Hyundai</v>
      </c>
      <c r="B270" s="4">
        <v>33</v>
      </c>
      <c r="C270" t="s">
        <v>366</v>
      </c>
      <c r="D270" t="s">
        <v>77</v>
      </c>
      <c r="E270" s="29" t="s">
        <v>335</v>
      </c>
      <c r="F270" s="28">
        <v>9602910</v>
      </c>
      <c r="G270" s="28" t="s">
        <v>34</v>
      </c>
      <c r="H270" s="28"/>
      <c r="I270" s="29"/>
      <c r="J270" s="29">
        <v>945.69</v>
      </c>
      <c r="K270" s="30">
        <v>193895.76</v>
      </c>
      <c r="L270" s="30">
        <v>2485.8000000000002</v>
      </c>
      <c r="M270" s="30">
        <v>863.02</v>
      </c>
      <c r="N270" s="30">
        <v>6987.94</v>
      </c>
      <c r="O270" s="30"/>
      <c r="P270" s="30">
        <v>271257.42</v>
      </c>
      <c r="Q270" s="30"/>
      <c r="R270" s="30">
        <v>931.8</v>
      </c>
      <c r="S270" s="30">
        <v>248</v>
      </c>
      <c r="T270" s="30">
        <v>329.24</v>
      </c>
      <c r="U270" s="30">
        <v>9765.4500000000007</v>
      </c>
      <c r="V270" s="30">
        <v>404.03</v>
      </c>
      <c r="W270" s="29"/>
      <c r="X270" s="29"/>
      <c r="Y270" s="29"/>
      <c r="Z270" s="29"/>
      <c r="AA270" s="28"/>
      <c r="AB270" s="30">
        <v>509.63</v>
      </c>
      <c r="AC270" s="30">
        <v>9.82</v>
      </c>
      <c r="AD270" s="29">
        <v>7112.53</v>
      </c>
    </row>
    <row r="271" spans="1:30">
      <c r="A271" t="str">
        <f>VLOOKUP(F271,info!$A$2:$G$49,3,FALSE)</f>
        <v>Hyundai</v>
      </c>
      <c r="B271" s="4">
        <v>34</v>
      </c>
      <c r="C271" t="s">
        <v>366</v>
      </c>
      <c r="D271" t="s">
        <v>77</v>
      </c>
      <c r="E271" s="29" t="s">
        <v>336</v>
      </c>
      <c r="F271" s="28">
        <v>9602910</v>
      </c>
      <c r="G271" s="28" t="s">
        <v>52</v>
      </c>
      <c r="H271" s="28"/>
      <c r="I271" s="29"/>
      <c r="J271" s="29">
        <v>2043.04</v>
      </c>
      <c r="K271" s="30">
        <v>315674.52</v>
      </c>
      <c r="L271" s="30">
        <v>1889.88</v>
      </c>
      <c r="M271" s="30">
        <v>1104.8900000000001</v>
      </c>
      <c r="N271" s="30">
        <v>11418.73</v>
      </c>
      <c r="O271" s="30"/>
      <c r="P271" s="30">
        <v>398977.39</v>
      </c>
      <c r="Q271" s="30"/>
      <c r="R271" s="30">
        <v>1449.76</v>
      </c>
      <c r="S271" s="30">
        <v>177.82</v>
      </c>
      <c r="T271" s="30">
        <v>169.62</v>
      </c>
      <c r="U271" s="30">
        <v>12615.26</v>
      </c>
      <c r="V271" s="30">
        <v>397.72</v>
      </c>
      <c r="W271" s="29"/>
      <c r="X271" s="29"/>
      <c r="Y271" s="29"/>
      <c r="Z271" s="29"/>
      <c r="AA271" s="28"/>
      <c r="AB271" s="30">
        <v>707.54</v>
      </c>
      <c r="AC271" s="30">
        <v>777.54</v>
      </c>
      <c r="AD271" s="29">
        <v>12559.94</v>
      </c>
    </row>
    <row r="272" spans="1:30">
      <c r="A272" t="str">
        <f>VLOOKUP(F272,info!$A$2:$G$49,3,FALSE)</f>
        <v>Hyundai</v>
      </c>
      <c r="B272" s="4">
        <v>35</v>
      </c>
      <c r="C272" t="s">
        <v>366</v>
      </c>
      <c r="D272" t="s">
        <v>77</v>
      </c>
      <c r="E272" s="29" t="s">
        <v>337</v>
      </c>
      <c r="F272" s="28">
        <v>5826120</v>
      </c>
      <c r="G272" s="28" t="s">
        <v>32</v>
      </c>
      <c r="H272" s="28"/>
      <c r="I272" s="29"/>
      <c r="J272" s="29">
        <v>2055.9299999999998</v>
      </c>
      <c r="K272" s="30">
        <v>366990.74</v>
      </c>
      <c r="L272" s="30">
        <v>2204</v>
      </c>
      <c r="M272" s="30">
        <v>1259.6600000000001</v>
      </c>
      <c r="N272" s="30">
        <v>11192.1</v>
      </c>
      <c r="O272" s="30"/>
      <c r="P272" s="30">
        <v>470631.37</v>
      </c>
      <c r="Q272" s="30"/>
      <c r="R272" s="30">
        <v>1815.93</v>
      </c>
      <c r="S272" s="30">
        <v>351.88</v>
      </c>
      <c r="T272" s="30">
        <v>306.19</v>
      </c>
      <c r="U272" s="30">
        <v>12202.76</v>
      </c>
      <c r="V272" s="30">
        <v>515.29</v>
      </c>
      <c r="W272" s="29"/>
      <c r="X272" s="29"/>
      <c r="Y272" s="29"/>
      <c r="Z272" s="29"/>
      <c r="AA272" s="28"/>
      <c r="AB272" s="30">
        <v>2240.0500000000002</v>
      </c>
      <c r="AC272" s="30">
        <v>1682.58</v>
      </c>
      <c r="AD272" s="29">
        <v>13748.88</v>
      </c>
    </row>
    <row r="273" spans="1:31">
      <c r="A273" t="str">
        <f>VLOOKUP(F273,info!$A$2:$G$49,3,FALSE)</f>
        <v>Hyundai</v>
      </c>
      <c r="B273" s="4">
        <v>36</v>
      </c>
      <c r="C273" t="s">
        <v>366</v>
      </c>
      <c r="D273" t="s">
        <v>77</v>
      </c>
      <c r="E273" s="29" t="s">
        <v>338</v>
      </c>
      <c r="F273" s="28">
        <v>5826120</v>
      </c>
      <c r="G273" s="28" t="s">
        <v>34</v>
      </c>
      <c r="H273" s="28"/>
      <c r="I273" s="29"/>
      <c r="J273" s="29">
        <v>1839.66</v>
      </c>
      <c r="K273" s="30">
        <v>269805.84000000003</v>
      </c>
      <c r="L273" s="30">
        <v>1222.74</v>
      </c>
      <c r="M273" s="30">
        <v>290.17</v>
      </c>
      <c r="N273" s="30">
        <v>23497.63</v>
      </c>
      <c r="O273" s="30"/>
      <c r="P273" s="30">
        <v>348824.68</v>
      </c>
      <c r="Q273" s="30"/>
      <c r="R273" s="30">
        <v>1759.17</v>
      </c>
      <c r="S273" s="30">
        <v>199.3</v>
      </c>
      <c r="T273" s="30">
        <v>787.25</v>
      </c>
      <c r="U273" s="30">
        <v>14282.97</v>
      </c>
      <c r="V273" s="30">
        <v>450.62</v>
      </c>
      <c r="W273" s="29"/>
      <c r="X273" s="29"/>
      <c r="Y273" s="29"/>
      <c r="Z273" s="29"/>
      <c r="AA273" s="28"/>
      <c r="AB273" s="30">
        <v>37.380000000000003</v>
      </c>
      <c r="AC273" s="30">
        <v>1390.05</v>
      </c>
      <c r="AD273" s="29">
        <v>11237.59</v>
      </c>
    </row>
    <row r="274" spans="1:31">
      <c r="A274" t="str">
        <f>VLOOKUP(F274,info!$A$2:$G$49,3,FALSE)</f>
        <v>Ford</v>
      </c>
      <c r="B274" s="4">
        <v>37</v>
      </c>
      <c r="C274" t="s">
        <v>366</v>
      </c>
      <c r="D274" t="s">
        <v>77</v>
      </c>
      <c r="E274" s="29" t="s">
        <v>339</v>
      </c>
      <c r="F274" s="28">
        <v>6917835</v>
      </c>
      <c r="G274" s="28" t="s">
        <v>32</v>
      </c>
      <c r="H274" s="28"/>
      <c r="I274" s="29"/>
      <c r="J274" s="29">
        <v>930.17</v>
      </c>
      <c r="K274" s="30">
        <v>255917.84</v>
      </c>
      <c r="L274" s="30">
        <v>1247.8599999999999</v>
      </c>
      <c r="M274" s="30">
        <v>552.12</v>
      </c>
      <c r="N274" s="30">
        <v>8115.12</v>
      </c>
      <c r="O274" s="30"/>
      <c r="P274" s="30">
        <v>328711.26</v>
      </c>
      <c r="Q274" s="30"/>
      <c r="R274" s="30">
        <v>1418.82</v>
      </c>
      <c r="S274" s="30">
        <v>34.369999999999997</v>
      </c>
      <c r="T274" s="30">
        <v>251.4</v>
      </c>
      <c r="U274" s="30">
        <v>29020.81</v>
      </c>
      <c r="V274" s="30">
        <v>699.99</v>
      </c>
      <c r="W274" s="29"/>
      <c r="X274" s="29"/>
      <c r="Y274" s="29"/>
      <c r="Z274" s="29"/>
      <c r="AA274" s="28"/>
      <c r="AB274" s="30">
        <v>3424.35</v>
      </c>
      <c r="AC274" s="30">
        <v>941.91</v>
      </c>
      <c r="AD274" s="29">
        <v>18895.53</v>
      </c>
    </row>
    <row r="275" spans="1:31">
      <c r="A275" t="str">
        <f>VLOOKUP(F275,info!$A$2:$G$49,3,FALSE)</f>
        <v>Hyundai</v>
      </c>
      <c r="B275" s="4">
        <v>38</v>
      </c>
      <c r="C275" t="s">
        <v>366</v>
      </c>
      <c r="D275" t="s">
        <v>77</v>
      </c>
      <c r="E275" s="29" t="s">
        <v>340</v>
      </c>
      <c r="F275" s="28">
        <v>5826120</v>
      </c>
      <c r="G275" s="28" t="s">
        <v>34</v>
      </c>
      <c r="H275" s="28"/>
      <c r="I275" s="29"/>
      <c r="J275" s="29">
        <v>1896.79</v>
      </c>
      <c r="K275" s="30">
        <v>344273.03</v>
      </c>
      <c r="L275" s="30">
        <v>2053.3000000000002</v>
      </c>
      <c r="M275" s="30">
        <v>1220.45</v>
      </c>
      <c r="N275" s="30">
        <v>10612.18</v>
      </c>
      <c r="O275" s="30"/>
      <c r="P275" s="30">
        <v>456508.41</v>
      </c>
      <c r="Q275" s="30"/>
      <c r="R275" s="30">
        <v>1707.17</v>
      </c>
      <c r="S275" s="30">
        <v>205.25</v>
      </c>
      <c r="T275" s="30">
        <v>387.96</v>
      </c>
      <c r="U275" s="30">
        <v>12714.32</v>
      </c>
      <c r="V275" s="30">
        <v>429.27</v>
      </c>
      <c r="W275" s="29"/>
      <c r="X275" s="29"/>
      <c r="Y275" s="29"/>
      <c r="Z275" s="29"/>
      <c r="AA275" s="28"/>
      <c r="AB275" s="30">
        <v>1836.62</v>
      </c>
      <c r="AC275" s="30">
        <v>1514.89</v>
      </c>
      <c r="AD275" s="29">
        <v>15742.95</v>
      </c>
    </row>
    <row r="276" spans="1:31">
      <c r="A276" t="str">
        <f>VLOOKUP(F276,info!$A$2:$G$49,3,FALSE)</f>
        <v>Renault</v>
      </c>
      <c r="B276" s="4">
        <v>39</v>
      </c>
      <c r="C276" t="s">
        <v>366</v>
      </c>
      <c r="D276" t="s">
        <v>77</v>
      </c>
      <c r="E276" s="29" t="s">
        <v>341</v>
      </c>
      <c r="F276" s="28">
        <v>1147816</v>
      </c>
      <c r="G276" s="28" t="s">
        <v>52</v>
      </c>
      <c r="H276" s="28"/>
      <c r="I276" s="29"/>
      <c r="J276" s="29">
        <v>1825.95</v>
      </c>
      <c r="K276" s="30">
        <v>349811.45</v>
      </c>
      <c r="L276" s="30">
        <v>1255.5899999999999</v>
      </c>
      <c r="M276" s="30">
        <v>706.84</v>
      </c>
      <c r="N276" s="30">
        <v>3445.84</v>
      </c>
      <c r="O276" s="30"/>
      <c r="P276" s="30">
        <v>381175.33</v>
      </c>
      <c r="Q276" s="30"/>
      <c r="R276" s="30">
        <v>1756.32</v>
      </c>
      <c r="S276" s="30">
        <v>296.92</v>
      </c>
      <c r="T276" s="30">
        <v>770.23</v>
      </c>
      <c r="U276" s="30">
        <v>15539.77</v>
      </c>
      <c r="V276" s="30">
        <v>385.87</v>
      </c>
      <c r="W276" s="29"/>
      <c r="X276" s="29"/>
      <c r="Y276" s="29"/>
      <c r="Z276" s="29"/>
      <c r="AA276" s="28"/>
      <c r="AB276" s="30">
        <v>1223.6400000000001</v>
      </c>
      <c r="AC276" s="30">
        <v>840</v>
      </c>
      <c r="AD276" s="29">
        <v>13634.3</v>
      </c>
    </row>
    <row r="277" spans="1:31">
      <c r="A277" t="str">
        <f>VLOOKUP(F277,info!$A$2:$G$49,3,FALSE)</f>
        <v>Subaru</v>
      </c>
      <c r="B277" s="4">
        <v>40</v>
      </c>
      <c r="C277" t="s">
        <v>366</v>
      </c>
      <c r="D277" t="s">
        <v>77</v>
      </c>
      <c r="E277" s="29" t="s">
        <v>342</v>
      </c>
      <c r="F277" s="28">
        <v>2675308</v>
      </c>
      <c r="G277" s="28" t="s">
        <v>34</v>
      </c>
      <c r="H277" s="28"/>
      <c r="I277" s="29"/>
      <c r="J277" s="29">
        <v>2891.59</v>
      </c>
      <c r="K277" s="30">
        <v>383287.12</v>
      </c>
      <c r="L277" s="30">
        <v>1948.39</v>
      </c>
      <c r="M277" s="30">
        <v>753.9</v>
      </c>
      <c r="N277" s="30">
        <v>25942.560000000001</v>
      </c>
      <c r="O277" s="30"/>
      <c r="P277" s="30">
        <v>418825.16</v>
      </c>
      <c r="Q277" s="30"/>
      <c r="R277" s="30">
        <v>1160.94</v>
      </c>
      <c r="S277" s="30">
        <v>137.83000000000001</v>
      </c>
      <c r="T277" s="30">
        <v>172.86</v>
      </c>
      <c r="U277" s="30">
        <v>9048.56</v>
      </c>
      <c r="V277" s="30">
        <v>502.95</v>
      </c>
      <c r="W277" s="29"/>
      <c r="X277" s="29"/>
      <c r="Y277" s="29"/>
      <c r="Z277" s="29"/>
      <c r="AA277" s="28"/>
      <c r="AB277" s="30">
        <v>196.77</v>
      </c>
      <c r="AC277" s="30">
        <v>2310.0100000000002</v>
      </c>
      <c r="AD277" s="29">
        <v>12927.01</v>
      </c>
    </row>
    <row r="278" spans="1:31">
      <c r="A278" t="str">
        <f>VLOOKUP(F278,info!$A$2:$G$49,3,FALSE)</f>
        <v>Fiat</v>
      </c>
      <c r="B278" s="4">
        <v>41</v>
      </c>
      <c r="C278" t="s">
        <v>366</v>
      </c>
      <c r="D278" t="s">
        <v>77</v>
      </c>
      <c r="E278" s="29" t="s">
        <v>343</v>
      </c>
      <c r="F278" s="28">
        <v>5751910</v>
      </c>
      <c r="G278" s="28" t="s">
        <v>34</v>
      </c>
      <c r="H278" s="28"/>
      <c r="I278" s="29"/>
      <c r="J278" s="29">
        <v>1616.61</v>
      </c>
      <c r="K278" s="30">
        <v>370541.9</v>
      </c>
      <c r="L278" s="30">
        <v>1547.12</v>
      </c>
      <c r="M278" s="30">
        <v>1049.18</v>
      </c>
      <c r="N278" s="30">
        <v>1756.58</v>
      </c>
      <c r="O278" s="30"/>
      <c r="P278" s="30">
        <v>415441.46</v>
      </c>
      <c r="Q278" s="30"/>
      <c r="R278" s="30">
        <v>1094.6199999999999</v>
      </c>
      <c r="S278" s="30">
        <v>191.59</v>
      </c>
      <c r="T278" s="30">
        <v>490.65</v>
      </c>
      <c r="U278" s="30">
        <v>27430.83</v>
      </c>
      <c r="V278" s="30">
        <v>551.29999999999995</v>
      </c>
      <c r="W278" s="29"/>
      <c r="X278" s="29"/>
      <c r="Y278" s="29"/>
      <c r="Z278" s="29"/>
      <c r="AA278" s="28"/>
      <c r="AB278" s="30">
        <v>1797.5</v>
      </c>
      <c r="AC278" s="30">
        <v>440.46</v>
      </c>
      <c r="AD278" s="29">
        <v>19670.59</v>
      </c>
    </row>
    <row r="279" spans="1:31">
      <c r="A279" t="str">
        <f>VLOOKUP(F279,info!$A$2:$G$49,3,FALSE)</f>
        <v>Renault</v>
      </c>
      <c r="B279" s="4">
        <v>42</v>
      </c>
      <c r="C279" t="s">
        <v>366</v>
      </c>
      <c r="D279" t="s">
        <v>77</v>
      </c>
      <c r="E279" s="29" t="s">
        <v>344</v>
      </c>
      <c r="F279" s="28">
        <v>1147816</v>
      </c>
      <c r="G279" s="28" t="s">
        <v>34</v>
      </c>
      <c r="H279" s="28"/>
      <c r="I279" s="29"/>
      <c r="J279" s="29">
        <v>1515.6</v>
      </c>
      <c r="K279" s="30">
        <v>270525.96999999997</v>
      </c>
      <c r="L279" s="30">
        <v>1327.54</v>
      </c>
      <c r="M279" s="30">
        <v>555.19000000000005</v>
      </c>
      <c r="N279" s="30">
        <v>31999.64</v>
      </c>
      <c r="O279" s="30"/>
      <c r="P279" s="30">
        <v>354727.83</v>
      </c>
      <c r="Q279" s="30"/>
      <c r="R279" s="30">
        <v>1212.77</v>
      </c>
      <c r="S279" s="30">
        <v>377.2</v>
      </c>
      <c r="T279" s="30">
        <v>74.5</v>
      </c>
      <c r="U279" s="30">
        <v>21721.64</v>
      </c>
      <c r="V279" s="30">
        <v>490.92</v>
      </c>
      <c r="W279" s="29"/>
      <c r="X279" s="29"/>
      <c r="Y279" s="29"/>
      <c r="Z279" s="29"/>
      <c r="AA279" s="28"/>
      <c r="AB279" s="30">
        <v>1010.5</v>
      </c>
      <c r="AC279" s="30">
        <v>400.61</v>
      </c>
      <c r="AD279" s="29">
        <v>14785.22</v>
      </c>
    </row>
    <row r="280" spans="1:31">
      <c r="A280" t="str">
        <f>VLOOKUP(F280,info!$A$2:$G$49,3,FALSE)</f>
        <v>Fiat</v>
      </c>
      <c r="B280" s="4">
        <v>43</v>
      </c>
      <c r="C280" t="s">
        <v>366</v>
      </c>
      <c r="D280" t="s">
        <v>77</v>
      </c>
      <c r="E280" s="29" t="s">
        <v>345</v>
      </c>
      <c r="F280" s="28">
        <v>5751910</v>
      </c>
      <c r="G280" s="28" t="s">
        <v>32</v>
      </c>
      <c r="H280" s="28"/>
      <c r="I280" s="29"/>
      <c r="J280" s="29">
        <v>864.51</v>
      </c>
      <c r="K280" s="30">
        <v>272920.39</v>
      </c>
      <c r="L280" s="30">
        <v>1455.46</v>
      </c>
      <c r="M280" s="30">
        <v>470.39</v>
      </c>
      <c r="N280" s="30">
        <v>763.04</v>
      </c>
      <c r="O280" s="30"/>
      <c r="P280" s="30">
        <v>345939.94</v>
      </c>
      <c r="Q280" s="30"/>
      <c r="R280" s="30">
        <v>805.78</v>
      </c>
      <c r="S280" s="30">
        <v>61.22</v>
      </c>
      <c r="T280" s="30">
        <v>478.3</v>
      </c>
      <c r="U280" s="30">
        <v>26152.560000000001</v>
      </c>
      <c r="V280" s="30">
        <v>621.30999999999995</v>
      </c>
      <c r="W280" s="29"/>
      <c r="X280" s="29"/>
      <c r="Y280" s="29"/>
      <c r="Z280" s="29"/>
      <c r="AA280" s="28"/>
      <c r="AB280" s="30">
        <v>1274.96</v>
      </c>
      <c r="AC280" s="30">
        <v>1381.66</v>
      </c>
      <c r="AD280" s="29">
        <v>15404.33</v>
      </c>
    </row>
    <row r="281" spans="1:31">
      <c r="A281" t="str">
        <f>VLOOKUP(F281,info!$A$2:$G$49,3,FALSE)</f>
        <v>Hyundai</v>
      </c>
      <c r="B281" s="4">
        <v>44</v>
      </c>
      <c r="C281" t="s">
        <v>366</v>
      </c>
      <c r="D281" t="s">
        <v>77</v>
      </c>
      <c r="E281" s="29" t="s">
        <v>346</v>
      </c>
      <c r="F281" s="28">
        <v>9602910</v>
      </c>
      <c r="G281" s="28" t="s">
        <v>32</v>
      </c>
      <c r="H281" s="28"/>
      <c r="I281" s="29"/>
      <c r="J281" s="29">
        <v>1117.47</v>
      </c>
      <c r="K281" s="30">
        <v>247936.57</v>
      </c>
      <c r="L281" s="30">
        <v>1810.33</v>
      </c>
      <c r="M281" s="30">
        <v>775.25</v>
      </c>
      <c r="N281" s="30">
        <v>9006.42</v>
      </c>
      <c r="O281" s="30"/>
      <c r="P281" s="30">
        <v>365198.26</v>
      </c>
      <c r="Q281" s="30"/>
      <c r="R281" s="30">
        <v>1198.1600000000001</v>
      </c>
      <c r="S281" s="30">
        <v>298.93</v>
      </c>
      <c r="T281" s="30">
        <v>154.84</v>
      </c>
      <c r="U281" s="30">
        <v>14017.58</v>
      </c>
      <c r="V281" s="30">
        <v>459.61</v>
      </c>
      <c r="W281" s="29"/>
      <c r="X281" s="29"/>
      <c r="Y281" s="29"/>
      <c r="Z281" s="29"/>
      <c r="AA281" s="28"/>
      <c r="AB281" s="30">
        <v>80.8</v>
      </c>
      <c r="AC281" s="30">
        <v>2231.92</v>
      </c>
      <c r="AD281" s="29">
        <v>13145.17</v>
      </c>
    </row>
    <row r="282" spans="1:31">
      <c r="A282" t="str">
        <f>VLOOKUP(F282,info!$A$2:$G$49,3,FALSE)</f>
        <v>Subaru</v>
      </c>
      <c r="B282" s="4">
        <v>45</v>
      </c>
      <c r="C282" t="s">
        <v>366</v>
      </c>
      <c r="D282" t="s">
        <v>77</v>
      </c>
      <c r="E282" s="29" t="s">
        <v>347</v>
      </c>
      <c r="F282" s="28">
        <v>2675308</v>
      </c>
      <c r="G282" s="28" t="s">
        <v>34</v>
      </c>
      <c r="H282" s="28"/>
      <c r="I282" s="29"/>
      <c r="J282" s="29">
        <v>2125.9699999999998</v>
      </c>
      <c r="K282" s="30">
        <v>335154.24</v>
      </c>
      <c r="L282" s="30">
        <v>1878.23</v>
      </c>
      <c r="M282" s="30">
        <v>549.1</v>
      </c>
      <c r="N282" s="30">
        <v>22618.95</v>
      </c>
      <c r="O282" s="30"/>
      <c r="P282" s="30">
        <v>384531.8</v>
      </c>
      <c r="Q282" s="30"/>
      <c r="R282" s="30">
        <v>1025.8900000000001</v>
      </c>
      <c r="S282" s="30">
        <v>211.68</v>
      </c>
      <c r="T282" s="30">
        <v>224.08</v>
      </c>
      <c r="U282" s="30">
        <v>8647.3799999999992</v>
      </c>
      <c r="V282" s="30">
        <v>491.64</v>
      </c>
      <c r="W282" s="29"/>
      <c r="X282" s="29"/>
      <c r="Y282" s="29"/>
      <c r="Z282" s="29"/>
      <c r="AA282" s="28"/>
      <c r="AB282" s="30">
        <v>303.68</v>
      </c>
      <c r="AC282" s="30">
        <v>388.85</v>
      </c>
      <c r="AD282" s="29">
        <v>12718.53</v>
      </c>
    </row>
    <row r="283" spans="1:31">
      <c r="A283" t="str">
        <f>VLOOKUP(F283,info!$A$2:$G$49,3,FALSE)</f>
        <v>Renault</v>
      </c>
      <c r="B283" s="4">
        <v>46</v>
      </c>
      <c r="C283" t="s">
        <v>366</v>
      </c>
      <c r="D283" t="s">
        <v>77</v>
      </c>
      <c r="E283" s="29" t="s">
        <v>348</v>
      </c>
      <c r="F283" s="28">
        <v>1147816</v>
      </c>
      <c r="G283" s="28" t="s">
        <v>34</v>
      </c>
      <c r="H283" s="28"/>
      <c r="I283" s="29"/>
      <c r="J283" s="29">
        <v>1484.06</v>
      </c>
      <c r="K283" s="30">
        <v>378190.36</v>
      </c>
      <c r="L283" s="30">
        <v>1273.45</v>
      </c>
      <c r="M283" s="30">
        <v>731.22</v>
      </c>
      <c r="N283" s="30">
        <v>7383.87</v>
      </c>
      <c r="O283" s="30"/>
      <c r="P283" s="30">
        <v>420815.28</v>
      </c>
      <c r="Q283" s="30"/>
      <c r="R283" s="30">
        <v>1028.19</v>
      </c>
      <c r="S283" s="30">
        <v>11.4</v>
      </c>
      <c r="T283" s="30">
        <v>271.66000000000003</v>
      </c>
      <c r="U283" s="30">
        <v>26356.6</v>
      </c>
      <c r="V283" s="30">
        <v>763.28</v>
      </c>
      <c r="W283" s="29"/>
      <c r="X283" s="29"/>
      <c r="Y283" s="29"/>
      <c r="Z283" s="29"/>
      <c r="AA283" s="28"/>
      <c r="AB283" s="30">
        <v>33.770000000000003</v>
      </c>
      <c r="AC283" s="30">
        <v>1283.81</v>
      </c>
      <c r="AD283" s="29">
        <v>14564.49</v>
      </c>
    </row>
    <row r="284" spans="1:31">
      <c r="A284" t="str">
        <f>VLOOKUP(F284,info!$A$2:$G$49,3,FALSE)</f>
        <v>Renault</v>
      </c>
      <c r="B284" s="4">
        <v>47</v>
      </c>
      <c r="C284" t="s">
        <v>366</v>
      </c>
      <c r="D284" t="s">
        <v>77</v>
      </c>
      <c r="E284" s="29" t="s">
        <v>349</v>
      </c>
      <c r="F284" s="28">
        <v>1147816</v>
      </c>
      <c r="G284" s="28" t="s">
        <v>32</v>
      </c>
      <c r="H284" s="28"/>
      <c r="I284" s="29"/>
      <c r="J284" s="29">
        <v>1789.14</v>
      </c>
      <c r="K284" s="30">
        <v>379933.38</v>
      </c>
      <c r="L284" s="30">
        <v>1475.76</v>
      </c>
      <c r="M284" s="30">
        <v>1181.29</v>
      </c>
      <c r="N284" s="30">
        <v>7176.87</v>
      </c>
      <c r="O284" s="30"/>
      <c r="P284" s="30">
        <v>420235.85</v>
      </c>
      <c r="Q284" s="30"/>
      <c r="R284" s="30">
        <v>1207.46</v>
      </c>
      <c r="S284" s="30">
        <v>94.38</v>
      </c>
      <c r="T284" s="30">
        <v>307.17</v>
      </c>
      <c r="U284" s="30">
        <v>25751.41</v>
      </c>
      <c r="V284" s="30">
        <v>588.73</v>
      </c>
      <c r="W284" s="29"/>
      <c r="X284" s="29"/>
      <c r="Y284" s="29"/>
      <c r="Z284" s="29"/>
      <c r="AA284" s="28"/>
      <c r="AB284" s="30">
        <v>1026.7</v>
      </c>
      <c r="AC284" s="30">
        <v>3.46</v>
      </c>
      <c r="AD284" s="29">
        <v>14542.09</v>
      </c>
    </row>
    <row r="285" spans="1:31">
      <c r="A285" t="str">
        <f>VLOOKUP(F285,info!$A$2:$G$49,3,FALSE)</f>
        <v>Hyundai</v>
      </c>
      <c r="B285" s="4">
        <v>48</v>
      </c>
      <c r="C285" t="s">
        <v>366</v>
      </c>
      <c r="D285" t="s">
        <v>77</v>
      </c>
      <c r="E285" s="29" t="s">
        <v>350</v>
      </c>
      <c r="F285" s="28">
        <v>5826120</v>
      </c>
      <c r="G285" s="28" t="s">
        <v>52</v>
      </c>
      <c r="H285" s="28"/>
      <c r="I285" s="29"/>
      <c r="J285" s="29">
        <v>1463.64</v>
      </c>
      <c r="K285" s="30">
        <v>308781.8</v>
      </c>
      <c r="L285" s="30">
        <v>1526.65</v>
      </c>
      <c r="M285" s="30">
        <v>860.98</v>
      </c>
      <c r="N285" s="30">
        <v>8578.76</v>
      </c>
      <c r="O285" s="30"/>
      <c r="P285" s="30">
        <v>408335.99</v>
      </c>
      <c r="Q285" s="30"/>
      <c r="R285" s="30">
        <v>1283.08</v>
      </c>
      <c r="S285" s="30">
        <v>383.64</v>
      </c>
      <c r="T285" s="30">
        <v>191.33</v>
      </c>
      <c r="U285" s="30">
        <v>11286.12</v>
      </c>
      <c r="V285" s="30">
        <v>497.2</v>
      </c>
      <c r="W285" s="29"/>
      <c r="X285" s="29"/>
      <c r="Y285" s="29"/>
      <c r="Z285" s="29"/>
      <c r="AA285" s="28"/>
      <c r="AB285" s="30">
        <v>147.32</v>
      </c>
      <c r="AC285" s="30">
        <v>422.08</v>
      </c>
      <c r="AD285" s="29">
        <v>12842.02</v>
      </c>
    </row>
    <row r="286" spans="1:31">
      <c r="A286" t="str">
        <f>VLOOKUP(B286,info!$B$2:$F$49,2,FALSE)</f>
        <v>Mazda</v>
      </c>
      <c r="B286" s="32">
        <v>1</v>
      </c>
      <c r="C286" t="s">
        <v>367</v>
      </c>
      <c r="D286" t="s">
        <v>30</v>
      </c>
      <c r="E286" s="31" t="s">
        <v>351</v>
      </c>
      <c r="F286">
        <f>VLOOKUP(B286,info!$B$2:$I$49,8,FALSE)</f>
        <v>3550828</v>
      </c>
      <c r="G286" t="str">
        <f>VLOOKUP(B286,info!$B$2:$I$49,5,FALSE)</f>
        <v>front</v>
      </c>
      <c r="J286" s="30">
        <v>2430</v>
      </c>
      <c r="K286" s="30">
        <v>429000</v>
      </c>
      <c r="L286" s="30">
        <v>1290</v>
      </c>
      <c r="M286" s="30">
        <v>19.5</v>
      </c>
      <c r="N286" s="30">
        <v>49400</v>
      </c>
      <c r="O286" s="30"/>
      <c r="P286" s="30">
        <v>602000</v>
      </c>
      <c r="Q286" s="30"/>
      <c r="R286" s="30">
        <v>1520</v>
      </c>
      <c r="S286" s="30"/>
      <c r="T286" s="30">
        <v>217</v>
      </c>
      <c r="U286" s="30">
        <v>15500</v>
      </c>
      <c r="V286" s="30"/>
      <c r="W286" s="30"/>
      <c r="X286" s="30"/>
      <c r="Y286" s="30"/>
      <c r="Z286" s="30"/>
      <c r="AA286" s="30"/>
      <c r="AB286" s="30">
        <v>9360</v>
      </c>
      <c r="AC286" s="30"/>
      <c r="AD286" s="30"/>
      <c r="AE286" s="30">
        <v>57200</v>
      </c>
    </row>
    <row r="287" spans="1:31">
      <c r="A287" t="str">
        <f>VLOOKUP(B287,info!$B$2:$F$49,2,FALSE)</f>
        <v>Mazda</v>
      </c>
      <c r="B287" s="32">
        <v>1</v>
      </c>
      <c r="C287" t="s">
        <v>367</v>
      </c>
      <c r="D287" t="s">
        <v>77</v>
      </c>
      <c r="E287" s="31" t="s">
        <v>351</v>
      </c>
      <c r="F287">
        <f>VLOOKUP(B287,info!$B$2:$I$49,8,FALSE)</f>
        <v>3550828</v>
      </c>
      <c r="G287" t="str">
        <f>VLOOKUP(B287,info!$B$2:$I$49,5,FALSE)</f>
        <v>front</v>
      </c>
      <c r="J287" s="30">
        <v>2360</v>
      </c>
      <c r="K287" s="30">
        <v>428000</v>
      </c>
      <c r="L287" s="30">
        <v>1310</v>
      </c>
      <c r="M287" s="30">
        <v>421</v>
      </c>
      <c r="N287" s="30">
        <v>51500</v>
      </c>
      <c r="O287" s="30"/>
      <c r="P287" s="30">
        <v>631000</v>
      </c>
      <c r="Q287" s="30"/>
      <c r="R287" s="30">
        <v>1470</v>
      </c>
      <c r="S287" s="30"/>
      <c r="T287" s="30">
        <v>186</v>
      </c>
      <c r="U287" s="30">
        <v>20900</v>
      </c>
      <c r="V287" s="30"/>
      <c r="W287" s="30"/>
      <c r="X287" s="30"/>
      <c r="Y287" s="30"/>
      <c r="Z287" s="30"/>
      <c r="AA287" s="30"/>
      <c r="AB287" s="30">
        <v>42400</v>
      </c>
      <c r="AC287" s="30"/>
      <c r="AD287" s="30"/>
      <c r="AE287" s="30">
        <v>97200</v>
      </c>
    </row>
    <row r="288" spans="1:31">
      <c r="A288" t="str">
        <f>VLOOKUP(B288,info!$B$2:$F$49,2,FALSE)</f>
        <v>Mazda</v>
      </c>
      <c r="B288" s="32">
        <v>2</v>
      </c>
      <c r="C288" t="s">
        <v>367</v>
      </c>
      <c r="D288" t="s">
        <v>77</v>
      </c>
      <c r="E288" s="31" t="s">
        <v>351</v>
      </c>
      <c r="F288">
        <f>VLOOKUP(B288,info!$B$2:$I$49,8,FALSE)</f>
        <v>3550828</v>
      </c>
      <c r="G288" t="str">
        <f>VLOOKUP(B288,info!$B$2:$I$49,5,FALSE)</f>
        <v>back</v>
      </c>
      <c r="J288" s="30">
        <v>3130</v>
      </c>
      <c r="K288" s="30">
        <v>517000</v>
      </c>
      <c r="L288" s="30">
        <v>1730</v>
      </c>
      <c r="M288" s="30">
        <v>159</v>
      </c>
      <c r="N288" s="30">
        <v>58600</v>
      </c>
      <c r="O288" s="30"/>
      <c r="P288" s="30">
        <v>756000</v>
      </c>
      <c r="Q288" s="30"/>
      <c r="R288" s="30">
        <v>1690</v>
      </c>
      <c r="S288" s="30"/>
      <c r="T288" s="30">
        <v>322</v>
      </c>
      <c r="U288" s="30">
        <v>26900</v>
      </c>
      <c r="V288" s="30"/>
      <c r="W288" s="30"/>
      <c r="X288" s="30"/>
      <c r="Y288" s="30"/>
      <c r="Z288" s="30"/>
      <c r="AA288" s="30"/>
      <c r="AB288" s="30">
        <v>52700</v>
      </c>
      <c r="AC288" s="30"/>
      <c r="AD288" s="30"/>
      <c r="AE288" s="30">
        <v>67900</v>
      </c>
    </row>
    <row r="289" spans="1:31">
      <c r="A289" t="str">
        <f>VLOOKUP(B289,info!$B$2:$F$49,2,FALSE)</f>
        <v>Mazda</v>
      </c>
      <c r="B289" s="32">
        <v>2</v>
      </c>
      <c r="C289" t="s">
        <v>367</v>
      </c>
      <c r="D289" t="s">
        <v>30</v>
      </c>
      <c r="E289" s="31" t="s">
        <v>351</v>
      </c>
      <c r="F289">
        <f>VLOOKUP(B289,info!$B$2:$I$49,8,FALSE)</f>
        <v>3550828</v>
      </c>
      <c r="G289" t="str">
        <f>VLOOKUP(B289,info!$B$2:$I$49,5,FALSE)</f>
        <v>back</v>
      </c>
      <c r="J289" s="30">
        <v>2490</v>
      </c>
      <c r="K289" s="30">
        <v>442000</v>
      </c>
      <c r="L289" s="30">
        <v>1210</v>
      </c>
      <c r="M289" s="30">
        <v>88.2</v>
      </c>
      <c r="N289" s="30">
        <v>49400</v>
      </c>
      <c r="O289" s="30"/>
      <c r="P289" s="30">
        <v>634000</v>
      </c>
      <c r="Q289" s="30"/>
      <c r="R289" s="30">
        <v>1610</v>
      </c>
      <c r="S289" s="30"/>
      <c r="T289" s="30">
        <v>282</v>
      </c>
      <c r="U289" s="30">
        <v>23000</v>
      </c>
      <c r="V289" s="30"/>
      <c r="W289" s="30"/>
      <c r="X289" s="30"/>
      <c r="Y289" s="30"/>
      <c r="Z289" s="30"/>
      <c r="AA289" s="30"/>
      <c r="AB289" s="30">
        <v>9810</v>
      </c>
      <c r="AC289" s="30"/>
      <c r="AD289" s="30"/>
      <c r="AE289" s="30">
        <v>92500</v>
      </c>
    </row>
    <row r="290" spans="1:31">
      <c r="A290" t="str">
        <f>VLOOKUP(B290,info!$B$2:$F$49,2,FALSE)</f>
        <v>Mazda</v>
      </c>
      <c r="B290" s="32">
        <v>3</v>
      </c>
      <c r="C290" t="s">
        <v>367</v>
      </c>
      <c r="D290" t="s">
        <v>77</v>
      </c>
      <c r="E290" s="31" t="s">
        <v>351</v>
      </c>
      <c r="F290">
        <f>VLOOKUP(B290,info!$B$2:$I$49,8,FALSE)</f>
        <v>3550828</v>
      </c>
      <c r="G290" t="str">
        <f>VLOOKUP(B290,info!$B$2:$I$49,5,FALSE)</f>
        <v>back</v>
      </c>
      <c r="J290" s="30">
        <v>1970</v>
      </c>
      <c r="K290" s="30">
        <v>377000</v>
      </c>
      <c r="L290" s="30">
        <v>6520</v>
      </c>
      <c r="M290" s="30">
        <v>26200</v>
      </c>
      <c r="N290" s="30">
        <v>56600</v>
      </c>
      <c r="O290" s="30"/>
      <c r="P290" s="30">
        <v>700000</v>
      </c>
      <c r="Q290" s="30"/>
      <c r="R290" s="30">
        <v>1650</v>
      </c>
      <c r="S290" s="30"/>
      <c r="T290" s="30">
        <v>436</v>
      </c>
      <c r="U290" s="30">
        <v>25200</v>
      </c>
      <c r="V290" s="30"/>
      <c r="W290" s="30"/>
      <c r="X290" s="30"/>
      <c r="Y290" s="30"/>
      <c r="Z290" s="30"/>
      <c r="AA290" s="30"/>
      <c r="AB290" s="30">
        <v>48800</v>
      </c>
      <c r="AC290" s="30"/>
      <c r="AD290" s="30"/>
      <c r="AE290" s="30">
        <v>74400</v>
      </c>
    </row>
    <row r="291" spans="1:31">
      <c r="A291" t="str">
        <f>VLOOKUP(B291,info!$B$2:$F$49,2,FALSE)</f>
        <v>Mazda</v>
      </c>
      <c r="B291" s="32">
        <v>3</v>
      </c>
      <c r="C291" t="s">
        <v>367</v>
      </c>
      <c r="D291" t="s">
        <v>30</v>
      </c>
      <c r="E291" s="31" t="s">
        <v>351</v>
      </c>
      <c r="F291">
        <f>VLOOKUP(B291,info!$B$2:$I$49,8,FALSE)</f>
        <v>3550828</v>
      </c>
      <c r="G291" t="str">
        <f>VLOOKUP(B291,info!$B$2:$I$49,5,FALSE)</f>
        <v>back</v>
      </c>
      <c r="J291" s="30">
        <v>2400</v>
      </c>
      <c r="K291" s="30">
        <v>399000</v>
      </c>
      <c r="L291" s="30">
        <v>1280</v>
      </c>
      <c r="M291" s="30">
        <v>113</v>
      </c>
      <c r="N291" s="30">
        <v>44600</v>
      </c>
      <c r="O291" s="30"/>
      <c r="P291" s="30">
        <v>566000</v>
      </c>
      <c r="Q291" s="30"/>
      <c r="R291" s="30">
        <v>1290</v>
      </c>
      <c r="S291" s="30"/>
      <c r="T291" s="30">
        <v>287</v>
      </c>
      <c r="U291" s="30">
        <v>20200</v>
      </c>
      <c r="V291" s="30"/>
      <c r="W291" s="30"/>
      <c r="X291" s="30"/>
      <c r="Y291" s="30"/>
      <c r="Z291" s="30"/>
      <c r="AA291" s="30"/>
      <c r="AB291" s="30">
        <v>8970</v>
      </c>
      <c r="AC291" s="30"/>
      <c r="AD291" s="30"/>
      <c r="AE291" s="30">
        <v>93900</v>
      </c>
    </row>
    <row r="292" spans="1:31">
      <c r="A292" t="str">
        <f>VLOOKUP(B292,info!$B$2:$F$49,2,FALSE)</f>
        <v>Peugeot</v>
      </c>
      <c r="B292" s="32">
        <v>4</v>
      </c>
      <c r="C292" t="s">
        <v>367</v>
      </c>
      <c r="D292" t="s">
        <v>77</v>
      </c>
      <c r="E292" s="31" t="s">
        <v>351</v>
      </c>
      <c r="F292">
        <f>VLOOKUP(B292,info!$B$2:$I$49,8,FALSE)</f>
        <v>9367324</v>
      </c>
      <c r="G292" t="str">
        <f>VLOOKUP(B292,info!$B$2:$I$49,5,FALSE)</f>
        <v>front</v>
      </c>
      <c r="J292" s="30">
        <v>2070</v>
      </c>
      <c r="K292" s="30">
        <v>641000</v>
      </c>
      <c r="L292" s="30">
        <v>2350</v>
      </c>
      <c r="M292" s="30">
        <v>758</v>
      </c>
      <c r="N292" s="30">
        <v>16000</v>
      </c>
      <c r="O292" s="30"/>
      <c r="P292" s="30">
        <v>957000</v>
      </c>
      <c r="Q292" s="30"/>
      <c r="R292" s="30">
        <v>2410</v>
      </c>
      <c r="S292" s="30"/>
      <c r="T292" s="30">
        <v>1000</v>
      </c>
      <c r="U292" s="30">
        <v>63000</v>
      </c>
      <c r="V292" s="30"/>
      <c r="W292" s="30"/>
      <c r="X292" s="30"/>
      <c r="Y292" s="30"/>
      <c r="Z292" s="30"/>
      <c r="AA292" s="30"/>
      <c r="AB292" s="30">
        <v>64900</v>
      </c>
      <c r="AC292" s="30"/>
      <c r="AD292" s="30"/>
      <c r="AE292" s="30">
        <v>91700</v>
      </c>
    </row>
    <row r="293" spans="1:31">
      <c r="A293" t="str">
        <f>VLOOKUP(B293,info!$B$2:$F$49,2,FALSE)</f>
        <v>Peugeot</v>
      </c>
      <c r="B293" s="32">
        <v>4</v>
      </c>
      <c r="C293" t="s">
        <v>367</v>
      </c>
      <c r="D293" t="s">
        <v>30</v>
      </c>
      <c r="E293" s="31" t="s">
        <v>351</v>
      </c>
      <c r="F293">
        <f>VLOOKUP(B293,info!$B$2:$I$49,8,FALSE)</f>
        <v>9367324</v>
      </c>
      <c r="G293" t="str">
        <f>VLOOKUP(B293,info!$B$2:$I$49,5,FALSE)</f>
        <v>front</v>
      </c>
      <c r="J293" s="30">
        <v>1500</v>
      </c>
      <c r="K293" s="30">
        <v>502000</v>
      </c>
      <c r="L293" s="30">
        <v>2050</v>
      </c>
      <c r="M293" s="30">
        <v>123</v>
      </c>
      <c r="N293" s="30">
        <v>11900</v>
      </c>
      <c r="O293" s="30"/>
      <c r="P293" s="30">
        <v>732000</v>
      </c>
      <c r="Q293" s="30"/>
      <c r="R293" s="30">
        <v>1770</v>
      </c>
      <c r="S293" s="30"/>
      <c r="T293" s="30">
        <v>775</v>
      </c>
      <c r="U293" s="30">
        <v>41700</v>
      </c>
      <c r="V293" s="30"/>
      <c r="W293" s="30"/>
      <c r="X293" s="30"/>
      <c r="Y293" s="30"/>
      <c r="Z293" s="30"/>
      <c r="AA293" s="30"/>
      <c r="AB293" s="30">
        <v>9790</v>
      </c>
      <c r="AC293" s="30"/>
      <c r="AD293" s="30"/>
      <c r="AE293" s="30">
        <v>110000</v>
      </c>
    </row>
    <row r="294" spans="1:31">
      <c r="A294" t="str">
        <f>VLOOKUP(B294,info!$B$2:$F$49,2,FALSE)</f>
        <v>Peugeot</v>
      </c>
      <c r="B294" s="32">
        <v>5</v>
      </c>
      <c r="C294" t="s">
        <v>367</v>
      </c>
      <c r="D294" t="s">
        <v>77</v>
      </c>
      <c r="E294" s="31" t="s">
        <v>351</v>
      </c>
      <c r="F294">
        <f>VLOOKUP(B294,info!$B$2:$I$49,8,FALSE)</f>
        <v>9367324</v>
      </c>
      <c r="G294" t="str">
        <f>VLOOKUP(B294,info!$B$2:$I$49,5,FALSE)</f>
        <v>front</v>
      </c>
      <c r="J294" s="30">
        <v>1790</v>
      </c>
      <c r="K294" s="30">
        <v>728000</v>
      </c>
      <c r="L294" s="30">
        <v>2880</v>
      </c>
      <c r="M294" s="30">
        <v>195</v>
      </c>
      <c r="N294" s="30">
        <v>7090</v>
      </c>
      <c r="O294" s="30"/>
      <c r="P294" s="30">
        <v>1090000</v>
      </c>
      <c r="Q294" s="30"/>
      <c r="R294" s="30">
        <v>373</v>
      </c>
      <c r="S294" s="30"/>
      <c r="T294" s="30">
        <v>914</v>
      </c>
      <c r="U294" s="30">
        <v>71400</v>
      </c>
      <c r="V294" s="30"/>
      <c r="W294" s="30"/>
      <c r="X294" s="30"/>
      <c r="Y294" s="30"/>
      <c r="Z294" s="30"/>
      <c r="AA294" s="30"/>
      <c r="AB294" s="30">
        <v>101000</v>
      </c>
      <c r="AC294" s="30"/>
      <c r="AD294" s="30"/>
      <c r="AE294" s="30">
        <v>95600</v>
      </c>
    </row>
    <row r="295" spans="1:31">
      <c r="A295" t="str">
        <f>VLOOKUP(B295,info!$B$2:$F$49,2,FALSE)</f>
        <v>Peugeot</v>
      </c>
      <c r="B295" s="32">
        <v>5</v>
      </c>
      <c r="C295" t="s">
        <v>367</v>
      </c>
      <c r="D295" t="s">
        <v>30</v>
      </c>
      <c r="E295" s="31" t="s">
        <v>351</v>
      </c>
      <c r="F295">
        <f>VLOOKUP(B295,info!$B$2:$I$49,8,FALSE)</f>
        <v>9367324</v>
      </c>
      <c r="G295" t="str">
        <f>VLOOKUP(B295,info!$B$2:$I$49,5,FALSE)</f>
        <v>front</v>
      </c>
      <c r="J295" s="30">
        <v>906</v>
      </c>
      <c r="K295" s="30">
        <v>553000</v>
      </c>
      <c r="L295" s="30">
        <v>2100</v>
      </c>
      <c r="M295" s="30">
        <v>154</v>
      </c>
      <c r="N295" s="30">
        <v>3670</v>
      </c>
      <c r="O295" s="30"/>
      <c r="P295" s="30">
        <v>803000</v>
      </c>
      <c r="Q295" s="30"/>
      <c r="R295" s="30">
        <v>340</v>
      </c>
      <c r="S295" s="30"/>
      <c r="T295" s="30">
        <v>708</v>
      </c>
      <c r="U295" s="30">
        <v>47500</v>
      </c>
      <c r="V295" s="30"/>
      <c r="W295" s="30"/>
      <c r="X295" s="30"/>
      <c r="Y295" s="30"/>
      <c r="Z295" s="30"/>
      <c r="AA295" s="30"/>
      <c r="AB295" s="30">
        <v>10800</v>
      </c>
      <c r="AC295" s="30"/>
      <c r="AD295" s="30"/>
      <c r="AE295" s="30">
        <v>103000</v>
      </c>
    </row>
    <row r="296" spans="1:31">
      <c r="A296" t="str">
        <f>VLOOKUP(B296,info!$B$2:$F$49,2,FALSE)</f>
        <v>Mazda</v>
      </c>
      <c r="B296" s="32">
        <v>6</v>
      </c>
      <c r="C296" t="s">
        <v>367</v>
      </c>
      <c r="D296" t="s">
        <v>77</v>
      </c>
      <c r="E296" s="31" t="s">
        <v>351</v>
      </c>
      <c r="F296">
        <f>VLOOKUP(B296,info!$B$2:$I$49,8,FALSE)</f>
        <v>3550828</v>
      </c>
      <c r="G296" t="str">
        <f>VLOOKUP(B296,info!$B$2:$I$49,5,FALSE)</f>
        <v>front</v>
      </c>
      <c r="J296" s="30">
        <v>2990</v>
      </c>
      <c r="K296" s="30">
        <v>512000</v>
      </c>
      <c r="L296" s="30">
        <v>1610</v>
      </c>
      <c r="M296" s="30">
        <v>186</v>
      </c>
      <c r="N296" s="30">
        <v>59800</v>
      </c>
      <c r="O296" s="30"/>
      <c r="P296" s="30">
        <v>745000</v>
      </c>
      <c r="Q296" s="30"/>
      <c r="R296" s="30">
        <v>1790</v>
      </c>
      <c r="S296" s="30"/>
      <c r="T296" s="30">
        <v>275</v>
      </c>
      <c r="U296" s="30">
        <v>26800</v>
      </c>
      <c r="V296" s="30"/>
      <c r="W296" s="30"/>
      <c r="X296" s="30"/>
      <c r="Y296" s="30"/>
      <c r="Z296" s="30"/>
      <c r="AA296" s="30"/>
      <c r="AB296" s="30">
        <v>49500</v>
      </c>
      <c r="AC296" s="30"/>
      <c r="AD296" s="30"/>
      <c r="AE296" s="30">
        <v>72000</v>
      </c>
    </row>
    <row r="297" spans="1:31">
      <c r="A297" t="str">
        <f>VLOOKUP(B297,info!$B$2:$F$49,2,FALSE)</f>
        <v>Mazda</v>
      </c>
      <c r="B297" s="32">
        <v>6</v>
      </c>
      <c r="C297" t="s">
        <v>367</v>
      </c>
      <c r="D297" t="s">
        <v>30</v>
      </c>
      <c r="E297" s="31" t="s">
        <v>351</v>
      </c>
      <c r="F297">
        <f>VLOOKUP(B297,info!$B$2:$I$49,8,FALSE)</f>
        <v>3550828</v>
      </c>
      <c r="G297" t="str">
        <f>VLOOKUP(B297,info!$B$2:$I$49,5,FALSE)</f>
        <v>front</v>
      </c>
      <c r="J297" s="30">
        <v>3460</v>
      </c>
      <c r="K297" s="30">
        <v>584000</v>
      </c>
      <c r="L297" s="30">
        <v>1650</v>
      </c>
      <c r="M297" s="30">
        <v>62.3</v>
      </c>
      <c r="N297" s="30">
        <v>68800</v>
      </c>
      <c r="O297" s="30"/>
      <c r="P297" s="30">
        <v>820000</v>
      </c>
      <c r="Q297" s="30"/>
      <c r="R297" s="30">
        <v>1970</v>
      </c>
      <c r="S297" s="30"/>
      <c r="T297" s="30">
        <v>394</v>
      </c>
      <c r="U297" s="30">
        <v>28800</v>
      </c>
      <c r="V297" s="30"/>
      <c r="W297" s="30"/>
      <c r="X297" s="30"/>
      <c r="Y297" s="30"/>
      <c r="Z297" s="30"/>
      <c r="AA297" s="30"/>
      <c r="AB297" s="30">
        <v>13100</v>
      </c>
      <c r="AC297" s="30"/>
      <c r="AD297" s="30"/>
      <c r="AE297" s="30">
        <v>105000</v>
      </c>
    </row>
    <row r="298" spans="1:31">
      <c r="A298" t="str">
        <f>VLOOKUP(B298,info!$B$2:$F$49,2,FALSE)</f>
        <v>Hyundai</v>
      </c>
      <c r="B298" s="32">
        <v>7</v>
      </c>
      <c r="C298" t="s">
        <v>367</v>
      </c>
      <c r="D298" t="s">
        <v>30</v>
      </c>
      <c r="E298" s="31" t="s">
        <v>351</v>
      </c>
      <c r="F298">
        <f>VLOOKUP(B298,info!$B$2:$I$49,8,FALSE)</f>
        <v>9540217</v>
      </c>
      <c r="G298" t="str">
        <f>VLOOKUP(B298,info!$B$2:$I$49,5,FALSE)</f>
        <v>back</v>
      </c>
      <c r="J298" s="30">
        <v>2320</v>
      </c>
      <c r="K298" s="30">
        <v>522000</v>
      </c>
      <c r="L298" s="30">
        <v>2380</v>
      </c>
      <c r="M298" s="30">
        <v>309</v>
      </c>
      <c r="N298" s="30">
        <v>29100</v>
      </c>
      <c r="O298" s="30"/>
      <c r="P298" s="30">
        <v>840000</v>
      </c>
      <c r="Q298" s="30"/>
      <c r="R298" s="30">
        <v>2290</v>
      </c>
      <c r="S298" s="30"/>
      <c r="T298" s="30">
        <v>524</v>
      </c>
      <c r="U298" s="30">
        <v>26000</v>
      </c>
      <c r="V298" s="30"/>
      <c r="W298" s="30"/>
      <c r="X298" s="30"/>
      <c r="Y298" s="30"/>
      <c r="Z298" s="30"/>
      <c r="AA298" s="30"/>
      <c r="AB298" s="30">
        <v>13400</v>
      </c>
      <c r="AC298" s="30"/>
      <c r="AD298" s="30"/>
      <c r="AE298" s="30">
        <v>62100</v>
      </c>
    </row>
    <row r="299" spans="1:31">
      <c r="A299" t="str">
        <f>VLOOKUP(B299,info!$B$2:$F$49,2,FALSE)</f>
        <v>Hyundai</v>
      </c>
      <c r="B299" s="32">
        <v>7</v>
      </c>
      <c r="C299" t="s">
        <v>367</v>
      </c>
      <c r="D299" t="s">
        <v>77</v>
      </c>
      <c r="E299" s="31" t="s">
        <v>351</v>
      </c>
      <c r="F299">
        <f>VLOOKUP(B299,info!$B$2:$I$49,8,FALSE)</f>
        <v>9540217</v>
      </c>
      <c r="G299" t="str">
        <f>VLOOKUP(B299,info!$B$2:$I$49,5,FALSE)</f>
        <v>back</v>
      </c>
      <c r="J299" s="30">
        <v>2350</v>
      </c>
      <c r="K299" s="30">
        <v>449000</v>
      </c>
      <c r="L299" s="30">
        <v>2060</v>
      </c>
      <c r="M299" s="30">
        <v>874</v>
      </c>
      <c r="N299" s="30">
        <v>27000</v>
      </c>
      <c r="O299" s="30"/>
      <c r="P299" s="30">
        <v>787000</v>
      </c>
      <c r="Q299" s="30"/>
      <c r="R299" s="30">
        <v>2250</v>
      </c>
      <c r="S299" s="30"/>
      <c r="T299" s="30">
        <v>432</v>
      </c>
      <c r="U299" s="30">
        <v>24700</v>
      </c>
      <c r="V299" s="30"/>
      <c r="W299" s="30"/>
      <c r="X299" s="30"/>
      <c r="Y299" s="30"/>
      <c r="Z299" s="30"/>
      <c r="AA299" s="30"/>
      <c r="AB299" s="30">
        <v>48800</v>
      </c>
      <c r="AC299" s="30"/>
      <c r="AD299" s="30"/>
      <c r="AE299" s="30">
        <v>97300</v>
      </c>
    </row>
    <row r="300" spans="1:31">
      <c r="A300" t="str">
        <f>VLOOKUP(B300,info!$B$2:$F$49,2,FALSE)</f>
        <v>Honda</v>
      </c>
      <c r="B300" s="32">
        <v>8</v>
      </c>
      <c r="C300" t="s">
        <v>367</v>
      </c>
      <c r="D300" t="s">
        <v>30</v>
      </c>
      <c r="E300" s="31" t="s">
        <v>351</v>
      </c>
      <c r="F300">
        <f>VLOOKUP(B300,info!$B$2:$I$49,8,FALSE)</f>
        <v>8096906</v>
      </c>
      <c r="G300" t="str">
        <f>VLOOKUP(B300,info!$B$2:$I$49,5,FALSE)</f>
        <v>front</v>
      </c>
      <c r="J300" s="30">
        <v>720</v>
      </c>
      <c r="K300" s="30">
        <v>496000</v>
      </c>
      <c r="L300" s="30">
        <v>1520</v>
      </c>
      <c r="M300" s="30">
        <v>150</v>
      </c>
      <c r="N300" s="30">
        <v>1780</v>
      </c>
      <c r="O300" s="30"/>
      <c r="P300" s="30">
        <v>687000</v>
      </c>
      <c r="Q300" s="30"/>
      <c r="R300" s="30">
        <v>370</v>
      </c>
      <c r="S300" s="30"/>
      <c r="T300" s="30">
        <v>115</v>
      </c>
      <c r="U300" s="30">
        <v>25500</v>
      </c>
      <c r="V300" s="30"/>
      <c r="W300" s="30"/>
      <c r="X300" s="30"/>
      <c r="Y300" s="30"/>
      <c r="Z300" s="30"/>
      <c r="AA300" s="30"/>
      <c r="AB300" s="30">
        <v>9060</v>
      </c>
      <c r="AC300" s="30"/>
      <c r="AD300" s="30"/>
      <c r="AE300" s="30">
        <v>63800</v>
      </c>
    </row>
    <row r="301" spans="1:31">
      <c r="A301" t="str">
        <f>VLOOKUP(B301,info!$B$2:$F$49,2,FALSE)</f>
        <v>Honda</v>
      </c>
      <c r="B301" s="32">
        <v>8</v>
      </c>
      <c r="C301" t="s">
        <v>367</v>
      </c>
      <c r="D301" t="s">
        <v>77</v>
      </c>
      <c r="E301" s="31" t="s">
        <v>351</v>
      </c>
      <c r="F301">
        <f>VLOOKUP(B301,info!$B$2:$I$49,8,FALSE)</f>
        <v>8096906</v>
      </c>
      <c r="G301" t="str">
        <f>VLOOKUP(B301,info!$B$2:$I$49,5,FALSE)</f>
        <v>front</v>
      </c>
      <c r="J301" s="30">
        <v>888</v>
      </c>
      <c r="K301" s="30">
        <v>447000</v>
      </c>
      <c r="L301" s="30">
        <v>2210</v>
      </c>
      <c r="M301" s="30">
        <v>1150</v>
      </c>
      <c r="N301" s="30">
        <v>2500</v>
      </c>
      <c r="O301" s="30"/>
      <c r="P301" s="30">
        <v>651000</v>
      </c>
      <c r="Q301" s="30"/>
      <c r="R301" s="30">
        <v>313</v>
      </c>
      <c r="S301" s="30"/>
      <c r="T301" s="30">
        <v>115</v>
      </c>
      <c r="U301" s="30">
        <v>21400</v>
      </c>
      <c r="V301" s="30"/>
      <c r="W301" s="30"/>
      <c r="X301" s="30"/>
      <c r="Y301" s="30"/>
      <c r="Z301" s="30"/>
      <c r="AA301" s="30"/>
      <c r="AB301" s="30">
        <v>59600</v>
      </c>
      <c r="AC301" s="30"/>
      <c r="AD301" s="30"/>
      <c r="AE301" s="30">
        <v>83800</v>
      </c>
    </row>
    <row r="302" spans="1:31">
      <c r="A302" t="str">
        <f>VLOOKUP(B302,info!$B$2:$F$49,2,FALSE)</f>
        <v>Honda</v>
      </c>
      <c r="B302" s="32">
        <v>9</v>
      </c>
      <c r="C302" t="s">
        <v>367</v>
      </c>
      <c r="D302" t="s">
        <v>77</v>
      </c>
      <c r="E302" s="31" t="s">
        <v>351</v>
      </c>
      <c r="F302">
        <f>VLOOKUP(B302,info!$B$2:$I$49,8,FALSE)</f>
        <v>8096906</v>
      </c>
      <c r="G302" t="str">
        <f>VLOOKUP(B302,info!$B$2:$I$49,5,FALSE)</f>
        <v>back</v>
      </c>
      <c r="J302" s="30">
        <v>1050</v>
      </c>
      <c r="K302" s="30">
        <v>478000</v>
      </c>
      <c r="L302" s="30">
        <v>2660</v>
      </c>
      <c r="M302" s="30">
        <v>1170</v>
      </c>
      <c r="N302" s="30">
        <v>2940</v>
      </c>
      <c r="O302" s="30"/>
      <c r="P302" s="30">
        <v>714000</v>
      </c>
      <c r="Q302" s="30"/>
      <c r="R302" s="30">
        <v>249</v>
      </c>
      <c r="S302" s="30"/>
      <c r="T302" s="30">
        <v>14.1</v>
      </c>
      <c r="U302" s="30">
        <v>27100</v>
      </c>
      <c r="V302" s="30"/>
      <c r="W302" s="30"/>
      <c r="X302" s="30"/>
      <c r="Y302" s="30"/>
      <c r="Z302" s="30"/>
      <c r="AA302" s="30"/>
      <c r="AB302" s="30">
        <v>86000</v>
      </c>
      <c r="AC302" s="30"/>
      <c r="AD302" s="30"/>
      <c r="AE302" s="30">
        <v>65700</v>
      </c>
    </row>
    <row r="303" spans="1:31">
      <c r="A303" t="str">
        <f>VLOOKUP(B303,info!$B$2:$F$49,2,FALSE)</f>
        <v>Honda</v>
      </c>
      <c r="B303" s="32">
        <v>9</v>
      </c>
      <c r="C303" t="s">
        <v>367</v>
      </c>
      <c r="D303" t="s">
        <v>30</v>
      </c>
      <c r="E303" s="31" t="s">
        <v>351</v>
      </c>
      <c r="F303">
        <f>VLOOKUP(B303,info!$B$2:$I$49,8,FALSE)</f>
        <v>8096906</v>
      </c>
      <c r="G303" t="str">
        <f>VLOOKUP(B303,info!$B$2:$I$49,5,FALSE)</f>
        <v>back</v>
      </c>
      <c r="J303" s="30">
        <v>588</v>
      </c>
      <c r="K303" s="30">
        <v>444000</v>
      </c>
      <c r="L303" s="30">
        <v>1450</v>
      </c>
      <c r="M303" s="30">
        <v>325</v>
      </c>
      <c r="N303" s="30">
        <v>1160</v>
      </c>
      <c r="O303" s="30"/>
      <c r="P303" s="30">
        <v>616000</v>
      </c>
      <c r="Q303" s="30"/>
      <c r="R303" s="30">
        <v>236</v>
      </c>
      <c r="S303" s="30"/>
      <c r="T303" s="30">
        <v>54.5</v>
      </c>
      <c r="U303" s="30">
        <v>20700</v>
      </c>
      <c r="V303" s="30"/>
      <c r="W303" s="30"/>
      <c r="X303" s="30"/>
      <c r="Y303" s="30"/>
      <c r="Z303" s="30"/>
      <c r="AA303" s="30"/>
      <c r="AB303" s="30">
        <v>7880</v>
      </c>
      <c r="AC303" s="30"/>
      <c r="AD303" s="30"/>
      <c r="AE303" s="30">
        <v>78300</v>
      </c>
    </row>
    <row r="304" spans="1:31">
      <c r="A304" t="str">
        <f>VLOOKUP(B304,info!$B$2:$F$49,2,FALSE)</f>
        <v>Ford</v>
      </c>
      <c r="B304" s="32">
        <v>10</v>
      </c>
      <c r="C304" t="s">
        <v>367</v>
      </c>
      <c r="D304" t="s">
        <v>77</v>
      </c>
      <c r="E304" s="31" t="s">
        <v>351</v>
      </c>
      <c r="F304">
        <f>VLOOKUP(B304,info!$B$2:$I$49,8,FALSE)</f>
        <v>6917835</v>
      </c>
      <c r="G304" t="str">
        <f>VLOOKUP(B304,info!$B$2:$I$49,5,FALSE)</f>
        <v>front</v>
      </c>
      <c r="J304" s="30">
        <v>3380</v>
      </c>
      <c r="K304" s="30">
        <v>423000</v>
      </c>
      <c r="L304" s="30">
        <v>1310</v>
      </c>
      <c r="M304" s="30">
        <v>334</v>
      </c>
      <c r="N304" s="30">
        <v>24200</v>
      </c>
      <c r="O304" s="30"/>
      <c r="P304" s="30">
        <v>624000</v>
      </c>
      <c r="Q304" s="30"/>
      <c r="R304" s="30">
        <v>2210</v>
      </c>
      <c r="S304" s="30"/>
      <c r="T304" s="30">
        <v>64.900000000000006</v>
      </c>
      <c r="U304" s="30">
        <v>50000</v>
      </c>
      <c r="V304" s="30"/>
      <c r="W304" s="30"/>
      <c r="X304" s="30"/>
      <c r="Y304" s="30"/>
      <c r="Z304" s="30"/>
      <c r="AA304" s="30"/>
      <c r="AB304" s="30">
        <v>69600</v>
      </c>
      <c r="AC304" s="30"/>
      <c r="AD304" s="30"/>
      <c r="AE304" s="30">
        <v>58100</v>
      </c>
    </row>
    <row r="305" spans="1:31">
      <c r="A305" t="str">
        <f>VLOOKUP(B305,info!$B$2:$F$49,2,FALSE)</f>
        <v>Ford</v>
      </c>
      <c r="B305" s="32">
        <v>10</v>
      </c>
      <c r="C305" t="s">
        <v>367</v>
      </c>
      <c r="D305" t="s">
        <v>30</v>
      </c>
      <c r="E305" s="31" t="s">
        <v>351</v>
      </c>
      <c r="F305">
        <f>VLOOKUP(B305,info!$B$2:$I$49,8,FALSE)</f>
        <v>6917835</v>
      </c>
      <c r="G305" t="str">
        <f>VLOOKUP(B305,info!$B$2:$I$49,5,FALSE)</f>
        <v>front</v>
      </c>
      <c r="J305" s="30">
        <v>1440</v>
      </c>
      <c r="K305" s="30">
        <v>408000</v>
      </c>
      <c r="L305" s="30">
        <v>1220</v>
      </c>
      <c r="M305" s="30">
        <v>342</v>
      </c>
      <c r="N305" s="30">
        <v>18300</v>
      </c>
      <c r="O305" s="30"/>
      <c r="P305" s="30">
        <v>580000</v>
      </c>
      <c r="Q305" s="30"/>
      <c r="R305" s="30">
        <v>1740</v>
      </c>
      <c r="S305" s="30"/>
      <c r="T305" s="30">
        <v>62.6</v>
      </c>
      <c r="U305" s="30">
        <v>43300</v>
      </c>
      <c r="V305" s="30"/>
      <c r="W305" s="30"/>
      <c r="X305" s="30"/>
      <c r="Y305" s="30"/>
      <c r="Z305" s="30"/>
      <c r="AA305" s="30"/>
      <c r="AB305" s="30">
        <v>9150</v>
      </c>
      <c r="AC305" s="30"/>
      <c r="AD305" s="30"/>
      <c r="AE305" s="30">
        <v>80100</v>
      </c>
    </row>
    <row r="306" spans="1:31">
      <c r="A306" t="str">
        <f>VLOOKUP(B306,info!$B$2:$F$49,2,FALSE)</f>
        <v>Honda</v>
      </c>
      <c r="B306" s="32">
        <v>11</v>
      </c>
      <c r="C306" t="s">
        <v>367</v>
      </c>
      <c r="D306" t="s">
        <v>30</v>
      </c>
      <c r="E306" s="31" t="s">
        <v>351</v>
      </c>
      <c r="F306">
        <f>VLOOKUP(B306,info!$B$2:$I$49,8,FALSE)</f>
        <v>8096906</v>
      </c>
      <c r="G306" t="str">
        <f>VLOOKUP(B306,info!$B$2:$I$49,5,FALSE)</f>
        <v>back</v>
      </c>
      <c r="J306" s="30">
        <v>865</v>
      </c>
      <c r="K306" s="30">
        <v>600000</v>
      </c>
      <c r="L306" s="30">
        <v>4410</v>
      </c>
      <c r="M306" s="30">
        <v>1610</v>
      </c>
      <c r="N306" s="30">
        <v>2670</v>
      </c>
      <c r="O306" s="30"/>
      <c r="P306" s="30">
        <v>832000</v>
      </c>
      <c r="Q306" s="30"/>
      <c r="R306" s="30">
        <v>257</v>
      </c>
      <c r="S306" s="30"/>
      <c r="T306" s="30">
        <v>92.6</v>
      </c>
      <c r="U306" s="30">
        <v>28800</v>
      </c>
      <c r="V306" s="30"/>
      <c r="W306" s="30"/>
      <c r="X306" s="30"/>
      <c r="Y306" s="30"/>
      <c r="Z306" s="30"/>
      <c r="AA306" s="30"/>
      <c r="AB306" s="30">
        <v>10900</v>
      </c>
      <c r="AC306" s="30"/>
      <c r="AD306" s="30"/>
      <c r="AE306" s="30">
        <v>69800</v>
      </c>
    </row>
    <row r="307" spans="1:31">
      <c r="A307" t="str">
        <f>VLOOKUP(B307,info!$B$2:$F$49,2,FALSE)</f>
        <v>Honda</v>
      </c>
      <c r="B307" s="32">
        <v>11</v>
      </c>
      <c r="C307" t="s">
        <v>367</v>
      </c>
      <c r="D307" t="s">
        <v>77</v>
      </c>
      <c r="E307" s="31" t="s">
        <v>351</v>
      </c>
      <c r="F307">
        <f>VLOOKUP(B307,info!$B$2:$I$49,8,FALSE)</f>
        <v>8096906</v>
      </c>
      <c r="G307" t="str">
        <f>VLOOKUP(B307,info!$B$2:$I$49,5,FALSE)</f>
        <v>back</v>
      </c>
      <c r="J307" s="30">
        <v>634</v>
      </c>
      <c r="K307" s="30">
        <v>372000</v>
      </c>
      <c r="L307" s="30">
        <v>2000</v>
      </c>
      <c r="M307" s="30">
        <v>918</v>
      </c>
      <c r="N307" s="30">
        <v>1390</v>
      </c>
      <c r="O307" s="30"/>
      <c r="P307" s="30">
        <v>560000</v>
      </c>
      <c r="Q307" s="30"/>
      <c r="R307" s="30">
        <v>164</v>
      </c>
      <c r="S307" s="30"/>
      <c r="T307" s="30">
        <v>33.5</v>
      </c>
      <c r="U307" s="30">
        <v>20300</v>
      </c>
      <c r="V307" s="30"/>
      <c r="W307" s="30"/>
      <c r="X307" s="30"/>
      <c r="Y307" s="30"/>
      <c r="Z307" s="30"/>
      <c r="AA307" s="30"/>
      <c r="AB307" s="30">
        <v>26600</v>
      </c>
      <c r="AC307" s="30"/>
      <c r="AD307" s="30"/>
      <c r="AE307" s="30">
        <v>79400</v>
      </c>
    </row>
    <row r="308" spans="1:31">
      <c r="A308" t="str">
        <f>VLOOKUP(B308,info!$B$2:$F$49,2,FALSE)</f>
        <v>Daewoo</v>
      </c>
      <c r="B308" s="32">
        <v>12</v>
      </c>
      <c r="C308" t="s">
        <v>367</v>
      </c>
      <c r="D308" t="s">
        <v>30</v>
      </c>
      <c r="E308" s="31" t="s">
        <v>351</v>
      </c>
      <c r="F308">
        <f>VLOOKUP(B308,info!$B$2:$I$49,8,FALSE)</f>
        <v>8501017</v>
      </c>
      <c r="G308" t="str">
        <f>VLOOKUP(B308,info!$B$2:$I$49,5,FALSE)</f>
        <v>back</v>
      </c>
      <c r="J308" s="30">
        <v>2710</v>
      </c>
      <c r="K308" s="30">
        <v>568000</v>
      </c>
      <c r="L308" s="30">
        <v>2280</v>
      </c>
      <c r="M308" s="30">
        <v>347</v>
      </c>
      <c r="N308" s="30">
        <v>47000</v>
      </c>
      <c r="O308" s="30"/>
      <c r="P308" s="30">
        <v>758000</v>
      </c>
      <c r="Q308" s="30"/>
      <c r="R308" s="30">
        <v>2050</v>
      </c>
      <c r="S308" s="30"/>
      <c r="T308" s="30">
        <v>2.61</v>
      </c>
      <c r="U308" s="30">
        <v>29300</v>
      </c>
      <c r="V308" s="30"/>
      <c r="W308" s="30"/>
      <c r="X308" s="30"/>
      <c r="Y308" s="30"/>
      <c r="Z308" s="30"/>
      <c r="AA308" s="30"/>
      <c r="AB308" s="30">
        <v>12600</v>
      </c>
      <c r="AC308" s="30"/>
      <c r="AD308" s="30"/>
      <c r="AE308" s="30">
        <v>75400</v>
      </c>
    </row>
    <row r="309" spans="1:31">
      <c r="A309" t="str">
        <f>VLOOKUP(B309,info!$B$2:$F$49,2,FALSE)</f>
        <v>Daewoo</v>
      </c>
      <c r="B309" s="32">
        <v>12</v>
      </c>
      <c r="C309" t="s">
        <v>367</v>
      </c>
      <c r="D309" t="s">
        <v>77</v>
      </c>
      <c r="E309" s="31" t="s">
        <v>351</v>
      </c>
      <c r="F309">
        <f>VLOOKUP(B309,info!$B$2:$I$49,8,FALSE)</f>
        <v>8501017</v>
      </c>
      <c r="G309" t="str">
        <f>VLOOKUP(B309,info!$B$2:$I$49,5,FALSE)</f>
        <v>back</v>
      </c>
      <c r="J309" s="30">
        <v>1950</v>
      </c>
      <c r="K309" s="30">
        <v>391000</v>
      </c>
      <c r="L309" s="30">
        <v>1840</v>
      </c>
      <c r="M309" s="30">
        <v>52.2</v>
      </c>
      <c r="N309" s="30">
        <v>34600</v>
      </c>
      <c r="O309" s="30"/>
      <c r="P309" s="30">
        <v>552000</v>
      </c>
      <c r="Q309" s="30"/>
      <c r="R309" s="30">
        <v>1580</v>
      </c>
      <c r="S309" s="30"/>
      <c r="T309" s="30">
        <v>35.799999999999997</v>
      </c>
      <c r="U309" s="30">
        <v>20400</v>
      </c>
      <c r="V309" s="30"/>
      <c r="W309" s="30"/>
      <c r="X309" s="30"/>
      <c r="Y309" s="30"/>
      <c r="Z309" s="30"/>
      <c r="AA309" s="30"/>
      <c r="AB309" s="30">
        <v>38100</v>
      </c>
      <c r="AC309" s="30"/>
      <c r="AD309" s="30"/>
      <c r="AE309" s="30">
        <v>75800</v>
      </c>
    </row>
    <row r="310" spans="1:31">
      <c r="A310" t="str">
        <f>VLOOKUP(B310,info!$B$2:$F$49,2,FALSE)</f>
        <v>Hyundai</v>
      </c>
      <c r="B310" s="32">
        <v>13</v>
      </c>
      <c r="C310" t="s">
        <v>367</v>
      </c>
      <c r="D310" t="s">
        <v>77</v>
      </c>
      <c r="E310" s="31" t="s">
        <v>351</v>
      </c>
      <c r="F310">
        <f>VLOOKUP(B310,info!$B$2:$I$49,8,FALSE)</f>
        <v>9540217</v>
      </c>
      <c r="G310" t="str">
        <f>VLOOKUP(B310,info!$B$2:$I$49,5,FALSE)</f>
        <v>back</v>
      </c>
      <c r="J310" s="30">
        <v>2130</v>
      </c>
      <c r="K310" s="30">
        <v>454000</v>
      </c>
      <c r="L310" s="30">
        <v>3200</v>
      </c>
      <c r="M310" s="30">
        <v>675</v>
      </c>
      <c r="N310" s="30">
        <v>25900</v>
      </c>
      <c r="O310" s="30"/>
      <c r="P310" s="30">
        <v>775000</v>
      </c>
      <c r="Q310" s="30"/>
      <c r="R310" s="30">
        <v>2140</v>
      </c>
      <c r="S310" s="30"/>
      <c r="T310" s="30">
        <v>511</v>
      </c>
      <c r="U310" s="30">
        <v>25100</v>
      </c>
      <c r="V310" s="30"/>
      <c r="W310" s="30"/>
      <c r="X310" s="30"/>
      <c r="Y310" s="30"/>
      <c r="Z310" s="30"/>
      <c r="AA310" s="30"/>
      <c r="AB310" s="30">
        <v>48500</v>
      </c>
      <c r="AC310" s="30"/>
      <c r="AD310" s="30"/>
      <c r="AE310" s="30">
        <v>64000</v>
      </c>
    </row>
    <row r="311" spans="1:31">
      <c r="A311" t="str">
        <f>VLOOKUP(B311,info!$B$2:$F$49,2,FALSE)</f>
        <v>Hyundai</v>
      </c>
      <c r="B311" s="32">
        <v>13</v>
      </c>
      <c r="C311" t="s">
        <v>367</v>
      </c>
      <c r="D311" t="s">
        <v>30</v>
      </c>
      <c r="E311" s="31" t="s">
        <v>351</v>
      </c>
      <c r="F311">
        <f>VLOOKUP(B311,info!$B$2:$I$49,8,FALSE)</f>
        <v>9540217</v>
      </c>
      <c r="G311" t="str">
        <f>VLOOKUP(B311,info!$B$2:$I$49,5,FALSE)</f>
        <v>back</v>
      </c>
      <c r="J311" s="30">
        <v>1690</v>
      </c>
      <c r="K311" s="30">
        <v>362000</v>
      </c>
      <c r="L311" s="30">
        <v>2230</v>
      </c>
      <c r="M311" s="30">
        <v>377</v>
      </c>
      <c r="N311" s="30">
        <v>20600</v>
      </c>
      <c r="O311" s="30"/>
      <c r="P311" s="30">
        <v>588000</v>
      </c>
      <c r="Q311" s="30"/>
      <c r="R311" s="30">
        <v>1870</v>
      </c>
      <c r="S311" s="30"/>
      <c r="T311" s="30">
        <v>298</v>
      </c>
      <c r="U311" s="30">
        <v>17700</v>
      </c>
      <c r="V311" s="30"/>
      <c r="W311" s="30"/>
      <c r="X311" s="30"/>
      <c r="Y311" s="30"/>
      <c r="Z311" s="30"/>
      <c r="AA311" s="30"/>
      <c r="AB311" s="30">
        <v>9190</v>
      </c>
      <c r="AC311" s="30"/>
      <c r="AD311" s="30"/>
      <c r="AE311" s="30">
        <v>75000</v>
      </c>
    </row>
    <row r="312" spans="1:31">
      <c r="A312" t="str">
        <f>VLOOKUP(B312,info!$B$2:$F$49,2,FALSE)</f>
        <v>Peugeot</v>
      </c>
      <c r="B312" s="32">
        <v>14</v>
      </c>
      <c r="C312" t="s">
        <v>367</v>
      </c>
      <c r="D312" t="s">
        <v>77</v>
      </c>
      <c r="E312" s="31" t="s">
        <v>351</v>
      </c>
      <c r="F312">
        <f>VLOOKUP(B312,info!$B$2:$I$49,8,FALSE)</f>
        <v>9367324</v>
      </c>
      <c r="G312" t="str">
        <f>VLOOKUP(B312,info!$B$2:$I$49,5,FALSE)</f>
        <v>back</v>
      </c>
      <c r="J312" s="30">
        <v>1900</v>
      </c>
      <c r="K312" s="30">
        <v>432000</v>
      </c>
      <c r="L312" s="30">
        <v>1630</v>
      </c>
      <c r="M312" s="30">
        <v>365</v>
      </c>
      <c r="N312" s="30">
        <v>25000</v>
      </c>
      <c r="O312" s="30"/>
      <c r="P312" s="30">
        <v>744000</v>
      </c>
      <c r="Q312" s="30"/>
      <c r="R312" s="30">
        <v>2330</v>
      </c>
      <c r="S312" s="30"/>
      <c r="T312" s="30">
        <v>219</v>
      </c>
      <c r="U312" s="30">
        <v>25600</v>
      </c>
      <c r="V312" s="30"/>
      <c r="W312" s="30"/>
      <c r="X312" s="30"/>
      <c r="Y312" s="30"/>
      <c r="Z312" s="30"/>
      <c r="AA312" s="30"/>
      <c r="AB312" s="30">
        <v>51000</v>
      </c>
      <c r="AC312" s="30"/>
      <c r="AD312" s="30"/>
      <c r="AE312" s="30">
        <v>62700</v>
      </c>
    </row>
    <row r="313" spans="1:31">
      <c r="A313" t="str">
        <f>VLOOKUP(B313,info!$B$2:$F$49,2,FALSE)</f>
        <v>Peugeot</v>
      </c>
      <c r="B313" s="32">
        <v>14</v>
      </c>
      <c r="C313" t="s">
        <v>367</v>
      </c>
      <c r="D313" t="s">
        <v>30</v>
      </c>
      <c r="E313" s="31" t="s">
        <v>351</v>
      </c>
      <c r="F313">
        <f>VLOOKUP(B313,info!$B$2:$I$49,8,FALSE)</f>
        <v>9367324</v>
      </c>
      <c r="G313" t="str">
        <f>VLOOKUP(B313,info!$B$2:$I$49,5,FALSE)</f>
        <v>back</v>
      </c>
      <c r="J313" s="30">
        <v>1760</v>
      </c>
      <c r="K313" s="30">
        <v>410000</v>
      </c>
      <c r="L313" s="30">
        <v>1910</v>
      </c>
      <c r="M313" s="30">
        <v>51.2</v>
      </c>
      <c r="N313" s="30">
        <v>22700</v>
      </c>
      <c r="O313" s="30"/>
      <c r="P313" s="30">
        <v>669000</v>
      </c>
      <c r="Q313" s="30"/>
      <c r="R313" s="30">
        <v>2060</v>
      </c>
      <c r="S313" s="30"/>
      <c r="T313" s="30">
        <v>233</v>
      </c>
      <c r="U313" s="30">
        <v>20000</v>
      </c>
      <c r="V313" s="30"/>
      <c r="W313" s="30"/>
      <c r="X313" s="30"/>
      <c r="Y313" s="30"/>
      <c r="Z313" s="30"/>
      <c r="AA313" s="30"/>
      <c r="AB313" s="30">
        <v>9920</v>
      </c>
      <c r="AC313" s="30"/>
      <c r="AD313" s="30"/>
      <c r="AE313" s="30">
        <v>72700</v>
      </c>
    </row>
    <row r="314" spans="1:31">
      <c r="A314" t="str">
        <f>VLOOKUP(B314,info!$B$2:$F$49,2,FALSE)</f>
        <v>Ford</v>
      </c>
      <c r="B314" s="32">
        <v>15</v>
      </c>
      <c r="C314" t="s">
        <v>367</v>
      </c>
      <c r="D314" t="s">
        <v>30</v>
      </c>
      <c r="E314" s="31" t="s">
        <v>351</v>
      </c>
      <c r="F314">
        <f>VLOOKUP(B314,info!$B$2:$I$49,8,FALSE)</f>
        <v>6917835</v>
      </c>
      <c r="G314" t="str">
        <f>VLOOKUP(B314,info!$B$2:$I$49,5,FALSE)</f>
        <v>back</v>
      </c>
      <c r="J314" s="30">
        <v>2050</v>
      </c>
      <c r="K314" s="30">
        <v>552000</v>
      </c>
      <c r="L314" s="30">
        <v>1750</v>
      </c>
      <c r="M314" s="30">
        <v>91.7</v>
      </c>
      <c r="N314" s="30">
        <v>23400</v>
      </c>
      <c r="O314" s="30"/>
      <c r="P314" s="30">
        <v>772000</v>
      </c>
      <c r="Q314" s="30"/>
      <c r="R314" s="30">
        <v>2450</v>
      </c>
      <c r="S314" s="30"/>
      <c r="T314" s="30">
        <v>22.2</v>
      </c>
      <c r="U314" s="30">
        <v>62400</v>
      </c>
      <c r="V314" s="30"/>
      <c r="W314" s="30"/>
      <c r="X314" s="30"/>
      <c r="Y314" s="30"/>
      <c r="Z314" s="30"/>
      <c r="AA314" s="30"/>
      <c r="AB314" s="30">
        <v>12800</v>
      </c>
      <c r="AC314" s="30"/>
      <c r="AD314" s="30"/>
      <c r="AE314" s="30">
        <v>71000</v>
      </c>
    </row>
    <row r="315" spans="1:31">
      <c r="A315" t="str">
        <f>VLOOKUP(B315,info!$B$2:$F$49,2,FALSE)</f>
        <v>Ford</v>
      </c>
      <c r="B315" s="32">
        <v>15</v>
      </c>
      <c r="C315" t="s">
        <v>367</v>
      </c>
      <c r="D315" t="s">
        <v>77</v>
      </c>
      <c r="E315" s="31" t="s">
        <v>351</v>
      </c>
      <c r="F315">
        <f>VLOOKUP(B315,info!$B$2:$I$49,8,FALSE)</f>
        <v>6917835</v>
      </c>
      <c r="G315" t="str">
        <f>VLOOKUP(B315,info!$B$2:$I$49,5,FALSE)</f>
        <v>back</v>
      </c>
      <c r="J315" s="30">
        <v>1540</v>
      </c>
      <c r="K315" s="30">
        <v>385000</v>
      </c>
      <c r="L315" s="30">
        <v>1170</v>
      </c>
      <c r="M315" s="30">
        <v>32.9</v>
      </c>
      <c r="N315" s="30">
        <v>18100</v>
      </c>
      <c r="O315" s="30"/>
      <c r="P315" s="30">
        <v>568000</v>
      </c>
      <c r="Q315" s="30"/>
      <c r="R315" s="30">
        <v>1700</v>
      </c>
      <c r="S315" s="30"/>
      <c r="T315" s="30">
        <v>72.7</v>
      </c>
      <c r="U315" s="30">
        <v>39400</v>
      </c>
      <c r="V315" s="30"/>
      <c r="W315" s="30"/>
      <c r="X315" s="30"/>
      <c r="Y315" s="30"/>
      <c r="Z315" s="30"/>
      <c r="AA315" s="30"/>
      <c r="AB315" s="30">
        <v>59500</v>
      </c>
      <c r="AC315" s="30"/>
      <c r="AD315" s="30"/>
      <c r="AE315" s="30">
        <v>75300</v>
      </c>
    </row>
    <row r="316" spans="1:31">
      <c r="A316" t="str">
        <f>VLOOKUP(B316,info!$B$2:$F$49,2,FALSE)</f>
        <v>Hyundai</v>
      </c>
      <c r="B316" s="32">
        <v>16</v>
      </c>
      <c r="C316" t="s">
        <v>367</v>
      </c>
      <c r="D316" t="s">
        <v>30</v>
      </c>
      <c r="E316" s="31" t="s">
        <v>351</v>
      </c>
      <c r="F316">
        <f>VLOOKUP(B316,info!$B$2:$I$49,8,FALSE)</f>
        <v>6316720</v>
      </c>
      <c r="G316" t="str">
        <f>VLOOKUP(B316,info!$B$2:$I$49,5,FALSE)</f>
        <v>back</v>
      </c>
      <c r="J316" s="30">
        <v>1970</v>
      </c>
      <c r="K316" s="30">
        <v>469000</v>
      </c>
      <c r="L316" s="30">
        <v>2140</v>
      </c>
      <c r="M316" s="30">
        <v>430</v>
      </c>
      <c r="N316" s="30">
        <v>25800</v>
      </c>
      <c r="O316" s="30"/>
      <c r="P316" s="30">
        <v>765000</v>
      </c>
      <c r="Q316" s="30"/>
      <c r="R316" s="30">
        <v>1950</v>
      </c>
      <c r="S316" s="30"/>
      <c r="T316" s="30">
        <v>511</v>
      </c>
      <c r="U316" s="30">
        <v>24700</v>
      </c>
      <c r="V316" s="30"/>
      <c r="W316" s="30"/>
      <c r="X316" s="30"/>
      <c r="Y316" s="30"/>
      <c r="Z316" s="30"/>
      <c r="AA316" s="30"/>
      <c r="AB316" s="30">
        <v>12000</v>
      </c>
      <c r="AC316" s="30"/>
      <c r="AD316" s="30"/>
      <c r="AE316" s="30">
        <v>62700</v>
      </c>
    </row>
    <row r="317" spans="1:31">
      <c r="A317" t="str">
        <f>VLOOKUP(B317,info!$B$2:$F$49,2,FALSE)</f>
        <v>Hyundai</v>
      </c>
      <c r="B317" s="32">
        <v>16</v>
      </c>
      <c r="C317" t="s">
        <v>367</v>
      </c>
      <c r="D317" t="s">
        <v>77</v>
      </c>
      <c r="E317" s="31" t="s">
        <v>351</v>
      </c>
      <c r="F317">
        <f>VLOOKUP(B317,info!$B$2:$I$49,8,FALSE)</f>
        <v>6316720</v>
      </c>
      <c r="G317" t="str">
        <f>VLOOKUP(B317,info!$B$2:$I$49,5,FALSE)</f>
        <v>back</v>
      </c>
      <c r="J317" s="30">
        <v>1590</v>
      </c>
      <c r="K317" s="30">
        <v>376000</v>
      </c>
      <c r="L317" s="30">
        <v>1540</v>
      </c>
      <c r="M317" s="30">
        <v>710</v>
      </c>
      <c r="N317" s="30">
        <v>21500</v>
      </c>
      <c r="O317" s="30"/>
      <c r="P317" s="30">
        <v>637000</v>
      </c>
      <c r="Q317" s="30"/>
      <c r="R317" s="30">
        <v>1660</v>
      </c>
      <c r="S317" s="30"/>
      <c r="T317" s="30">
        <v>269</v>
      </c>
      <c r="U317" s="30">
        <v>17600</v>
      </c>
      <c r="V317" s="30"/>
      <c r="W317" s="30"/>
      <c r="X317" s="30"/>
      <c r="Y317" s="30"/>
      <c r="Z317" s="30"/>
      <c r="AA317" s="30"/>
      <c r="AB317" s="30">
        <v>41700</v>
      </c>
      <c r="AC317" s="30"/>
      <c r="AD317" s="30"/>
      <c r="AE317" s="30">
        <v>71700</v>
      </c>
    </row>
    <row r="318" spans="1:31">
      <c r="A318" t="str">
        <f>VLOOKUP(B318,info!$B$2:$F$49,2,FALSE)</f>
        <v>Hyundai</v>
      </c>
      <c r="B318" s="32">
        <v>17</v>
      </c>
      <c r="C318" t="s">
        <v>367</v>
      </c>
      <c r="D318" t="s">
        <v>30</v>
      </c>
      <c r="E318" s="31" t="s">
        <v>351</v>
      </c>
      <c r="F318">
        <f>VLOOKUP(B318,info!$B$2:$I$49,8,FALSE)</f>
        <v>6316720</v>
      </c>
      <c r="G318" t="str">
        <f>VLOOKUP(B318,info!$B$2:$I$49,5,FALSE)</f>
        <v>back</v>
      </c>
      <c r="J318" s="30">
        <v>723</v>
      </c>
      <c r="K318" s="30">
        <v>105000</v>
      </c>
      <c r="L318" s="30">
        <v>454</v>
      </c>
      <c r="M318" s="30">
        <v>261</v>
      </c>
      <c r="N318" s="30">
        <v>6210</v>
      </c>
      <c r="O318" s="30"/>
      <c r="P318" s="30">
        <v>163000</v>
      </c>
      <c r="Q318" s="30"/>
      <c r="R318" s="30">
        <v>375</v>
      </c>
      <c r="S318" s="30"/>
      <c r="T318" s="30">
        <v>75.3</v>
      </c>
      <c r="U318" s="30">
        <v>5150</v>
      </c>
      <c r="V318" s="30"/>
      <c r="W318" s="30"/>
      <c r="X318" s="30"/>
      <c r="Y318" s="30"/>
      <c r="Z318" s="30"/>
      <c r="AA318" s="30"/>
      <c r="AB318" s="30">
        <v>2940</v>
      </c>
      <c r="AC318" s="30"/>
      <c r="AD318" s="30"/>
      <c r="AE318" s="30">
        <v>17600</v>
      </c>
    </row>
    <row r="319" spans="1:31">
      <c r="A319" t="str">
        <f>VLOOKUP(B319,info!$B$2:$F$49,2,FALSE)</f>
        <v>Hyundai</v>
      </c>
      <c r="B319" s="32">
        <v>17</v>
      </c>
      <c r="C319" t="s">
        <v>367</v>
      </c>
      <c r="D319" t="s">
        <v>77</v>
      </c>
      <c r="E319" s="31" t="s">
        <v>351</v>
      </c>
      <c r="F319">
        <f>VLOOKUP(B319,info!$B$2:$I$49,8,FALSE)</f>
        <v>6316720</v>
      </c>
      <c r="G319" t="str">
        <f>VLOOKUP(B319,info!$B$2:$I$49,5,FALSE)</f>
        <v>back</v>
      </c>
      <c r="J319" s="30">
        <v>875</v>
      </c>
      <c r="K319" s="30">
        <v>121000</v>
      </c>
      <c r="L319" s="30">
        <v>414</v>
      </c>
      <c r="M319" s="30">
        <v>232</v>
      </c>
      <c r="N319" s="30">
        <v>6890</v>
      </c>
      <c r="O319" s="30"/>
      <c r="P319" s="30">
        <v>193000</v>
      </c>
      <c r="Q319" s="30"/>
      <c r="R319" s="30">
        <v>442</v>
      </c>
      <c r="S319" s="30"/>
      <c r="T319" s="30">
        <v>142</v>
      </c>
      <c r="U319" s="30">
        <v>5940</v>
      </c>
      <c r="V319" s="30"/>
      <c r="W319" s="30"/>
      <c r="X319" s="30"/>
      <c r="Y319" s="30"/>
      <c r="Z319" s="30"/>
      <c r="AA319" s="30"/>
      <c r="AB319" s="30">
        <v>13300</v>
      </c>
      <c r="AC319" s="30"/>
      <c r="AD319" s="30"/>
      <c r="AE319" s="30">
        <v>19500</v>
      </c>
    </row>
    <row r="320" spans="1:31">
      <c r="A320" t="str">
        <f>VLOOKUP(B320,info!$B$2:$F$49,2,FALSE)</f>
        <v>Honda</v>
      </c>
      <c r="B320" s="32">
        <v>18</v>
      </c>
      <c r="C320" t="s">
        <v>367</v>
      </c>
      <c r="D320" t="s">
        <v>30</v>
      </c>
      <c r="E320" s="31" t="s">
        <v>351</v>
      </c>
      <c r="F320">
        <f>VLOOKUP(B320,info!$B$2:$I$49,8,FALSE)</f>
        <v>8096906</v>
      </c>
      <c r="G320" t="str">
        <f>VLOOKUP(B320,info!$B$2:$I$49,5,FALSE)</f>
        <v>front</v>
      </c>
      <c r="J320" s="30">
        <v>436</v>
      </c>
      <c r="K320" s="30">
        <v>133000</v>
      </c>
      <c r="L320" s="30">
        <v>518</v>
      </c>
      <c r="M320" s="30">
        <v>203</v>
      </c>
      <c r="N320" s="30">
        <v>1060</v>
      </c>
      <c r="O320" s="30"/>
      <c r="P320" s="30">
        <v>175000</v>
      </c>
      <c r="Q320" s="30"/>
      <c r="R320" s="30">
        <v>33.9</v>
      </c>
      <c r="S320" s="30"/>
      <c r="T320" s="30">
        <v>22.2</v>
      </c>
      <c r="U320" s="30">
        <v>6170</v>
      </c>
      <c r="V320" s="30"/>
      <c r="W320" s="30"/>
      <c r="X320" s="30"/>
      <c r="Y320" s="30"/>
      <c r="Z320" s="30"/>
      <c r="AA320" s="30"/>
      <c r="AB320" s="30">
        <v>3130</v>
      </c>
      <c r="AC320" s="30"/>
      <c r="AD320" s="30"/>
      <c r="AE320" s="30">
        <v>21000</v>
      </c>
    </row>
    <row r="321" spans="1:31">
      <c r="A321" t="str">
        <f>VLOOKUP(B321,info!$B$2:$F$49,2,FALSE)</f>
        <v>Honda</v>
      </c>
      <c r="B321" s="32">
        <v>18</v>
      </c>
      <c r="C321" t="s">
        <v>367</v>
      </c>
      <c r="D321" t="s">
        <v>77</v>
      </c>
      <c r="E321" s="31" t="s">
        <v>351</v>
      </c>
      <c r="F321">
        <f>VLOOKUP(B321,info!$B$2:$I$49,8,FALSE)</f>
        <v>8096906</v>
      </c>
      <c r="G321" t="str">
        <f>VLOOKUP(B321,info!$B$2:$I$49,5,FALSE)</f>
        <v>front</v>
      </c>
      <c r="J321" s="30">
        <v>612</v>
      </c>
      <c r="K321" s="30">
        <v>156000</v>
      </c>
      <c r="L321" s="30">
        <v>311</v>
      </c>
      <c r="M321" s="30">
        <v>378</v>
      </c>
      <c r="N321" s="30">
        <v>964</v>
      </c>
      <c r="O321" s="30"/>
      <c r="P321" s="30">
        <v>214000</v>
      </c>
      <c r="Q321" s="30"/>
      <c r="R321" s="30">
        <v>114</v>
      </c>
      <c r="S321" s="30"/>
      <c r="T321" s="30">
        <v>12</v>
      </c>
      <c r="U321" s="30">
        <v>7550</v>
      </c>
      <c r="V321" s="30"/>
      <c r="W321" s="30"/>
      <c r="X321" s="30"/>
      <c r="Y321" s="30"/>
      <c r="Z321" s="30"/>
      <c r="AA321" s="30"/>
      <c r="AB321" s="30">
        <v>22900</v>
      </c>
      <c r="AC321" s="30"/>
      <c r="AD321" s="30"/>
      <c r="AE321" s="30">
        <v>24200</v>
      </c>
    </row>
    <row r="322" spans="1:31">
      <c r="A322" t="str">
        <f>VLOOKUP(B322,info!$B$2:$F$49,2,FALSE)</f>
        <v>Hyundai</v>
      </c>
      <c r="B322" s="32">
        <v>19</v>
      </c>
      <c r="C322" t="s">
        <v>367</v>
      </c>
      <c r="D322" t="s">
        <v>30</v>
      </c>
      <c r="E322" s="31" t="s">
        <v>351</v>
      </c>
      <c r="F322">
        <f>VLOOKUP(B322,info!$B$2:$I$49,8,FALSE)</f>
        <v>6316720</v>
      </c>
      <c r="G322" t="str">
        <f>VLOOKUP(B322,info!$B$2:$I$49,5,FALSE)</f>
        <v>front</v>
      </c>
      <c r="J322" s="30">
        <v>1220</v>
      </c>
      <c r="K322" s="30">
        <v>190000</v>
      </c>
      <c r="L322" s="30">
        <v>662</v>
      </c>
      <c r="M322" s="30">
        <v>300</v>
      </c>
      <c r="N322" s="30">
        <v>10700</v>
      </c>
      <c r="O322" s="30"/>
      <c r="P322" s="30">
        <v>292000</v>
      </c>
      <c r="Q322" s="30"/>
      <c r="R322" s="30">
        <v>832</v>
      </c>
      <c r="S322" s="30"/>
      <c r="T322" s="30">
        <v>146</v>
      </c>
      <c r="U322" s="30">
        <v>8750</v>
      </c>
      <c r="V322" s="30"/>
      <c r="W322" s="30"/>
      <c r="X322" s="30"/>
      <c r="Y322" s="30"/>
      <c r="Z322" s="30"/>
      <c r="AA322" s="30"/>
      <c r="AB322" s="30">
        <v>5530</v>
      </c>
      <c r="AC322" s="30"/>
      <c r="AD322" s="30"/>
      <c r="AE322" s="30">
        <v>30500</v>
      </c>
    </row>
    <row r="323" spans="1:31">
      <c r="A323" t="str">
        <f>VLOOKUP(B323,info!$B$2:$F$49,2,FALSE)</f>
        <v>Hyundai</v>
      </c>
      <c r="B323" s="32">
        <v>19</v>
      </c>
      <c r="C323" t="s">
        <v>367</v>
      </c>
      <c r="D323" t="s">
        <v>77</v>
      </c>
      <c r="E323" s="31" t="s">
        <v>351</v>
      </c>
      <c r="F323">
        <f>VLOOKUP(B323,info!$B$2:$I$49,8,FALSE)</f>
        <v>6316720</v>
      </c>
      <c r="G323" t="str">
        <f>VLOOKUP(B323,info!$B$2:$I$49,5,FALSE)</f>
        <v>front</v>
      </c>
      <c r="J323" s="30">
        <v>1220</v>
      </c>
      <c r="K323" s="30">
        <v>172000</v>
      </c>
      <c r="L323" s="30">
        <v>706</v>
      </c>
      <c r="M323" s="30">
        <v>372</v>
      </c>
      <c r="N323" s="30">
        <v>10000</v>
      </c>
      <c r="O323" s="30"/>
      <c r="P323" s="30">
        <v>274000</v>
      </c>
      <c r="Q323" s="30"/>
      <c r="R323" s="30">
        <v>720</v>
      </c>
      <c r="S323" s="30"/>
      <c r="T323" s="30">
        <v>212</v>
      </c>
      <c r="U323" s="30">
        <v>7610</v>
      </c>
      <c r="V323" s="30"/>
      <c r="W323" s="30"/>
      <c r="X323" s="30"/>
      <c r="Y323" s="30"/>
      <c r="Z323" s="30"/>
      <c r="AA323" s="30"/>
      <c r="AB323" s="30">
        <v>18900</v>
      </c>
      <c r="AC323" s="30"/>
      <c r="AD323" s="30"/>
      <c r="AE323" s="30">
        <v>28400</v>
      </c>
    </row>
    <row r="324" spans="1:31">
      <c r="A324" t="str">
        <f>VLOOKUP(B324,info!$B$2:$F$49,2,FALSE)</f>
        <v>Fiat</v>
      </c>
      <c r="B324" s="32">
        <v>20</v>
      </c>
      <c r="C324" t="s">
        <v>367</v>
      </c>
      <c r="D324" t="s">
        <v>30</v>
      </c>
      <c r="E324" s="31" t="s">
        <v>351</v>
      </c>
      <c r="F324">
        <f>VLOOKUP(B324,info!$B$2:$I$49,8,FALSE)</f>
        <v>5751910</v>
      </c>
      <c r="G324" t="str">
        <f>VLOOKUP(B324,info!$B$2:$I$49,5,FALSE)</f>
        <v>back</v>
      </c>
      <c r="J324" s="30">
        <v>557</v>
      </c>
      <c r="K324" s="30">
        <v>97000</v>
      </c>
      <c r="L324" s="30">
        <v>315</v>
      </c>
      <c r="M324" s="30">
        <v>127</v>
      </c>
      <c r="N324" s="30">
        <v>5020</v>
      </c>
      <c r="O324" s="30"/>
      <c r="P324" s="30">
        <v>122000</v>
      </c>
      <c r="Q324" s="30"/>
      <c r="R324" s="30">
        <v>412</v>
      </c>
      <c r="S324" s="30"/>
      <c r="T324" s="30">
        <v>109</v>
      </c>
      <c r="U324" s="30">
        <v>8940</v>
      </c>
      <c r="V324" s="30"/>
      <c r="W324" s="30"/>
      <c r="X324" s="30"/>
      <c r="Y324" s="30"/>
      <c r="Z324" s="30"/>
      <c r="AA324" s="30"/>
      <c r="AB324" s="30">
        <v>2210</v>
      </c>
      <c r="AC324" s="30"/>
      <c r="AD324" s="30"/>
      <c r="AE324" s="30">
        <v>17700</v>
      </c>
    </row>
    <row r="325" spans="1:31">
      <c r="A325" t="str">
        <f>VLOOKUP(B325,info!$B$2:$F$49,2,FALSE)</f>
        <v>Fiat</v>
      </c>
      <c r="B325" s="32">
        <v>20</v>
      </c>
      <c r="C325" t="s">
        <v>367</v>
      </c>
      <c r="D325" t="s">
        <v>77</v>
      </c>
      <c r="E325" s="31" t="s">
        <v>351</v>
      </c>
      <c r="F325">
        <f>VLOOKUP(B325,info!$B$2:$I$49,8,FALSE)</f>
        <v>5751910</v>
      </c>
      <c r="G325" t="str">
        <f>VLOOKUP(B325,info!$B$2:$I$49,5,FALSE)</f>
        <v>back</v>
      </c>
      <c r="J325" s="30">
        <v>1160</v>
      </c>
      <c r="K325" s="30">
        <v>214000</v>
      </c>
      <c r="L325" s="30">
        <v>459</v>
      </c>
      <c r="M325" s="30">
        <v>285</v>
      </c>
      <c r="N325" s="30">
        <v>11100</v>
      </c>
      <c r="O325" s="30"/>
      <c r="P325" s="30">
        <v>275000</v>
      </c>
      <c r="Q325" s="30"/>
      <c r="R325" s="30">
        <v>992</v>
      </c>
      <c r="S325" s="30"/>
      <c r="T325" s="30">
        <v>109</v>
      </c>
      <c r="U325" s="30">
        <v>17900</v>
      </c>
      <c r="V325" s="30"/>
      <c r="W325" s="30"/>
      <c r="X325" s="30"/>
      <c r="Y325" s="30"/>
      <c r="Z325" s="30"/>
      <c r="AA325" s="30"/>
      <c r="AB325" s="30">
        <v>25700</v>
      </c>
      <c r="AC325" s="30"/>
      <c r="AD325" s="30"/>
      <c r="AE325" s="30">
        <v>32600</v>
      </c>
    </row>
    <row r="326" spans="1:31">
      <c r="A326" t="str">
        <f>VLOOKUP(B326,info!$B$2:$F$49,2,FALSE)</f>
        <v>Hyundai</v>
      </c>
      <c r="B326" s="32">
        <v>21</v>
      </c>
      <c r="C326" t="s">
        <v>367</v>
      </c>
      <c r="D326" t="s">
        <v>30</v>
      </c>
      <c r="E326" s="31" t="s">
        <v>351</v>
      </c>
      <c r="F326">
        <f>VLOOKUP(B326,info!$B$2:$I$49,8,FALSE)</f>
        <v>5826120</v>
      </c>
      <c r="G326" t="str">
        <f>VLOOKUP(B326,info!$B$2:$I$49,5,FALSE)</f>
        <v>back triangle</v>
      </c>
      <c r="J326" s="30">
        <v>287</v>
      </c>
      <c r="K326" s="30">
        <v>59400</v>
      </c>
      <c r="L326" s="30">
        <v>424</v>
      </c>
      <c r="M326" s="30">
        <v>298</v>
      </c>
      <c r="N326" s="30">
        <v>2680</v>
      </c>
      <c r="O326" s="30"/>
      <c r="P326" s="30">
        <v>86300</v>
      </c>
      <c r="Q326" s="30"/>
      <c r="R326" s="30">
        <v>295</v>
      </c>
      <c r="S326" s="30"/>
      <c r="T326" s="30">
        <v>41.1</v>
      </c>
      <c r="U326" s="30">
        <v>2110</v>
      </c>
      <c r="V326" s="30"/>
      <c r="W326" s="30"/>
      <c r="X326" s="30"/>
      <c r="Y326" s="30"/>
      <c r="Z326" s="30"/>
      <c r="AA326" s="30"/>
      <c r="AB326" s="30">
        <v>4890</v>
      </c>
      <c r="AC326" s="30"/>
      <c r="AD326" s="30"/>
      <c r="AE326" s="30">
        <v>11800</v>
      </c>
    </row>
    <row r="327" spans="1:31">
      <c r="A327" t="str">
        <f>VLOOKUP(B327,info!$B$2:$F$49,2,FALSE)</f>
        <v>Hyundai</v>
      </c>
      <c r="B327" s="32">
        <v>21</v>
      </c>
      <c r="C327" t="s">
        <v>367</v>
      </c>
      <c r="D327" t="s">
        <v>77</v>
      </c>
      <c r="E327" s="31" t="s">
        <v>351</v>
      </c>
      <c r="F327">
        <f>VLOOKUP(B327,info!$B$2:$I$49,8,FALSE)</f>
        <v>5826120</v>
      </c>
      <c r="G327" t="str">
        <f>VLOOKUP(B327,info!$B$2:$I$49,5,FALSE)</f>
        <v>back triangle</v>
      </c>
      <c r="J327" s="30">
        <v>2090</v>
      </c>
      <c r="K327" s="30">
        <v>326000</v>
      </c>
      <c r="L327" s="30">
        <v>1560</v>
      </c>
      <c r="M327" s="30">
        <v>375</v>
      </c>
      <c r="N327" s="30">
        <v>15600</v>
      </c>
      <c r="O327" s="30"/>
      <c r="P327" s="30">
        <v>507000</v>
      </c>
      <c r="Q327" s="30"/>
      <c r="R327" s="30">
        <v>1530</v>
      </c>
      <c r="S327" s="30"/>
      <c r="T327" s="30">
        <v>344</v>
      </c>
      <c r="U327" s="30">
        <v>15600</v>
      </c>
      <c r="V327" s="30"/>
      <c r="W327" s="30"/>
      <c r="X327" s="30"/>
      <c r="Y327" s="30"/>
      <c r="Z327" s="30"/>
      <c r="AA327" s="30"/>
      <c r="AB327" s="30">
        <v>9790</v>
      </c>
      <c r="AC327" s="30"/>
      <c r="AD327" s="30"/>
      <c r="AE327" s="30">
        <v>54300</v>
      </c>
    </row>
    <row r="328" spans="1:31">
      <c r="A328" t="str">
        <f>VLOOKUP(B328,info!$B$2:$F$49,2,FALSE)</f>
        <v>Daewoo</v>
      </c>
      <c r="B328" s="32">
        <v>22</v>
      </c>
      <c r="C328" t="s">
        <v>367</v>
      </c>
      <c r="D328" t="s">
        <v>30</v>
      </c>
      <c r="E328" s="31" t="s">
        <v>351</v>
      </c>
      <c r="F328">
        <f>VLOOKUP(B328,info!$B$2:$I$49,8,FALSE)</f>
        <v>8501017</v>
      </c>
      <c r="G328" t="str">
        <f>VLOOKUP(B328,info!$B$2:$I$49,5,FALSE)</f>
        <v>front</v>
      </c>
      <c r="J328" s="30">
        <v>779</v>
      </c>
      <c r="K328" s="30">
        <v>113000</v>
      </c>
      <c r="L328" s="30">
        <v>440</v>
      </c>
      <c r="M328" s="30">
        <v>94.5</v>
      </c>
      <c r="N328" s="30">
        <v>9590</v>
      </c>
      <c r="O328" s="30"/>
      <c r="P328" s="30">
        <v>143000</v>
      </c>
      <c r="Q328" s="30"/>
      <c r="R328" s="30">
        <v>396</v>
      </c>
      <c r="S328" s="30"/>
      <c r="T328" s="30">
        <v>27.9</v>
      </c>
      <c r="U328" s="30">
        <v>5250</v>
      </c>
      <c r="V328" s="30"/>
      <c r="W328" s="30"/>
      <c r="X328" s="30"/>
      <c r="Y328" s="30"/>
      <c r="Z328" s="30"/>
      <c r="AA328" s="30"/>
      <c r="AB328" s="30">
        <v>2880</v>
      </c>
      <c r="AC328" s="30"/>
      <c r="AD328" s="30"/>
      <c r="AE328" s="30">
        <v>20600</v>
      </c>
    </row>
    <row r="329" spans="1:31">
      <c r="A329" t="str">
        <f>VLOOKUP(B329,info!$B$2:$F$49,2,FALSE)</f>
        <v>Daewoo</v>
      </c>
      <c r="B329" s="32">
        <v>22</v>
      </c>
      <c r="C329" t="s">
        <v>367</v>
      </c>
      <c r="D329" t="s">
        <v>77</v>
      </c>
      <c r="E329" s="31" t="s">
        <v>351</v>
      </c>
      <c r="F329">
        <f>VLOOKUP(B329,info!$B$2:$I$49,8,FALSE)</f>
        <v>8501017</v>
      </c>
      <c r="G329" t="str">
        <f>VLOOKUP(B329,info!$B$2:$I$49,5,FALSE)</f>
        <v>front</v>
      </c>
      <c r="J329" s="30">
        <v>2620</v>
      </c>
      <c r="K329" s="30">
        <v>371000</v>
      </c>
      <c r="L329" s="30">
        <v>1560</v>
      </c>
      <c r="M329" s="30">
        <v>271</v>
      </c>
      <c r="N329" s="30">
        <v>31400</v>
      </c>
      <c r="O329" s="30"/>
      <c r="P329" s="30">
        <v>477000</v>
      </c>
      <c r="Q329" s="30"/>
      <c r="R329" s="30">
        <v>1330</v>
      </c>
      <c r="S329" s="30"/>
      <c r="T329" s="30">
        <v>102</v>
      </c>
      <c r="U329" s="30">
        <v>17300</v>
      </c>
      <c r="V329" s="30"/>
      <c r="W329" s="30"/>
      <c r="X329" s="30"/>
      <c r="Y329" s="30"/>
      <c r="Z329" s="30"/>
      <c r="AA329" s="30"/>
      <c r="AB329" s="30">
        <v>32300</v>
      </c>
      <c r="AC329" s="30"/>
      <c r="AD329" s="30"/>
      <c r="AE329" s="30">
        <v>57000</v>
      </c>
    </row>
    <row r="330" spans="1:31">
      <c r="A330" t="str">
        <f>VLOOKUP(B330,info!$B$2:$F$49,2,FALSE)</f>
        <v>Daewoo</v>
      </c>
      <c r="B330" s="32">
        <v>23</v>
      </c>
      <c r="C330" t="s">
        <v>367</v>
      </c>
      <c r="D330" t="s">
        <v>77</v>
      </c>
      <c r="E330" s="31" t="s">
        <v>351</v>
      </c>
      <c r="F330">
        <f>VLOOKUP(B330,info!$B$2:$I$49,8,FALSE)</f>
        <v>8501017</v>
      </c>
      <c r="G330" t="str">
        <f>VLOOKUP(B330,info!$B$2:$I$49,5,FALSE)</f>
        <v>back</v>
      </c>
      <c r="J330" s="30">
        <v>784</v>
      </c>
      <c r="K330" s="30">
        <v>112000</v>
      </c>
      <c r="L330" s="30">
        <v>527</v>
      </c>
      <c r="M330" s="30">
        <v>343</v>
      </c>
      <c r="N330" s="30">
        <v>9490</v>
      </c>
      <c r="O330" s="30"/>
      <c r="P330" s="30">
        <v>147000</v>
      </c>
      <c r="Q330" s="30"/>
      <c r="R330" s="30">
        <v>445</v>
      </c>
      <c r="S330" s="30"/>
      <c r="T330" s="30">
        <v>57.8</v>
      </c>
      <c r="U330" s="30">
        <v>5670</v>
      </c>
      <c r="V330" s="30"/>
      <c r="W330" s="30"/>
      <c r="X330" s="30"/>
      <c r="Y330" s="30"/>
      <c r="Z330" s="30"/>
      <c r="AA330" s="30"/>
      <c r="AB330" s="30">
        <v>10200</v>
      </c>
      <c r="AC330" s="30"/>
      <c r="AD330" s="30"/>
      <c r="AE330" s="30">
        <v>21500</v>
      </c>
    </row>
    <row r="331" spans="1:31">
      <c r="A331" t="str">
        <f>VLOOKUP(B331,info!$B$2:$F$49,2,FALSE)</f>
        <v>Daewoo</v>
      </c>
      <c r="B331" s="32">
        <v>23</v>
      </c>
      <c r="C331" t="s">
        <v>367</v>
      </c>
      <c r="D331" t="s">
        <v>30</v>
      </c>
      <c r="E331" s="31" t="s">
        <v>351</v>
      </c>
      <c r="F331">
        <f>VLOOKUP(B331,info!$B$2:$I$49,8,FALSE)</f>
        <v>8501017</v>
      </c>
      <c r="G331" t="str">
        <f>VLOOKUP(B331,info!$B$2:$I$49,5,FALSE)</f>
        <v>back</v>
      </c>
      <c r="J331" s="30">
        <v>2620</v>
      </c>
      <c r="K331" s="30">
        <v>353000</v>
      </c>
      <c r="L331" s="30">
        <v>1770</v>
      </c>
      <c r="M331" s="30">
        <v>189</v>
      </c>
      <c r="N331" s="30">
        <v>29900</v>
      </c>
      <c r="O331" s="30"/>
      <c r="P331" s="30">
        <v>448000</v>
      </c>
      <c r="Q331" s="30"/>
      <c r="R331" s="30">
        <v>1310</v>
      </c>
      <c r="S331" s="30"/>
      <c r="T331" s="30">
        <v>31.1</v>
      </c>
      <c r="U331" s="30">
        <v>17500</v>
      </c>
      <c r="V331" s="30"/>
      <c r="W331" s="30"/>
      <c r="X331" s="30"/>
      <c r="Y331" s="30"/>
      <c r="Z331" s="30"/>
      <c r="AA331" s="30"/>
      <c r="AB331" s="30">
        <v>9080</v>
      </c>
      <c r="AC331" s="30"/>
      <c r="AD331" s="30"/>
      <c r="AE331" s="30">
        <v>57700</v>
      </c>
    </row>
    <row r="332" spans="1:31">
      <c r="A332" t="str">
        <f>VLOOKUP(B332,info!$B$2:$F$49,2,FALSE)</f>
        <v>Mitsubishi</v>
      </c>
      <c r="B332" s="32">
        <v>24</v>
      </c>
      <c r="C332" t="s">
        <v>367</v>
      </c>
      <c r="D332" t="s">
        <v>30</v>
      </c>
      <c r="E332" s="31" t="s">
        <v>351</v>
      </c>
      <c r="F332">
        <f>VLOOKUP(B332,info!$B$2:$I$49,8,FALSE)</f>
        <v>7027220</v>
      </c>
      <c r="G332" t="str">
        <f>VLOOKUP(B332,info!$B$2:$I$49,5,FALSE)</f>
        <v>front</v>
      </c>
      <c r="J332" s="30">
        <v>631</v>
      </c>
      <c r="K332" s="30">
        <v>66700</v>
      </c>
      <c r="L332" s="30">
        <v>226</v>
      </c>
      <c r="M332" s="30">
        <v>33.4</v>
      </c>
      <c r="N332" s="30">
        <v>2960</v>
      </c>
      <c r="O332" s="30"/>
      <c r="P332" s="30">
        <v>91300</v>
      </c>
      <c r="Q332" s="30"/>
      <c r="R332" s="30">
        <v>434</v>
      </c>
      <c r="S332" s="30"/>
      <c r="T332" s="30">
        <v>173</v>
      </c>
      <c r="U332" s="30">
        <v>2650</v>
      </c>
      <c r="V332" s="30"/>
      <c r="W332" s="30"/>
      <c r="X332" s="30"/>
      <c r="Y332" s="30"/>
      <c r="Z332" s="30"/>
      <c r="AA332" s="30"/>
      <c r="AB332" s="30">
        <v>1430</v>
      </c>
      <c r="AC332" s="30"/>
      <c r="AD332" s="30"/>
      <c r="AE332" s="30">
        <v>12000</v>
      </c>
    </row>
    <row r="333" spans="1:31">
      <c r="A333" t="str">
        <f>VLOOKUP(B333,info!$B$2:$F$49,2,FALSE)</f>
        <v>Mitsubishi</v>
      </c>
      <c r="B333" s="32">
        <v>24</v>
      </c>
      <c r="C333" t="s">
        <v>367</v>
      </c>
      <c r="D333" t="s">
        <v>77</v>
      </c>
      <c r="E333" s="31" t="s">
        <v>351</v>
      </c>
      <c r="F333">
        <f>VLOOKUP(B333,info!$B$2:$I$49,8,FALSE)</f>
        <v>7027220</v>
      </c>
      <c r="G333" t="str">
        <f>VLOOKUP(B333,info!$B$2:$I$49,5,FALSE)</f>
        <v>front</v>
      </c>
      <c r="J333" s="30">
        <v>1080</v>
      </c>
      <c r="K333" s="30">
        <v>112000</v>
      </c>
      <c r="L333" s="30">
        <v>524</v>
      </c>
      <c r="M333" s="30">
        <v>3.81</v>
      </c>
      <c r="N333" s="30">
        <v>4830</v>
      </c>
      <c r="O333" s="30"/>
      <c r="P333" s="30">
        <v>154000</v>
      </c>
      <c r="Q333" s="30"/>
      <c r="R333" s="30">
        <v>652</v>
      </c>
      <c r="S333" s="30"/>
      <c r="T333" s="30">
        <v>233</v>
      </c>
      <c r="U333" s="30">
        <v>4380</v>
      </c>
      <c r="V333" s="30"/>
      <c r="W333" s="30"/>
      <c r="X333" s="30"/>
      <c r="Y333" s="30"/>
      <c r="Z333" s="30"/>
      <c r="AA333" s="30"/>
      <c r="AB333" s="30">
        <v>2410</v>
      </c>
      <c r="AC333" s="30"/>
      <c r="AD333" s="30"/>
      <c r="AE333" s="30">
        <v>16700</v>
      </c>
    </row>
    <row r="334" spans="1:31">
      <c r="A334" t="str">
        <f>VLOOKUP(B334,info!$B$2:$F$49,2,FALSE)</f>
        <v>Subaru</v>
      </c>
      <c r="B334" s="32">
        <v>25</v>
      </c>
      <c r="C334" t="s">
        <v>367</v>
      </c>
      <c r="D334" t="s">
        <v>77</v>
      </c>
      <c r="E334" s="31" t="s">
        <v>351</v>
      </c>
      <c r="F334">
        <f>VLOOKUP(B334,info!$B$2:$I$49,8,FALSE)</f>
        <v>2675308</v>
      </c>
      <c r="G334" t="str">
        <f>VLOOKUP(B334,info!$B$2:$I$49,5,FALSE)</f>
        <v>front</v>
      </c>
      <c r="J334" s="30">
        <v>697</v>
      </c>
      <c r="K334" s="30">
        <v>99200</v>
      </c>
      <c r="L334" s="30">
        <v>332</v>
      </c>
      <c r="M334" s="30">
        <v>276</v>
      </c>
      <c r="N334" s="30">
        <v>9790</v>
      </c>
      <c r="O334" s="30"/>
      <c r="P334" s="30">
        <v>141000</v>
      </c>
      <c r="Q334" s="30"/>
      <c r="R334" s="30">
        <v>348</v>
      </c>
      <c r="S334" s="30"/>
      <c r="T334" s="30">
        <v>164</v>
      </c>
      <c r="U334" s="30">
        <v>2980</v>
      </c>
      <c r="V334" s="30"/>
      <c r="W334" s="30"/>
      <c r="X334" s="30"/>
      <c r="Y334" s="30"/>
      <c r="Z334" s="30"/>
      <c r="AA334" s="30"/>
      <c r="AB334" s="30">
        <v>9300</v>
      </c>
      <c r="AC334" s="30"/>
      <c r="AD334" s="30"/>
      <c r="AE334" s="30">
        <v>16900</v>
      </c>
    </row>
    <row r="335" spans="1:31">
      <c r="A335" t="str">
        <f>VLOOKUP(B335,info!$B$2:$F$49,2,FALSE)</f>
        <v>Subaru</v>
      </c>
      <c r="B335" s="32">
        <v>25</v>
      </c>
      <c r="C335" t="s">
        <v>367</v>
      </c>
      <c r="D335" t="s">
        <v>30</v>
      </c>
      <c r="E335" s="31" t="s">
        <v>351</v>
      </c>
      <c r="F335">
        <f>VLOOKUP(B335,info!$B$2:$I$49,8,FALSE)</f>
        <v>2675308</v>
      </c>
      <c r="G335" t="str">
        <f>VLOOKUP(B335,info!$B$2:$I$49,5,FALSE)</f>
        <v>front</v>
      </c>
      <c r="J335" s="30">
        <v>1680</v>
      </c>
      <c r="K335" s="30">
        <v>188000</v>
      </c>
      <c r="L335" s="30">
        <v>746</v>
      </c>
      <c r="M335" s="30">
        <v>93.4</v>
      </c>
      <c r="N335" s="30">
        <v>18000</v>
      </c>
      <c r="O335" s="30"/>
      <c r="P335" s="30">
        <v>255000</v>
      </c>
      <c r="Q335" s="30"/>
      <c r="R335" s="30">
        <v>629</v>
      </c>
      <c r="S335" s="30"/>
      <c r="T335" s="30">
        <v>160</v>
      </c>
      <c r="U335" s="30">
        <v>6490</v>
      </c>
      <c r="V335" s="30"/>
      <c r="W335" s="30"/>
      <c r="X335" s="30"/>
      <c r="Y335" s="30"/>
      <c r="Z335" s="30"/>
      <c r="AA335" s="30"/>
      <c r="AB335" s="30">
        <v>4460</v>
      </c>
      <c r="AC335" s="30"/>
      <c r="AD335" s="30"/>
      <c r="AE335" s="30">
        <v>25200</v>
      </c>
    </row>
    <row r="336" spans="1:31">
      <c r="A336" t="str">
        <f>VLOOKUP(B336,info!$B$2:$F$49,2,FALSE)</f>
        <v>Mitsubishi</v>
      </c>
      <c r="B336" s="32">
        <v>26</v>
      </c>
      <c r="C336" t="s">
        <v>367</v>
      </c>
      <c r="D336" t="s">
        <v>30</v>
      </c>
      <c r="E336" s="31" t="s">
        <v>351</v>
      </c>
      <c r="F336">
        <f>VLOOKUP(B336,info!$B$2:$I$49,8,FALSE)</f>
        <v>7027220</v>
      </c>
      <c r="G336" t="str">
        <f>VLOOKUP(B336,info!$B$2:$I$49,5,FALSE)</f>
        <v>back</v>
      </c>
      <c r="J336" s="30">
        <v>1630</v>
      </c>
      <c r="K336" s="30">
        <v>185000</v>
      </c>
      <c r="L336" s="30">
        <v>617</v>
      </c>
      <c r="M336" s="30">
        <v>23.3</v>
      </c>
      <c r="N336" s="30">
        <v>14900</v>
      </c>
      <c r="O336" s="30"/>
      <c r="P336" s="30">
        <v>239000</v>
      </c>
      <c r="Q336" s="30"/>
      <c r="R336" s="30">
        <v>1960</v>
      </c>
      <c r="S336" s="30"/>
      <c r="T336" s="30">
        <v>258</v>
      </c>
      <c r="U336" s="30">
        <v>6710</v>
      </c>
      <c r="V336" s="30"/>
      <c r="W336" s="30"/>
      <c r="X336" s="30"/>
      <c r="Y336" s="30"/>
      <c r="Z336" s="30"/>
      <c r="AA336" s="30"/>
      <c r="AB336" s="30">
        <v>4390</v>
      </c>
      <c r="AC336" s="30"/>
      <c r="AD336" s="30"/>
      <c r="AE336" s="30">
        <v>32700</v>
      </c>
    </row>
    <row r="337" spans="1:31">
      <c r="A337" t="str">
        <f>VLOOKUP(B337,info!$B$2:$F$49,2,FALSE)</f>
        <v>Mitsubishi</v>
      </c>
      <c r="B337" s="32">
        <v>26</v>
      </c>
      <c r="C337" t="s">
        <v>367</v>
      </c>
      <c r="D337" t="s">
        <v>77</v>
      </c>
      <c r="E337" s="31" t="s">
        <v>351</v>
      </c>
      <c r="F337">
        <f>VLOOKUP(B337,info!$B$2:$I$49,8,FALSE)</f>
        <v>7027220</v>
      </c>
      <c r="G337" t="str">
        <f>VLOOKUP(B337,info!$B$2:$I$49,5,FALSE)</f>
        <v>back</v>
      </c>
      <c r="J337" s="30">
        <v>570</v>
      </c>
      <c r="K337" s="30">
        <v>69300</v>
      </c>
      <c r="L337" s="30">
        <v>260</v>
      </c>
      <c r="M337" s="30">
        <v>85.6</v>
      </c>
      <c r="N337" s="30">
        <v>5670</v>
      </c>
      <c r="O337" s="30"/>
      <c r="P337" s="30">
        <v>90100</v>
      </c>
      <c r="Q337" s="30"/>
      <c r="R337" s="30">
        <v>708</v>
      </c>
      <c r="S337" s="30"/>
      <c r="T337" s="30">
        <v>132</v>
      </c>
      <c r="U337" s="30">
        <v>2010</v>
      </c>
      <c r="V337" s="30"/>
      <c r="W337" s="30"/>
      <c r="X337" s="30"/>
      <c r="Y337" s="30"/>
      <c r="Z337" s="30"/>
      <c r="AA337" s="30"/>
      <c r="AB337" s="30">
        <v>6950</v>
      </c>
      <c r="AC337" s="30"/>
      <c r="AD337" s="30"/>
      <c r="AE337" s="30">
        <v>10800</v>
      </c>
    </row>
    <row r="338" spans="1:31">
      <c r="A338" t="str">
        <f>VLOOKUP(B338,info!$B$2:$F$49,2,FALSE)</f>
        <v>Fiat</v>
      </c>
      <c r="B338" s="32">
        <v>27</v>
      </c>
      <c r="C338" t="s">
        <v>367</v>
      </c>
      <c r="D338" t="s">
        <v>30</v>
      </c>
      <c r="E338" s="31" t="s">
        <v>351</v>
      </c>
      <c r="F338">
        <f>VLOOKUP(B338,info!$B$2:$I$49,8,FALSE)</f>
        <v>5751910</v>
      </c>
      <c r="G338" t="str">
        <f>VLOOKUP(B338,info!$B$2:$I$49,5,FALSE)</f>
        <v>front</v>
      </c>
      <c r="J338" s="30">
        <v>1110</v>
      </c>
      <c r="K338" s="30">
        <v>204000</v>
      </c>
      <c r="L338" s="30">
        <v>309</v>
      </c>
      <c r="M338" s="30">
        <v>91.2</v>
      </c>
      <c r="N338" s="30">
        <v>9420</v>
      </c>
      <c r="O338" s="30"/>
      <c r="P338" s="30">
        <v>254000</v>
      </c>
      <c r="Q338" s="30"/>
      <c r="R338" s="30">
        <v>1050</v>
      </c>
      <c r="S338" s="30"/>
      <c r="T338" s="30">
        <v>57.5</v>
      </c>
      <c r="U338" s="30">
        <v>17300</v>
      </c>
      <c r="V338" s="30"/>
      <c r="W338" s="30"/>
      <c r="X338" s="30"/>
      <c r="Y338" s="30"/>
      <c r="Z338" s="30"/>
      <c r="AA338" s="30"/>
      <c r="AB338" s="30">
        <v>4480</v>
      </c>
      <c r="AC338" s="30"/>
      <c r="AD338" s="30"/>
      <c r="AE338" s="30">
        <v>35200</v>
      </c>
    </row>
    <row r="339" spans="1:31">
      <c r="A339" t="str">
        <f>VLOOKUP(B339,info!$B$2:$F$49,2,FALSE)</f>
        <v>Fiat</v>
      </c>
      <c r="B339" s="32">
        <v>27</v>
      </c>
      <c r="C339" t="s">
        <v>367</v>
      </c>
      <c r="D339" t="s">
        <v>77</v>
      </c>
      <c r="E339" s="31" t="s">
        <v>351</v>
      </c>
      <c r="F339">
        <f>VLOOKUP(B339,info!$B$2:$I$49,8,FALSE)</f>
        <v>5751910</v>
      </c>
      <c r="G339" t="str">
        <f>VLOOKUP(B339,info!$B$2:$I$49,5,FALSE)</f>
        <v>front</v>
      </c>
      <c r="J339" s="30">
        <v>1370</v>
      </c>
      <c r="K339" s="30">
        <v>207000</v>
      </c>
      <c r="L339" s="30">
        <v>495</v>
      </c>
      <c r="M339" s="30">
        <v>263</v>
      </c>
      <c r="N339" s="30">
        <v>10600</v>
      </c>
      <c r="O339" s="30"/>
      <c r="P339" s="30">
        <v>263000</v>
      </c>
      <c r="Q339" s="30"/>
      <c r="R339" s="30">
        <v>945</v>
      </c>
      <c r="S339" s="30"/>
      <c r="T339" s="30">
        <v>83.8</v>
      </c>
      <c r="U339" s="30">
        <v>16700</v>
      </c>
      <c r="V339" s="30"/>
      <c r="W339" s="30"/>
      <c r="X339" s="30"/>
      <c r="Y339" s="30"/>
      <c r="Z339" s="30"/>
      <c r="AA339" s="30"/>
      <c r="AB339" s="30">
        <v>21200</v>
      </c>
      <c r="AC339" s="30"/>
      <c r="AD339" s="30"/>
      <c r="AE339" s="30">
        <v>33200</v>
      </c>
    </row>
    <row r="340" spans="1:31">
      <c r="A340" t="str">
        <f>VLOOKUP(B340,info!$B$2:$F$49,2,FALSE)</f>
        <v>Subaru</v>
      </c>
      <c r="B340" s="32">
        <v>28</v>
      </c>
      <c r="C340" t="s">
        <v>367</v>
      </c>
      <c r="D340" t="s">
        <v>30</v>
      </c>
      <c r="E340" s="31" t="s">
        <v>351</v>
      </c>
      <c r="F340">
        <f>VLOOKUP(B340,info!$B$2:$I$49,8,FALSE)</f>
        <v>2675308</v>
      </c>
      <c r="G340" t="str">
        <f>VLOOKUP(B340,info!$B$2:$I$49,5,FALSE)</f>
        <v>front</v>
      </c>
      <c r="J340" s="30">
        <v>2150</v>
      </c>
      <c r="K340" s="30">
        <v>240000</v>
      </c>
      <c r="L340" s="30">
        <v>809</v>
      </c>
      <c r="M340" s="30">
        <v>172</v>
      </c>
      <c r="N340" s="30">
        <v>23200</v>
      </c>
      <c r="O340" s="30"/>
      <c r="P340" s="30">
        <v>331000</v>
      </c>
      <c r="Q340" s="30"/>
      <c r="R340" s="30">
        <v>711</v>
      </c>
      <c r="S340" s="30"/>
      <c r="T340" s="30">
        <v>187</v>
      </c>
      <c r="U340" s="30">
        <v>8010</v>
      </c>
      <c r="V340" s="30"/>
      <c r="W340" s="30"/>
      <c r="X340" s="30"/>
      <c r="Y340" s="30"/>
      <c r="Z340" s="30"/>
      <c r="AA340" s="30"/>
      <c r="AB340" s="30">
        <v>6460</v>
      </c>
      <c r="AC340" s="30"/>
      <c r="AD340" s="30"/>
      <c r="AE340" s="30">
        <v>42900</v>
      </c>
    </row>
    <row r="341" spans="1:31">
      <c r="A341" t="str">
        <f>VLOOKUP(B341,info!$B$2:$F$49,2,FALSE)</f>
        <v>Subaru</v>
      </c>
      <c r="B341" s="32">
        <v>28</v>
      </c>
      <c r="C341" t="s">
        <v>367</v>
      </c>
      <c r="D341" t="s">
        <v>77</v>
      </c>
      <c r="E341" s="31" t="s">
        <v>351</v>
      </c>
      <c r="F341">
        <f>VLOOKUP(B341,info!$B$2:$I$49,8,FALSE)</f>
        <v>2675308</v>
      </c>
      <c r="G341" t="str">
        <f>VLOOKUP(B341,info!$B$2:$I$49,5,FALSE)</f>
        <v>front</v>
      </c>
      <c r="J341" s="30">
        <v>2360</v>
      </c>
      <c r="K341" s="30">
        <v>227000</v>
      </c>
      <c r="L341" s="30">
        <v>1730</v>
      </c>
      <c r="M341" s="30">
        <v>728</v>
      </c>
      <c r="N341" s="30">
        <v>19200</v>
      </c>
      <c r="O341" s="30"/>
      <c r="P341" s="30">
        <v>269000</v>
      </c>
      <c r="Q341" s="30"/>
      <c r="R341" s="30">
        <v>645</v>
      </c>
      <c r="S341" s="30"/>
      <c r="T341" s="30">
        <v>119</v>
      </c>
      <c r="U341" s="30">
        <v>5390</v>
      </c>
      <c r="V341" s="30"/>
      <c r="W341" s="30"/>
      <c r="X341" s="30"/>
      <c r="Y341" s="30"/>
      <c r="Z341" s="30"/>
      <c r="AA341" s="30"/>
      <c r="AB341" s="30">
        <v>15900</v>
      </c>
      <c r="AC341" s="30"/>
      <c r="AD341" s="30"/>
      <c r="AE341" s="30">
        <v>41600</v>
      </c>
    </row>
    <row r="342" spans="1:31">
      <c r="A342" t="str">
        <f>VLOOKUP(B342,info!$B$2:$F$49,2,FALSE)</f>
        <v>Renault</v>
      </c>
      <c r="B342" s="32">
        <v>29</v>
      </c>
      <c r="C342" t="s">
        <v>367</v>
      </c>
      <c r="D342" t="s">
        <v>77</v>
      </c>
      <c r="E342" s="31" t="s">
        <v>351</v>
      </c>
      <c r="F342">
        <f>VLOOKUP(B342,info!$B$2:$I$49,8,FALSE)</f>
        <v>1147816</v>
      </c>
      <c r="G342" t="str">
        <f>VLOOKUP(B342,info!$B$2:$I$49,5,FALSE)</f>
        <v>back triangle</v>
      </c>
      <c r="J342" s="30">
        <v>1050</v>
      </c>
      <c r="K342" s="30">
        <v>148000</v>
      </c>
      <c r="L342" s="30">
        <v>476</v>
      </c>
      <c r="M342" s="30">
        <v>368</v>
      </c>
      <c r="N342" s="30">
        <v>3350</v>
      </c>
      <c r="O342" s="30"/>
      <c r="P342" s="30">
        <v>205000</v>
      </c>
      <c r="Q342" s="30"/>
      <c r="R342" s="30">
        <v>724</v>
      </c>
      <c r="S342" s="30"/>
      <c r="T342" s="30">
        <v>345</v>
      </c>
      <c r="U342" s="30">
        <v>8240</v>
      </c>
      <c r="V342" s="30"/>
      <c r="W342" s="30"/>
      <c r="X342" s="30"/>
      <c r="Y342" s="30"/>
      <c r="Z342" s="30"/>
      <c r="AA342" s="30"/>
      <c r="AB342" s="30">
        <v>15100</v>
      </c>
      <c r="AC342" s="30"/>
      <c r="AD342" s="30"/>
      <c r="AE342" s="30">
        <v>29900</v>
      </c>
    </row>
    <row r="343" spans="1:31">
      <c r="A343" t="str">
        <f>VLOOKUP(B343,info!$B$2:$F$49,2,FALSE)</f>
        <v>Renault</v>
      </c>
      <c r="B343" s="32">
        <v>29</v>
      </c>
      <c r="C343" t="s">
        <v>367</v>
      </c>
      <c r="D343" t="s">
        <v>30</v>
      </c>
      <c r="E343" s="31" t="s">
        <v>351</v>
      </c>
      <c r="F343">
        <f>VLOOKUP(B343,info!$B$2:$I$49,8,FALSE)</f>
        <v>1147816</v>
      </c>
      <c r="G343" t="str">
        <f>VLOOKUP(B343,info!$B$2:$I$49,5,FALSE)</f>
        <v>back triangle</v>
      </c>
      <c r="J343" s="30">
        <v>675</v>
      </c>
      <c r="K343" s="30">
        <v>110000</v>
      </c>
      <c r="L343" s="30">
        <v>188</v>
      </c>
      <c r="M343" s="30">
        <v>32.1</v>
      </c>
      <c r="N343" s="30">
        <v>2340</v>
      </c>
      <c r="O343" s="30"/>
      <c r="P343" s="30">
        <v>143000</v>
      </c>
      <c r="Q343" s="30"/>
      <c r="R343" s="30">
        <v>632</v>
      </c>
      <c r="S343" s="30"/>
      <c r="T343" s="30">
        <v>310</v>
      </c>
      <c r="U343" s="30">
        <v>5950</v>
      </c>
      <c r="V343" s="30"/>
      <c r="W343" s="30"/>
      <c r="X343" s="30"/>
      <c r="Y343" s="30"/>
      <c r="Z343" s="30"/>
      <c r="AA343" s="30"/>
      <c r="AB343" s="30">
        <v>2400</v>
      </c>
      <c r="AC343" s="30"/>
      <c r="AD343" s="30"/>
      <c r="AE343" s="30">
        <v>19100</v>
      </c>
    </row>
    <row r="344" spans="1:31">
      <c r="A344" t="str">
        <f>VLOOKUP(B344,info!$B$2:$F$49,2,FALSE)</f>
        <v>Ford</v>
      </c>
      <c r="B344" s="32">
        <v>30</v>
      </c>
      <c r="C344" t="s">
        <v>367</v>
      </c>
      <c r="D344" t="s">
        <v>77</v>
      </c>
      <c r="E344" s="31" t="s">
        <v>351</v>
      </c>
      <c r="F344">
        <f>VLOOKUP(B344,info!$B$2:$I$49,8,FALSE)</f>
        <v>6917835</v>
      </c>
      <c r="G344" t="str">
        <f>VLOOKUP(B344,info!$B$2:$I$49,5,FALSE)</f>
        <v>back</v>
      </c>
      <c r="J344" s="30">
        <v>1010</v>
      </c>
      <c r="K344" s="30">
        <v>157000</v>
      </c>
      <c r="L344" s="30">
        <v>171</v>
      </c>
      <c r="M344" s="30">
        <v>391</v>
      </c>
      <c r="N344" s="30">
        <v>7490</v>
      </c>
      <c r="O344" s="30"/>
      <c r="P344" s="30">
        <v>225000</v>
      </c>
      <c r="Q344" s="30"/>
      <c r="R344" s="30">
        <v>746</v>
      </c>
      <c r="S344" s="30"/>
      <c r="T344" s="30">
        <v>7.27</v>
      </c>
      <c r="U344" s="30">
        <v>17300</v>
      </c>
      <c r="V344" s="30"/>
      <c r="W344" s="30"/>
      <c r="X344" s="30"/>
      <c r="Y344" s="30"/>
      <c r="Z344" s="30"/>
      <c r="AA344" s="30"/>
      <c r="AB344" s="30">
        <v>23300</v>
      </c>
      <c r="AC344" s="30"/>
      <c r="AD344" s="30"/>
      <c r="AE344" s="30">
        <v>70300</v>
      </c>
    </row>
    <row r="345" spans="1:31">
      <c r="A345" t="str">
        <f>VLOOKUP(B345,info!$B$2:$F$49,2,FALSE)</f>
        <v>Ford</v>
      </c>
      <c r="B345" s="32">
        <v>30</v>
      </c>
      <c r="C345" t="s">
        <v>367</v>
      </c>
      <c r="D345" t="s">
        <v>30</v>
      </c>
      <c r="E345" s="31" t="s">
        <v>351</v>
      </c>
      <c r="F345">
        <f>VLOOKUP(B345,info!$B$2:$I$49,8,FALSE)</f>
        <v>6917835</v>
      </c>
      <c r="G345" t="str">
        <f>VLOOKUP(B345,info!$B$2:$I$49,5,FALSE)</f>
        <v>back</v>
      </c>
      <c r="J345" s="30">
        <v>858</v>
      </c>
      <c r="K345" s="30">
        <v>135000</v>
      </c>
      <c r="L345" s="30">
        <v>366</v>
      </c>
      <c r="M345" s="30">
        <v>89.7</v>
      </c>
      <c r="N345" s="30">
        <v>6340</v>
      </c>
      <c r="O345" s="30"/>
      <c r="P345" s="30">
        <v>180000</v>
      </c>
      <c r="Q345" s="30"/>
      <c r="R345" s="30">
        <v>569</v>
      </c>
      <c r="S345" s="30"/>
      <c r="T345" s="30">
        <v>21.7</v>
      </c>
      <c r="U345" s="30">
        <v>13800</v>
      </c>
      <c r="V345" s="30"/>
      <c r="W345" s="30"/>
      <c r="X345" s="30"/>
      <c r="Y345" s="30"/>
      <c r="Z345" s="30"/>
      <c r="AA345" s="30"/>
      <c r="AB345" s="30">
        <v>3390</v>
      </c>
      <c r="AC345" s="30"/>
      <c r="AD345" s="30"/>
      <c r="AE345" s="30">
        <v>24000</v>
      </c>
    </row>
    <row r="346" spans="1:31">
      <c r="A346" t="str">
        <f>VLOOKUP(B346,info!$B$2:$F$49,2,FALSE)</f>
        <v>Hyundai</v>
      </c>
      <c r="B346" s="32">
        <v>31</v>
      </c>
      <c r="C346" t="s">
        <v>367</v>
      </c>
      <c r="D346" t="s">
        <v>30</v>
      </c>
      <c r="E346" s="31" t="s">
        <v>351</v>
      </c>
      <c r="F346">
        <f>VLOOKUP(B346,info!$B$2:$I$49,8,FALSE)</f>
        <v>9602910</v>
      </c>
      <c r="G346" t="str">
        <f>VLOOKUP(B346,info!$B$2:$I$49,5,FALSE)</f>
        <v>back triangle</v>
      </c>
      <c r="J346" s="30">
        <v>1440</v>
      </c>
      <c r="K346" s="30">
        <v>207000</v>
      </c>
      <c r="L346" s="30">
        <v>1130</v>
      </c>
      <c r="M346" s="30">
        <v>542</v>
      </c>
      <c r="N346" s="30">
        <v>13600</v>
      </c>
      <c r="O346" s="30"/>
      <c r="P346" s="30">
        <v>313000</v>
      </c>
      <c r="Q346" s="30"/>
      <c r="R346" s="30">
        <v>949</v>
      </c>
      <c r="S346" s="30"/>
      <c r="T346" s="30">
        <v>81.400000000000006</v>
      </c>
      <c r="U346" s="30">
        <v>10100</v>
      </c>
      <c r="V346" s="30"/>
      <c r="W346" s="30"/>
      <c r="X346" s="30"/>
      <c r="Y346" s="30"/>
      <c r="Z346" s="30"/>
      <c r="AA346" s="30"/>
      <c r="AB346" s="30">
        <v>5720</v>
      </c>
      <c r="AC346" s="30"/>
      <c r="AD346" s="30"/>
      <c r="AE346" s="30">
        <v>51500</v>
      </c>
    </row>
    <row r="347" spans="1:31">
      <c r="A347" t="str">
        <f>VLOOKUP(B347,info!$B$2:$F$49,2,FALSE)</f>
        <v>Hyundai</v>
      </c>
      <c r="B347" s="32">
        <v>31</v>
      </c>
      <c r="C347" t="s">
        <v>367</v>
      </c>
      <c r="D347" t="s">
        <v>77</v>
      </c>
      <c r="E347" s="31" t="s">
        <v>351</v>
      </c>
      <c r="F347">
        <f>VLOOKUP(B347,info!$B$2:$I$49,8,FALSE)</f>
        <v>9602910</v>
      </c>
      <c r="G347" t="str">
        <f>VLOOKUP(B347,info!$B$2:$I$49,5,FALSE)</f>
        <v>back triangle</v>
      </c>
      <c r="J347" s="30">
        <v>1150</v>
      </c>
      <c r="K347" s="30">
        <v>152000</v>
      </c>
      <c r="L347" s="30">
        <v>601</v>
      </c>
      <c r="M347" s="30">
        <v>449</v>
      </c>
      <c r="N347" s="30">
        <v>10500</v>
      </c>
      <c r="O347" s="30"/>
      <c r="P347" s="30">
        <v>239000</v>
      </c>
      <c r="Q347" s="30"/>
      <c r="R347" s="30">
        <v>729</v>
      </c>
      <c r="S347" s="30"/>
      <c r="T347" s="30">
        <v>116</v>
      </c>
      <c r="U347" s="30">
        <v>7590</v>
      </c>
      <c r="V347" s="30"/>
      <c r="W347" s="30"/>
      <c r="X347" s="30"/>
      <c r="Y347" s="30"/>
      <c r="Z347" s="30"/>
      <c r="AA347" s="30"/>
      <c r="AB347" s="30">
        <v>14200</v>
      </c>
      <c r="AC347" s="30"/>
      <c r="AD347" s="30"/>
      <c r="AE347" s="30">
        <v>26500</v>
      </c>
    </row>
    <row r="348" spans="1:31">
      <c r="A348" t="str">
        <f>VLOOKUP(B348,info!$B$2:$F$49,2,FALSE)</f>
        <v>Hyundai</v>
      </c>
      <c r="B348" s="32">
        <v>32</v>
      </c>
      <c r="C348" t="s">
        <v>367</v>
      </c>
      <c r="D348" t="s">
        <v>77</v>
      </c>
      <c r="E348" s="31" t="s">
        <v>351</v>
      </c>
      <c r="F348">
        <f>VLOOKUP(B348,info!$B$2:$I$49,8,FALSE)</f>
        <v>9602910</v>
      </c>
      <c r="G348" t="str">
        <f>VLOOKUP(B348,info!$B$2:$I$49,5,FALSE)</f>
        <v>back triangle</v>
      </c>
      <c r="J348" s="30">
        <v>1540</v>
      </c>
      <c r="K348" s="30">
        <v>244000</v>
      </c>
      <c r="L348" s="30">
        <v>901</v>
      </c>
      <c r="M348" s="30">
        <v>847</v>
      </c>
      <c r="N348" s="30">
        <v>17400</v>
      </c>
      <c r="O348" s="30"/>
      <c r="P348" s="30">
        <v>390000</v>
      </c>
      <c r="Q348" s="30"/>
      <c r="R348" s="30">
        <v>1150</v>
      </c>
      <c r="S348" s="30"/>
      <c r="T348" s="30">
        <v>185</v>
      </c>
      <c r="U348" s="30">
        <v>12400</v>
      </c>
      <c r="V348" s="30"/>
      <c r="W348" s="30"/>
      <c r="X348" s="30"/>
      <c r="Y348" s="30"/>
      <c r="Z348" s="30"/>
      <c r="AA348" s="30"/>
      <c r="AB348" s="30">
        <v>23200</v>
      </c>
      <c r="AC348" s="30"/>
      <c r="AD348" s="30"/>
      <c r="AE348" s="30">
        <v>45500</v>
      </c>
    </row>
    <row r="349" spans="1:31">
      <c r="A349" t="str">
        <f>VLOOKUP(B349,info!$B$2:$F$49,2,FALSE)</f>
        <v>Hyundai</v>
      </c>
      <c r="B349" s="32">
        <v>32</v>
      </c>
      <c r="C349" t="s">
        <v>367</v>
      </c>
      <c r="D349" t="s">
        <v>30</v>
      </c>
      <c r="E349" s="31" t="s">
        <v>351</v>
      </c>
      <c r="F349">
        <f>VLOOKUP(B349,info!$B$2:$I$49,8,FALSE)</f>
        <v>9602910</v>
      </c>
      <c r="G349" t="str">
        <f>VLOOKUP(B349,info!$B$2:$I$49,5,FALSE)</f>
        <v>back triangle</v>
      </c>
      <c r="J349" s="30">
        <v>1210</v>
      </c>
      <c r="K349" s="30">
        <v>169000</v>
      </c>
      <c r="L349" s="30">
        <v>928</v>
      </c>
      <c r="M349" s="30">
        <v>468</v>
      </c>
      <c r="N349" s="30">
        <v>11700</v>
      </c>
      <c r="O349" s="30"/>
      <c r="P349" s="30">
        <v>256000</v>
      </c>
      <c r="Q349" s="30"/>
      <c r="R349" s="30">
        <v>855</v>
      </c>
      <c r="S349" s="30"/>
      <c r="T349" s="30">
        <v>153</v>
      </c>
      <c r="U349" s="30">
        <v>8390</v>
      </c>
      <c r="V349" s="30"/>
      <c r="W349" s="30"/>
      <c r="X349" s="30"/>
      <c r="Y349" s="30"/>
      <c r="Z349" s="30"/>
      <c r="AA349" s="30"/>
      <c r="AB349" s="30">
        <v>4340</v>
      </c>
      <c r="AC349" s="30"/>
      <c r="AD349" s="30"/>
      <c r="AE349" s="30">
        <v>31000</v>
      </c>
    </row>
    <row r="350" spans="1:31">
      <c r="A350" t="str">
        <f>VLOOKUP(B350,info!$B$2:$F$49,2,FALSE)</f>
        <v>Hyundai</v>
      </c>
      <c r="B350" s="32">
        <v>33</v>
      </c>
      <c r="C350" t="s">
        <v>367</v>
      </c>
      <c r="D350" t="s">
        <v>30</v>
      </c>
      <c r="E350" s="31" t="s">
        <v>351</v>
      </c>
      <c r="F350">
        <f>VLOOKUP(B350,info!$B$2:$I$49,8,FALSE)</f>
        <v>9602910</v>
      </c>
      <c r="G350" t="str">
        <f>VLOOKUP(B350,info!$B$2:$I$49,5,FALSE)</f>
        <v>back</v>
      </c>
      <c r="J350" s="30">
        <v>2560</v>
      </c>
      <c r="K350" s="30">
        <v>386000</v>
      </c>
      <c r="L350" s="30">
        <v>1500</v>
      </c>
      <c r="M350" s="30">
        <v>348</v>
      </c>
      <c r="N350" s="30">
        <v>21500</v>
      </c>
      <c r="O350" s="30"/>
      <c r="P350" s="30">
        <v>541000</v>
      </c>
      <c r="Q350" s="30"/>
      <c r="R350" s="30">
        <v>1410</v>
      </c>
      <c r="S350" s="30"/>
      <c r="T350" s="30">
        <v>261</v>
      </c>
      <c r="U350" s="30">
        <v>16400</v>
      </c>
      <c r="V350" s="30"/>
      <c r="W350" s="30"/>
      <c r="X350" s="30"/>
      <c r="Y350" s="30"/>
      <c r="Z350" s="30"/>
      <c r="AA350" s="30"/>
      <c r="AB350" s="30">
        <v>11000</v>
      </c>
      <c r="AC350" s="30"/>
      <c r="AD350" s="30"/>
      <c r="AE350" s="30">
        <v>27100</v>
      </c>
    </row>
    <row r="351" spans="1:31">
      <c r="A351" t="str">
        <f>VLOOKUP(B351,info!$B$2:$F$49,2,FALSE)</f>
        <v>Hyundai</v>
      </c>
      <c r="B351" s="32">
        <v>33</v>
      </c>
      <c r="C351" t="s">
        <v>367</v>
      </c>
      <c r="D351" t="s">
        <v>77</v>
      </c>
      <c r="E351" s="31" t="s">
        <v>351</v>
      </c>
      <c r="F351">
        <f>VLOOKUP(B351,info!$B$2:$I$49,8,FALSE)</f>
        <v>9602910</v>
      </c>
      <c r="G351" t="str">
        <f>VLOOKUP(B351,info!$B$2:$I$49,5,FALSE)</f>
        <v>back</v>
      </c>
      <c r="J351" s="30">
        <v>1090</v>
      </c>
      <c r="K351" s="30">
        <v>195000</v>
      </c>
      <c r="L351" s="30">
        <v>2140</v>
      </c>
      <c r="M351" s="30">
        <v>484</v>
      </c>
      <c r="N351" s="30">
        <v>11600</v>
      </c>
      <c r="O351" s="30"/>
      <c r="P351" s="30">
        <v>311000</v>
      </c>
      <c r="Q351" s="30"/>
      <c r="R351" s="30">
        <v>760</v>
      </c>
      <c r="S351" s="30"/>
      <c r="T351" s="30">
        <v>131</v>
      </c>
      <c r="U351" s="30">
        <v>9770</v>
      </c>
      <c r="V351" s="30"/>
      <c r="W351" s="30"/>
      <c r="X351" s="30"/>
      <c r="Y351" s="30"/>
      <c r="Z351" s="30"/>
      <c r="AA351" s="30"/>
      <c r="AB351" s="30">
        <v>19700</v>
      </c>
      <c r="AC351" s="30"/>
      <c r="AD351" s="30"/>
      <c r="AE351" s="30">
        <v>46000</v>
      </c>
    </row>
    <row r="352" spans="1:31">
      <c r="A352" t="str">
        <f>VLOOKUP(B352,info!$B$2:$F$49,2,FALSE)</f>
        <v>Hyundai</v>
      </c>
      <c r="B352" s="32">
        <v>34</v>
      </c>
      <c r="C352" t="s">
        <v>367</v>
      </c>
      <c r="D352" t="s">
        <v>77</v>
      </c>
      <c r="E352" s="31" t="s">
        <v>351</v>
      </c>
      <c r="F352">
        <f>VLOOKUP(B352,info!$B$2:$I$49,8,FALSE)</f>
        <v>9602910</v>
      </c>
      <c r="G352" t="str">
        <f>VLOOKUP(B352,info!$B$2:$I$49,5,FALSE)</f>
        <v>back triangle</v>
      </c>
      <c r="J352" s="30">
        <v>2150</v>
      </c>
      <c r="K352" s="30">
        <v>317000</v>
      </c>
      <c r="L352" s="30">
        <v>1500</v>
      </c>
      <c r="M352" s="30">
        <v>903</v>
      </c>
      <c r="N352" s="30">
        <v>17700</v>
      </c>
      <c r="O352" s="30"/>
      <c r="P352" s="30">
        <v>457000</v>
      </c>
      <c r="Q352" s="30"/>
      <c r="R352" s="30">
        <v>1340</v>
      </c>
      <c r="S352" s="30"/>
      <c r="T352" s="30">
        <v>231</v>
      </c>
      <c r="U352" s="30">
        <v>12600</v>
      </c>
      <c r="V352" s="30"/>
      <c r="W352" s="30"/>
      <c r="X352" s="30"/>
      <c r="Y352" s="30"/>
      <c r="Z352" s="30"/>
      <c r="AA352" s="30"/>
      <c r="AB352" s="30">
        <v>30900</v>
      </c>
      <c r="AC352" s="30"/>
      <c r="AD352" s="30"/>
      <c r="AE352" s="30">
        <v>29100</v>
      </c>
    </row>
    <row r="353" spans="1:31">
      <c r="A353" t="str">
        <f>VLOOKUP(B353,info!$B$2:$F$49,2,FALSE)</f>
        <v>Hyundai</v>
      </c>
      <c r="B353" s="32">
        <v>34</v>
      </c>
      <c r="C353" t="s">
        <v>367</v>
      </c>
      <c r="D353" t="s">
        <v>30</v>
      </c>
      <c r="E353" s="31" t="s">
        <v>351</v>
      </c>
      <c r="F353">
        <f>VLOOKUP(B353,info!$B$2:$I$49,8,FALSE)</f>
        <v>9602910</v>
      </c>
      <c r="G353" t="str">
        <f>VLOOKUP(B353,info!$B$2:$I$49,5,FALSE)</f>
        <v>back triangle</v>
      </c>
      <c r="J353" s="30">
        <v>1470</v>
      </c>
      <c r="K353" s="30">
        <v>283000</v>
      </c>
      <c r="L353" s="30">
        <v>1310</v>
      </c>
      <c r="M353" s="30">
        <v>305</v>
      </c>
      <c r="N353" s="30">
        <v>15800</v>
      </c>
      <c r="O353" s="30"/>
      <c r="P353" s="30">
        <v>448000</v>
      </c>
      <c r="Q353" s="30"/>
      <c r="R353" s="30">
        <v>1160</v>
      </c>
      <c r="S353" s="30"/>
      <c r="T353" s="30">
        <v>198</v>
      </c>
      <c r="U353" s="30">
        <v>15000</v>
      </c>
      <c r="V353" s="30"/>
      <c r="W353" s="30"/>
      <c r="X353" s="30"/>
      <c r="Y353" s="30"/>
      <c r="Z353" s="30"/>
      <c r="AA353" s="30"/>
      <c r="AB353" s="30">
        <v>8870</v>
      </c>
      <c r="AC353" s="30"/>
      <c r="AD353" s="30"/>
      <c r="AE353" s="30">
        <v>35800</v>
      </c>
    </row>
    <row r="354" spans="1:31">
      <c r="A354" t="str">
        <f>VLOOKUP(B354,info!$B$2:$F$49,2,FALSE)</f>
        <v>Hyundai</v>
      </c>
      <c r="B354" s="32">
        <v>35</v>
      </c>
      <c r="C354" t="s">
        <v>367</v>
      </c>
      <c r="D354" t="s">
        <v>77</v>
      </c>
      <c r="E354" s="31" t="s">
        <v>351</v>
      </c>
      <c r="F354">
        <f>VLOOKUP(B354,info!$B$2:$I$49,8,FALSE)</f>
        <v>5826120</v>
      </c>
      <c r="G354" t="str">
        <f>VLOOKUP(B354,info!$B$2:$I$49,5,FALSE)</f>
        <v>front</v>
      </c>
      <c r="J354" s="30">
        <v>2270</v>
      </c>
      <c r="K354" s="30">
        <v>369000</v>
      </c>
      <c r="L354" s="30">
        <v>1810</v>
      </c>
      <c r="M354" s="30">
        <v>1040</v>
      </c>
      <c r="N354" s="30">
        <v>17000</v>
      </c>
      <c r="O354" s="30"/>
      <c r="P354" s="30">
        <v>538000</v>
      </c>
      <c r="Q354" s="30"/>
      <c r="R354" s="30">
        <v>1730</v>
      </c>
      <c r="S354" s="30"/>
      <c r="T354" s="30">
        <v>259</v>
      </c>
      <c r="U354" s="30">
        <v>12300</v>
      </c>
      <c r="V354" s="30"/>
      <c r="W354" s="30"/>
      <c r="X354" s="30"/>
      <c r="Y354" s="30"/>
      <c r="Z354" s="30"/>
      <c r="AA354" s="30"/>
      <c r="AB354" s="30">
        <v>33300</v>
      </c>
      <c r="AC354" s="30"/>
      <c r="AD354" s="30"/>
      <c r="AE354" s="30">
        <v>25300</v>
      </c>
    </row>
    <row r="355" spans="1:31">
      <c r="A355" t="str">
        <f>VLOOKUP(B355,info!$B$2:$F$49,2,FALSE)</f>
        <v>Hyundai</v>
      </c>
      <c r="B355" s="32">
        <v>35</v>
      </c>
      <c r="C355" t="s">
        <v>367</v>
      </c>
      <c r="D355" t="s">
        <v>30</v>
      </c>
      <c r="E355" s="31" t="s">
        <v>351</v>
      </c>
      <c r="F355">
        <f>VLOOKUP(B355,info!$B$2:$I$49,8,FALSE)</f>
        <v>5826120</v>
      </c>
      <c r="G355" t="str">
        <f>VLOOKUP(B355,info!$B$2:$I$49,5,FALSE)</f>
        <v>front</v>
      </c>
      <c r="J355" s="30">
        <v>1320</v>
      </c>
      <c r="K355" s="30">
        <v>279000</v>
      </c>
      <c r="L355" s="30">
        <v>1190</v>
      </c>
      <c r="M355" s="30">
        <v>130</v>
      </c>
      <c r="N355" s="30">
        <v>13100</v>
      </c>
      <c r="O355" s="30"/>
      <c r="P355" s="30">
        <v>447000</v>
      </c>
      <c r="Q355" s="30"/>
      <c r="R355" s="30">
        <v>1470</v>
      </c>
      <c r="S355" s="30"/>
      <c r="T355" s="30">
        <v>264</v>
      </c>
      <c r="U355" s="30">
        <v>14600</v>
      </c>
      <c r="V355" s="30"/>
      <c r="W355" s="30"/>
      <c r="X355" s="30"/>
      <c r="Y355" s="30"/>
      <c r="Z355" s="30"/>
      <c r="AA355" s="30"/>
      <c r="AB355" s="30">
        <v>7930</v>
      </c>
      <c r="AC355" s="30"/>
      <c r="AD355" s="30"/>
      <c r="AE355" s="30">
        <v>36000</v>
      </c>
    </row>
    <row r="356" spans="1:31">
      <c r="A356" t="str">
        <f>VLOOKUP(B356,info!$B$2:$F$49,2,FALSE)</f>
        <v>Hyundai</v>
      </c>
      <c r="B356" s="32">
        <v>36</v>
      </c>
      <c r="C356" t="s">
        <v>367</v>
      </c>
      <c r="D356" t="s">
        <v>30</v>
      </c>
      <c r="E356" s="31" t="s">
        <v>351</v>
      </c>
      <c r="F356">
        <f>VLOOKUP(B356,info!$B$2:$I$49,8,FALSE)</f>
        <v>5826120</v>
      </c>
      <c r="G356" t="str">
        <f>VLOOKUP(B356,info!$B$2:$I$49,5,FALSE)</f>
        <v>back</v>
      </c>
      <c r="J356" s="30">
        <v>3670</v>
      </c>
      <c r="K356" s="30">
        <v>377000</v>
      </c>
      <c r="L356" s="30">
        <v>1460</v>
      </c>
      <c r="M356" s="30">
        <v>135</v>
      </c>
      <c r="N356" s="30">
        <v>40600</v>
      </c>
      <c r="O356" s="30"/>
      <c r="P356" s="30">
        <v>477000</v>
      </c>
      <c r="Q356" s="30"/>
      <c r="R356" s="30">
        <v>1950</v>
      </c>
      <c r="S356" s="30"/>
      <c r="T356" s="30">
        <v>927</v>
      </c>
      <c r="U356" s="30">
        <v>16000</v>
      </c>
      <c r="V356" s="30"/>
      <c r="W356" s="30"/>
      <c r="X356" s="30"/>
      <c r="Y356" s="30"/>
      <c r="Z356" s="30"/>
      <c r="AA356" s="30"/>
      <c r="AB356" s="30">
        <v>9790</v>
      </c>
      <c r="AC356" s="30"/>
      <c r="AD356" s="30"/>
      <c r="AE356" s="30">
        <v>26200</v>
      </c>
    </row>
    <row r="357" spans="1:31">
      <c r="A357" t="str">
        <f>VLOOKUP(B357,info!$B$2:$F$49,2,FALSE)</f>
        <v>Hyundai</v>
      </c>
      <c r="B357" s="32">
        <v>36</v>
      </c>
      <c r="C357" t="s">
        <v>367</v>
      </c>
      <c r="D357" t="s">
        <v>77</v>
      </c>
      <c r="E357" s="31" t="s">
        <v>351</v>
      </c>
      <c r="F357">
        <f>VLOOKUP(B357,info!$B$2:$I$49,8,FALSE)</f>
        <v>5826120</v>
      </c>
      <c r="G357" t="str">
        <f>VLOOKUP(B357,info!$B$2:$I$49,5,FALSE)</f>
        <v>back</v>
      </c>
      <c r="J357" s="30">
        <v>2160</v>
      </c>
      <c r="K357" s="30">
        <v>272000</v>
      </c>
      <c r="L357" s="30">
        <v>787</v>
      </c>
      <c r="M357" s="30">
        <v>99.1</v>
      </c>
      <c r="N357" s="30">
        <v>32000</v>
      </c>
      <c r="O357" s="30"/>
      <c r="P357" s="30">
        <v>398000</v>
      </c>
      <c r="Q357" s="30"/>
      <c r="R357" s="30">
        <v>1730</v>
      </c>
      <c r="S357" s="30"/>
      <c r="T357" s="30">
        <v>798</v>
      </c>
      <c r="U357" s="30">
        <v>14400</v>
      </c>
      <c r="V357" s="30"/>
      <c r="W357" s="30"/>
      <c r="X357" s="30"/>
      <c r="Y357" s="30"/>
      <c r="Z357" s="30"/>
      <c r="AA357" s="30"/>
      <c r="AB357" s="30">
        <v>29200</v>
      </c>
      <c r="AC357" s="30"/>
      <c r="AD357" s="30"/>
      <c r="AE357" s="30">
        <v>34500</v>
      </c>
    </row>
    <row r="358" spans="1:31">
      <c r="A358" t="str">
        <f>VLOOKUP(B358,info!$B$2:$F$49,2,FALSE)</f>
        <v>Ford</v>
      </c>
      <c r="B358" s="32">
        <v>37</v>
      </c>
      <c r="C358" t="s">
        <v>367</v>
      </c>
      <c r="D358" t="s">
        <v>30</v>
      </c>
      <c r="E358" s="31" t="s">
        <v>351</v>
      </c>
      <c r="F358">
        <f>VLOOKUP(B358,info!$B$2:$I$49,8,FALSE)</f>
        <v>6917835</v>
      </c>
      <c r="G358" t="str">
        <f>VLOOKUP(B358,info!$B$2:$I$49,5,FALSE)</f>
        <v>front</v>
      </c>
      <c r="J358" s="30">
        <v>2650</v>
      </c>
      <c r="K358" s="30">
        <v>370000</v>
      </c>
      <c r="L358" s="30">
        <v>1180</v>
      </c>
      <c r="M358" s="30">
        <v>41.2</v>
      </c>
      <c r="N358" s="30">
        <v>16900</v>
      </c>
      <c r="O358" s="30"/>
      <c r="P358" s="30">
        <v>452000</v>
      </c>
      <c r="Q358" s="30"/>
      <c r="R358" s="30">
        <v>1360</v>
      </c>
      <c r="S358" s="30"/>
      <c r="T358" s="30">
        <v>19.3</v>
      </c>
      <c r="U358" s="30">
        <v>33400</v>
      </c>
      <c r="V358" s="30"/>
      <c r="W358" s="30"/>
      <c r="X358" s="30"/>
      <c r="Y358" s="30"/>
      <c r="Z358" s="30"/>
      <c r="AA358" s="30"/>
      <c r="AB358" s="30">
        <v>9070</v>
      </c>
      <c r="AC358" s="30"/>
      <c r="AD358" s="30"/>
      <c r="AE358" s="30">
        <v>25300</v>
      </c>
    </row>
    <row r="359" spans="1:31">
      <c r="A359" t="str">
        <f>VLOOKUP(B359,info!$B$2:$F$49,2,FALSE)</f>
        <v>Ford</v>
      </c>
      <c r="B359" s="32">
        <v>37</v>
      </c>
      <c r="C359" t="s">
        <v>367</v>
      </c>
      <c r="D359" t="s">
        <v>77</v>
      </c>
      <c r="E359" s="31" t="s">
        <v>351</v>
      </c>
      <c r="F359">
        <f>VLOOKUP(B359,info!$B$2:$I$49,8,FALSE)</f>
        <v>6917835</v>
      </c>
      <c r="G359" t="str">
        <f>VLOOKUP(B359,info!$B$2:$I$49,5,FALSE)</f>
        <v>front</v>
      </c>
      <c r="J359" s="30">
        <v>1120</v>
      </c>
      <c r="K359" s="30">
        <v>258000</v>
      </c>
      <c r="L359" s="30">
        <v>922</v>
      </c>
      <c r="M359" s="30">
        <v>54.3</v>
      </c>
      <c r="N359" s="30">
        <v>12800</v>
      </c>
      <c r="O359" s="30"/>
      <c r="P359" s="30">
        <v>375000</v>
      </c>
      <c r="Q359" s="30"/>
      <c r="R359" s="30">
        <v>1210</v>
      </c>
      <c r="S359" s="30"/>
      <c r="T359" s="30">
        <v>55.3</v>
      </c>
      <c r="U359" s="30">
        <v>29000</v>
      </c>
      <c r="V359" s="30"/>
      <c r="W359" s="30"/>
      <c r="X359" s="30"/>
      <c r="Y359" s="30"/>
      <c r="Z359" s="30"/>
      <c r="AA359" s="30"/>
      <c r="AB359" s="30">
        <v>41700</v>
      </c>
      <c r="AC359" s="30"/>
      <c r="AD359" s="30"/>
      <c r="AE359" s="30">
        <v>36000</v>
      </c>
    </row>
    <row r="360" spans="1:31">
      <c r="A360" t="str">
        <f>VLOOKUP(B360,info!$B$2:$F$49,2,FALSE)</f>
        <v>Hyundai</v>
      </c>
      <c r="B360" s="32">
        <v>38</v>
      </c>
      <c r="C360" t="s">
        <v>367</v>
      </c>
      <c r="D360" t="s">
        <v>77</v>
      </c>
      <c r="E360" s="31" t="s">
        <v>351</v>
      </c>
      <c r="F360">
        <f>VLOOKUP(B360,info!$B$2:$I$49,8,FALSE)</f>
        <v>5826120</v>
      </c>
      <c r="G360" t="str">
        <f>VLOOKUP(B360,info!$B$2:$I$49,5,FALSE)</f>
        <v>back</v>
      </c>
      <c r="J360" s="30">
        <v>2390</v>
      </c>
      <c r="K360" s="30">
        <v>347000</v>
      </c>
      <c r="L360" s="30">
        <v>1770</v>
      </c>
      <c r="M360" s="30">
        <v>908</v>
      </c>
      <c r="N360" s="30">
        <v>16000</v>
      </c>
      <c r="O360" s="30"/>
      <c r="P360" s="30">
        <v>523000</v>
      </c>
      <c r="Q360" s="30"/>
      <c r="R360" s="30">
        <v>1590</v>
      </c>
      <c r="S360" s="30"/>
      <c r="T360" s="30">
        <v>316</v>
      </c>
      <c r="U360" s="30">
        <v>12500</v>
      </c>
      <c r="V360" s="30"/>
      <c r="W360" s="30"/>
      <c r="X360" s="30"/>
      <c r="Y360" s="30"/>
      <c r="Z360" s="30"/>
      <c r="AA360" s="30"/>
      <c r="AB360" s="30">
        <v>36700</v>
      </c>
      <c r="AC360" s="30"/>
      <c r="AD360" s="30"/>
      <c r="AE360" s="30">
        <v>25500</v>
      </c>
    </row>
    <row r="361" spans="1:31">
      <c r="A361" t="str">
        <f>VLOOKUP(B361,info!$B$2:$F$49,2,FALSE)</f>
        <v>Hyundai</v>
      </c>
      <c r="B361" s="32">
        <v>38</v>
      </c>
      <c r="C361" t="s">
        <v>367</v>
      </c>
      <c r="D361" t="s">
        <v>30</v>
      </c>
      <c r="E361" s="31" t="s">
        <v>351</v>
      </c>
      <c r="F361">
        <f>VLOOKUP(B361,info!$B$2:$I$49,8,FALSE)</f>
        <v>5826120</v>
      </c>
      <c r="G361" t="str">
        <f>VLOOKUP(B361,info!$B$2:$I$49,5,FALSE)</f>
        <v>back</v>
      </c>
      <c r="J361" s="30">
        <v>1420</v>
      </c>
      <c r="K361" s="30">
        <v>279000</v>
      </c>
      <c r="L361" s="30">
        <v>1350</v>
      </c>
      <c r="M361" s="30">
        <v>14.4</v>
      </c>
      <c r="N361" s="30">
        <v>12200</v>
      </c>
      <c r="O361" s="30"/>
      <c r="P361" s="30">
        <v>449000</v>
      </c>
      <c r="Q361" s="30"/>
      <c r="R361" s="30">
        <v>1630</v>
      </c>
      <c r="S361" s="30"/>
      <c r="T361" s="30">
        <v>302</v>
      </c>
      <c r="U361" s="30">
        <v>14600</v>
      </c>
      <c r="V361" s="30"/>
      <c r="W361" s="30"/>
      <c r="X361" s="30"/>
      <c r="Y361" s="30"/>
      <c r="Z361" s="30"/>
      <c r="AA361" s="30"/>
      <c r="AB361" s="30">
        <v>8290</v>
      </c>
      <c r="AC361" s="30"/>
      <c r="AD361" s="30"/>
      <c r="AE361" s="30">
        <v>32400</v>
      </c>
    </row>
    <row r="362" spans="1:31">
      <c r="A362" t="str">
        <f>VLOOKUP(B362,info!$B$2:$F$49,2,FALSE)</f>
        <v>Renault</v>
      </c>
      <c r="B362" s="32">
        <v>39</v>
      </c>
      <c r="C362" t="s">
        <v>367</v>
      </c>
      <c r="D362" t="s">
        <v>77</v>
      </c>
      <c r="E362" s="31" t="s">
        <v>351</v>
      </c>
      <c r="F362">
        <f>VLOOKUP(B362,info!$B$2:$I$49,8,FALSE)</f>
        <v>1147816</v>
      </c>
      <c r="G362" t="str">
        <f>VLOOKUP(B362,info!$B$2:$I$49,5,FALSE)</f>
        <v>back triangle</v>
      </c>
      <c r="J362" s="30">
        <v>2050</v>
      </c>
      <c r="K362" s="30">
        <v>352000</v>
      </c>
      <c r="L362" s="30">
        <v>1020</v>
      </c>
      <c r="M362" s="30">
        <v>630</v>
      </c>
      <c r="N362" s="30">
        <v>7460</v>
      </c>
      <c r="O362" s="30"/>
      <c r="P362" s="30">
        <v>434000</v>
      </c>
      <c r="Q362" s="30"/>
      <c r="R362" s="30">
        <v>1660</v>
      </c>
      <c r="S362" s="30"/>
      <c r="T362" s="30">
        <v>794</v>
      </c>
      <c r="U362" s="30">
        <v>15700</v>
      </c>
      <c r="V362" s="30"/>
      <c r="W362" s="30"/>
      <c r="X362" s="30"/>
      <c r="Y362" s="30"/>
      <c r="Z362" s="30"/>
      <c r="AA362" s="30"/>
      <c r="AB362" s="30">
        <v>31500</v>
      </c>
      <c r="AC362" s="30"/>
      <c r="AD362" s="30"/>
      <c r="AE362" s="30">
        <v>24900</v>
      </c>
    </row>
    <row r="363" spans="1:31">
      <c r="A363" t="str">
        <f>VLOOKUP(B363,info!$B$2:$F$49,2,FALSE)</f>
        <v>Renault</v>
      </c>
      <c r="B363" s="32">
        <v>39</v>
      </c>
      <c r="C363" t="s">
        <v>367</v>
      </c>
      <c r="D363" t="s">
        <v>30</v>
      </c>
      <c r="E363" s="31" t="s">
        <v>351</v>
      </c>
      <c r="F363">
        <f>VLOOKUP(B363,info!$B$2:$I$49,8,FALSE)</f>
        <v>1147816</v>
      </c>
      <c r="G363" t="str">
        <f>VLOOKUP(B363,info!$B$2:$I$49,5,FALSE)</f>
        <v>back triangle</v>
      </c>
      <c r="J363" s="30">
        <v>1080</v>
      </c>
      <c r="K363" s="30">
        <v>237000</v>
      </c>
      <c r="L363" s="30">
        <v>1140</v>
      </c>
      <c r="M363" s="30">
        <v>41.9</v>
      </c>
      <c r="N363" s="30">
        <v>4390</v>
      </c>
      <c r="O363" s="30"/>
      <c r="P363" s="30">
        <v>318000</v>
      </c>
      <c r="Q363" s="30"/>
      <c r="R363" s="30">
        <v>1080</v>
      </c>
      <c r="S363" s="30"/>
      <c r="T363" s="30">
        <v>662</v>
      </c>
      <c r="U363" s="30">
        <v>14300</v>
      </c>
      <c r="V363" s="30"/>
      <c r="W363" s="30"/>
      <c r="X363" s="30"/>
      <c r="Y363" s="30"/>
      <c r="Z363" s="30"/>
      <c r="AA363" s="30"/>
      <c r="AB363" s="30">
        <v>5040</v>
      </c>
      <c r="AC363" s="30"/>
      <c r="AD363" s="30"/>
      <c r="AE363" s="30">
        <v>40900</v>
      </c>
    </row>
    <row r="364" spans="1:31">
      <c r="A364" t="str">
        <f>VLOOKUP(B364,info!$B$2:$F$49,2,FALSE)</f>
        <v>Subaru</v>
      </c>
      <c r="B364" s="32">
        <v>40</v>
      </c>
      <c r="C364" t="s">
        <v>367</v>
      </c>
      <c r="D364" t="s">
        <v>77</v>
      </c>
      <c r="E364" s="31" t="s">
        <v>351</v>
      </c>
      <c r="F364">
        <f>VLOOKUP(B364,info!$B$2:$I$49,8,FALSE)</f>
        <v>2675308</v>
      </c>
      <c r="G364" t="str">
        <f>VLOOKUP(B364,info!$B$2:$I$49,5,FALSE)</f>
        <v>back</v>
      </c>
      <c r="J364" s="30">
        <v>3230</v>
      </c>
      <c r="K364" s="30">
        <v>386000</v>
      </c>
      <c r="L364" s="30">
        <v>1640</v>
      </c>
      <c r="M364" s="30">
        <v>512</v>
      </c>
      <c r="N364" s="30">
        <v>34200</v>
      </c>
      <c r="O364" s="30"/>
      <c r="P364" s="30">
        <v>480000</v>
      </c>
      <c r="Q364" s="30"/>
      <c r="R364" s="30">
        <v>1150</v>
      </c>
      <c r="S364" s="30"/>
      <c r="T364" s="30">
        <v>234</v>
      </c>
      <c r="U364" s="30">
        <v>9050</v>
      </c>
      <c r="V364" s="30"/>
      <c r="W364" s="30"/>
      <c r="X364" s="30"/>
      <c r="Y364" s="30"/>
      <c r="Z364" s="30"/>
      <c r="AA364" s="30"/>
      <c r="AB364" s="30">
        <v>31200</v>
      </c>
      <c r="AC364" s="30"/>
      <c r="AD364" s="30"/>
      <c r="AE364" s="30">
        <v>19800</v>
      </c>
    </row>
    <row r="365" spans="1:31">
      <c r="A365" t="str">
        <f>VLOOKUP(B365,info!$B$2:$F$49,2,FALSE)</f>
        <v>Subaru</v>
      </c>
      <c r="B365" s="32">
        <v>40</v>
      </c>
      <c r="C365" t="s">
        <v>367</v>
      </c>
      <c r="D365" t="s">
        <v>30</v>
      </c>
      <c r="E365" s="31" t="s">
        <v>351</v>
      </c>
      <c r="F365">
        <f>VLOOKUP(B365,info!$B$2:$I$49,8,FALSE)</f>
        <v>2675308</v>
      </c>
      <c r="G365" t="str">
        <f>VLOOKUP(B365,info!$B$2:$I$49,5,FALSE)</f>
        <v>back</v>
      </c>
      <c r="J365" s="30">
        <v>1260</v>
      </c>
      <c r="K365" s="30">
        <v>179000</v>
      </c>
      <c r="L365" s="30">
        <v>726</v>
      </c>
      <c r="M365" s="30">
        <v>91.6</v>
      </c>
      <c r="N365" s="30">
        <v>17900</v>
      </c>
      <c r="O365" s="30"/>
      <c r="P365" s="30">
        <v>277000</v>
      </c>
      <c r="Q365" s="30"/>
      <c r="R365" s="30">
        <v>557</v>
      </c>
      <c r="S365" s="30"/>
      <c r="T365" s="30">
        <v>255</v>
      </c>
      <c r="U365" s="30">
        <v>8210</v>
      </c>
      <c r="V365" s="30"/>
      <c r="W365" s="30"/>
      <c r="X365" s="30"/>
      <c r="Y365" s="30"/>
      <c r="Z365" s="30"/>
      <c r="AA365" s="30"/>
      <c r="AB365" s="30">
        <v>5280</v>
      </c>
      <c r="AC365" s="30"/>
      <c r="AD365" s="30"/>
      <c r="AE365" s="30">
        <v>32000</v>
      </c>
    </row>
    <row r="366" spans="1:31">
      <c r="A366" t="str">
        <f>VLOOKUP(B366,info!$B$2:$F$49,2,FALSE)</f>
        <v>Fiat</v>
      </c>
      <c r="B366" s="32">
        <v>41</v>
      </c>
      <c r="C366" t="s">
        <v>367</v>
      </c>
      <c r="D366" t="s">
        <v>30</v>
      </c>
      <c r="E366" s="31" t="s">
        <v>351</v>
      </c>
      <c r="F366">
        <f>VLOOKUP(B366,info!$B$2:$I$49,8,FALSE)</f>
        <v>5751910</v>
      </c>
      <c r="G366" t="str">
        <f>VLOOKUP(B366,info!$B$2:$I$49,5,FALSE)</f>
        <v>back</v>
      </c>
      <c r="J366" s="30">
        <v>1780</v>
      </c>
      <c r="K366" s="30">
        <v>373000</v>
      </c>
      <c r="L366" s="30">
        <v>1220</v>
      </c>
      <c r="M366" s="30">
        <v>863</v>
      </c>
      <c r="N366" s="30">
        <v>5680</v>
      </c>
      <c r="O366" s="30"/>
      <c r="P366" s="30">
        <v>472000</v>
      </c>
      <c r="Q366" s="30"/>
      <c r="R366" s="30">
        <v>1120</v>
      </c>
      <c r="S366" s="30"/>
      <c r="T366" s="30">
        <v>467</v>
      </c>
      <c r="U366" s="30">
        <v>27600</v>
      </c>
      <c r="V366" s="30"/>
      <c r="W366" s="30"/>
      <c r="X366" s="30"/>
      <c r="Y366" s="30"/>
      <c r="Z366" s="30"/>
      <c r="AA366" s="30"/>
      <c r="AB366" s="30">
        <v>42400</v>
      </c>
      <c r="AC366" s="30"/>
      <c r="AD366" s="30"/>
      <c r="AE366" s="30">
        <v>26900</v>
      </c>
    </row>
    <row r="367" spans="1:31">
      <c r="A367" t="str">
        <f>VLOOKUP(B367,info!$B$2:$F$49,2,FALSE)</f>
        <v>Fiat</v>
      </c>
      <c r="B367" s="32">
        <v>41</v>
      </c>
      <c r="C367" t="s">
        <v>367</v>
      </c>
      <c r="D367" t="s">
        <v>77</v>
      </c>
      <c r="E367" s="31" t="s">
        <v>351</v>
      </c>
      <c r="F367">
        <f>VLOOKUP(B367,info!$B$2:$I$49,8,FALSE)</f>
        <v>5751910</v>
      </c>
      <c r="G367" t="str">
        <f>VLOOKUP(B367,info!$B$2:$I$49,5,FALSE)</f>
        <v>back</v>
      </c>
      <c r="J367" s="30">
        <v>862</v>
      </c>
      <c r="K367" s="30">
        <v>272000</v>
      </c>
      <c r="L367" s="30">
        <v>1290</v>
      </c>
      <c r="M367" s="30">
        <v>398</v>
      </c>
      <c r="N367" s="30">
        <v>3750</v>
      </c>
      <c r="O367" s="30"/>
      <c r="P367" s="30">
        <v>373000</v>
      </c>
      <c r="Q367" s="30"/>
      <c r="R367" s="30">
        <v>782</v>
      </c>
      <c r="S367" s="30"/>
      <c r="T367" s="30">
        <v>520</v>
      </c>
      <c r="U367" s="30">
        <v>24600</v>
      </c>
      <c r="V367" s="30"/>
      <c r="W367" s="30"/>
      <c r="X367" s="30"/>
      <c r="Y367" s="30"/>
      <c r="Z367" s="30"/>
      <c r="AA367" s="30"/>
      <c r="AB367" s="30">
        <v>5860</v>
      </c>
      <c r="AC367" s="30"/>
      <c r="AD367" s="30"/>
      <c r="AE367" s="30">
        <v>34400</v>
      </c>
    </row>
    <row r="368" spans="1:31">
      <c r="A368" t="str">
        <f>VLOOKUP(B368,info!$B$2:$F$49,2,FALSE)</f>
        <v>Renault</v>
      </c>
      <c r="B368" s="32">
        <v>42</v>
      </c>
      <c r="C368" t="s">
        <v>367</v>
      </c>
      <c r="D368" t="s">
        <v>30</v>
      </c>
      <c r="E368" s="31" t="s">
        <v>351</v>
      </c>
      <c r="F368">
        <f>VLOOKUP(B368,info!$B$2:$I$49,8,FALSE)</f>
        <v>1147816</v>
      </c>
      <c r="G368" t="str">
        <f>VLOOKUP(B368,info!$B$2:$I$49,5,FALSE)</f>
        <v>back</v>
      </c>
      <c r="J368" s="30">
        <v>3310</v>
      </c>
      <c r="K368" s="30">
        <v>399000</v>
      </c>
      <c r="L368" s="30">
        <v>1030</v>
      </c>
      <c r="M368" s="30">
        <v>11.8</v>
      </c>
      <c r="N368" s="30">
        <v>55300</v>
      </c>
      <c r="O368" s="30"/>
      <c r="P368" s="30">
        <v>507000</v>
      </c>
      <c r="Q368" s="30"/>
      <c r="R368" s="30">
        <v>1600</v>
      </c>
      <c r="S368" s="30"/>
      <c r="T368" s="30">
        <v>120</v>
      </c>
      <c r="U368" s="30">
        <v>26500</v>
      </c>
      <c r="V368" s="30"/>
      <c r="W368" s="30"/>
      <c r="X368" s="30"/>
      <c r="Y368" s="30"/>
      <c r="Z368" s="30"/>
      <c r="AA368" s="30"/>
      <c r="AB368" s="30">
        <v>11100</v>
      </c>
      <c r="AC368" s="30"/>
      <c r="AD368" s="30"/>
      <c r="AE368" s="30">
        <v>28700</v>
      </c>
    </row>
    <row r="369" spans="1:31">
      <c r="A369" t="str">
        <f>VLOOKUP(B369,info!$B$2:$F$49,2,FALSE)</f>
        <v>Renault</v>
      </c>
      <c r="B369" s="32">
        <v>42</v>
      </c>
      <c r="C369" t="s">
        <v>367</v>
      </c>
      <c r="D369" t="s">
        <v>77</v>
      </c>
      <c r="E369" s="31" t="s">
        <v>351</v>
      </c>
      <c r="F369">
        <f>VLOOKUP(B369,info!$B$2:$I$49,8,FALSE)</f>
        <v>1147816</v>
      </c>
      <c r="G369" t="str">
        <f>VLOOKUP(B369,info!$B$2:$I$49,5,FALSE)</f>
        <v>back</v>
      </c>
      <c r="J369" s="30">
        <v>1970</v>
      </c>
      <c r="K369" s="30">
        <v>273000</v>
      </c>
      <c r="L369" s="30">
        <v>832</v>
      </c>
      <c r="M369" s="30">
        <v>224</v>
      </c>
      <c r="N369" s="30">
        <v>41400</v>
      </c>
      <c r="O369" s="30"/>
      <c r="P369" s="30">
        <v>405000</v>
      </c>
      <c r="Q369" s="30"/>
      <c r="R369" s="30">
        <v>1280</v>
      </c>
      <c r="S369" s="30"/>
      <c r="T369" s="30">
        <v>104</v>
      </c>
      <c r="U369" s="30">
        <v>21900</v>
      </c>
      <c r="V369" s="30"/>
      <c r="W369" s="30"/>
      <c r="X369" s="30"/>
      <c r="Y369" s="30"/>
      <c r="Z369" s="30"/>
      <c r="AA369" s="30"/>
      <c r="AB369" s="30">
        <v>35200</v>
      </c>
      <c r="AC369" s="30"/>
      <c r="AD369" s="30"/>
      <c r="AE369" s="30">
        <v>32700</v>
      </c>
    </row>
    <row r="370" spans="1:31">
      <c r="A370" t="str">
        <f>VLOOKUP(B370,info!$B$2:$F$49,2,FALSE)</f>
        <v>Fiat</v>
      </c>
      <c r="B370" s="32">
        <v>43</v>
      </c>
      <c r="C370" t="s">
        <v>367</v>
      </c>
      <c r="D370" t="s">
        <v>30</v>
      </c>
      <c r="E370" s="31" t="s">
        <v>351</v>
      </c>
      <c r="F370">
        <f>VLOOKUP(B370,info!$B$2:$I$49,8,FALSE)</f>
        <v>5751910</v>
      </c>
      <c r="G370" t="str">
        <f>VLOOKUP(B370,info!$B$2:$I$49,5,FALSE)</f>
        <v>front</v>
      </c>
      <c r="J370" s="30">
        <v>2330</v>
      </c>
      <c r="K370" s="30">
        <v>422000</v>
      </c>
      <c r="L370" s="30">
        <v>1730</v>
      </c>
      <c r="M370" s="30">
        <v>578</v>
      </c>
      <c r="N370" s="30">
        <v>6990</v>
      </c>
      <c r="O370" s="30"/>
      <c r="P370" s="30">
        <v>519000</v>
      </c>
      <c r="Q370" s="30"/>
      <c r="R370" s="30">
        <v>1340</v>
      </c>
      <c r="S370" s="30"/>
      <c r="T370" s="30">
        <v>615</v>
      </c>
      <c r="U370" s="30">
        <v>29500</v>
      </c>
      <c r="V370" s="30"/>
      <c r="W370" s="30"/>
      <c r="X370" s="30"/>
      <c r="Y370" s="30"/>
      <c r="Z370" s="30"/>
      <c r="AA370" s="30"/>
      <c r="AB370" s="30">
        <v>9790</v>
      </c>
      <c r="AC370" s="30"/>
      <c r="AD370" s="30"/>
      <c r="AE370" s="30">
        <v>29000</v>
      </c>
    </row>
    <row r="371" spans="1:31">
      <c r="A371" t="str">
        <f>VLOOKUP(B371,info!$B$2:$F$49,2,FALSE)</f>
        <v>Fiat</v>
      </c>
      <c r="B371" s="32">
        <v>43</v>
      </c>
      <c r="C371" t="s">
        <v>367</v>
      </c>
      <c r="D371" t="s">
        <v>77</v>
      </c>
      <c r="E371" s="31" t="s">
        <v>351</v>
      </c>
      <c r="F371">
        <f>VLOOKUP(B371,info!$B$2:$I$49,8,FALSE)</f>
        <v>5751910</v>
      </c>
      <c r="G371" t="str">
        <f>VLOOKUP(B371,info!$B$2:$I$49,5,FALSE)</f>
        <v>front</v>
      </c>
      <c r="J371" s="30">
        <v>1090</v>
      </c>
      <c r="K371" s="30">
        <v>274000</v>
      </c>
      <c r="L371" s="30">
        <v>1180</v>
      </c>
      <c r="M371" s="30">
        <v>394</v>
      </c>
      <c r="N371" s="30">
        <v>4210</v>
      </c>
      <c r="O371" s="30"/>
      <c r="P371" s="30">
        <v>393000</v>
      </c>
      <c r="Q371" s="30"/>
      <c r="R371" s="30">
        <v>803</v>
      </c>
      <c r="S371" s="30"/>
      <c r="T371" s="30">
        <v>460</v>
      </c>
      <c r="U371" s="30">
        <v>26300</v>
      </c>
      <c r="V371" s="30"/>
      <c r="W371" s="30"/>
      <c r="X371" s="30"/>
      <c r="Y371" s="30"/>
      <c r="Z371" s="30"/>
      <c r="AA371" s="30"/>
      <c r="AB371" s="30">
        <v>34500</v>
      </c>
      <c r="AC371" s="30"/>
      <c r="AD371" s="30"/>
      <c r="AE371" s="30">
        <v>31400</v>
      </c>
    </row>
    <row r="372" spans="1:31">
      <c r="A372" t="str">
        <f>VLOOKUP(B372,info!$B$2:$F$49,2,FALSE)</f>
        <v>Hyundai</v>
      </c>
      <c r="B372" s="32">
        <v>44</v>
      </c>
      <c r="C372" t="s">
        <v>367</v>
      </c>
      <c r="D372" t="s">
        <v>30</v>
      </c>
      <c r="E372" s="31" t="s">
        <v>351</v>
      </c>
      <c r="F372">
        <f>VLOOKUP(B372,info!$B$2:$I$49,8,FALSE)</f>
        <v>9602910</v>
      </c>
      <c r="G372" t="str">
        <f>VLOOKUP(B372,info!$B$2:$I$49,5,FALSE)</f>
        <v>front</v>
      </c>
      <c r="J372" s="30">
        <v>2540</v>
      </c>
      <c r="K372" s="30">
        <v>405000</v>
      </c>
      <c r="L372" s="30">
        <v>1770</v>
      </c>
      <c r="M372" s="30">
        <v>475</v>
      </c>
      <c r="N372" s="30">
        <v>21200</v>
      </c>
      <c r="O372" s="30"/>
      <c r="P372" s="30">
        <v>578000</v>
      </c>
      <c r="Q372" s="30"/>
      <c r="R372" s="30">
        <v>1780</v>
      </c>
      <c r="S372" s="30"/>
      <c r="T372" s="30">
        <v>265</v>
      </c>
      <c r="U372" s="30">
        <v>17100</v>
      </c>
      <c r="V372" s="30"/>
      <c r="W372" s="30"/>
      <c r="X372" s="30"/>
      <c r="Y372" s="30"/>
      <c r="Z372" s="30"/>
      <c r="AA372" s="30"/>
      <c r="AB372" s="30">
        <v>11500</v>
      </c>
      <c r="AC372" s="30"/>
      <c r="AD372" s="30"/>
      <c r="AE372" s="30">
        <v>29300</v>
      </c>
    </row>
    <row r="373" spans="1:31">
      <c r="A373" t="str">
        <f>VLOOKUP(B373,info!$B$2:$F$49,2,FALSE)</f>
        <v>Hyundai</v>
      </c>
      <c r="B373" s="32">
        <v>44</v>
      </c>
      <c r="C373" t="s">
        <v>367</v>
      </c>
      <c r="D373" t="s">
        <v>77</v>
      </c>
      <c r="E373" s="31" t="s">
        <v>351</v>
      </c>
      <c r="F373">
        <f>VLOOKUP(B373,info!$B$2:$I$49,8,FALSE)</f>
        <v>9602910</v>
      </c>
      <c r="G373" t="str">
        <f>VLOOKUP(B373,info!$B$2:$I$49,5,FALSE)</f>
        <v>front</v>
      </c>
      <c r="J373" s="30">
        <v>1220</v>
      </c>
      <c r="K373" s="30">
        <v>249000</v>
      </c>
      <c r="L373" s="30">
        <v>1470</v>
      </c>
      <c r="M373" s="30">
        <v>668</v>
      </c>
      <c r="N373" s="30">
        <v>14300</v>
      </c>
      <c r="O373" s="30"/>
      <c r="P373" s="30">
        <v>416000</v>
      </c>
      <c r="Q373" s="30"/>
      <c r="R373" s="30">
        <v>1250</v>
      </c>
      <c r="S373" s="30"/>
      <c r="T373" s="30">
        <v>183</v>
      </c>
      <c r="U373" s="30">
        <v>14200</v>
      </c>
      <c r="V373" s="30"/>
      <c r="W373" s="30"/>
      <c r="X373" s="30"/>
      <c r="Y373" s="30"/>
      <c r="Z373" s="30"/>
      <c r="AA373" s="30"/>
      <c r="AB373" s="30">
        <v>31800</v>
      </c>
      <c r="AC373" s="30"/>
      <c r="AD373" s="30"/>
      <c r="AE373" s="30">
        <v>31400</v>
      </c>
    </row>
    <row r="374" spans="1:31">
      <c r="A374" t="str">
        <f>VLOOKUP(B374,info!$B$2:$F$49,2,FALSE)</f>
        <v>Subaru</v>
      </c>
      <c r="B374" s="32">
        <v>45</v>
      </c>
      <c r="C374" t="s">
        <v>367</v>
      </c>
      <c r="D374" t="s">
        <v>77</v>
      </c>
      <c r="E374" s="31" t="s">
        <v>351</v>
      </c>
      <c r="F374">
        <f>VLOOKUP(B374,info!$B$2:$I$49,8,FALSE)</f>
        <v>2675308</v>
      </c>
      <c r="G374" t="str">
        <f>VLOOKUP(B374,info!$B$2:$I$49,5,FALSE)</f>
        <v>back</v>
      </c>
      <c r="J374" s="30">
        <v>2420</v>
      </c>
      <c r="K374" s="30">
        <v>337000</v>
      </c>
      <c r="L374" s="30">
        <v>1550</v>
      </c>
      <c r="M374" s="30">
        <v>369</v>
      </c>
      <c r="N374" s="30">
        <v>30200</v>
      </c>
      <c r="O374" s="30"/>
      <c r="P374" s="30">
        <v>439000</v>
      </c>
      <c r="Q374" s="30"/>
      <c r="R374" s="30">
        <v>943</v>
      </c>
      <c r="S374" s="30"/>
      <c r="T374" s="30">
        <v>179</v>
      </c>
      <c r="U374" s="30">
        <v>8720</v>
      </c>
      <c r="V374" s="30"/>
      <c r="W374" s="30"/>
      <c r="X374" s="30"/>
      <c r="Y374" s="30"/>
      <c r="Z374" s="30"/>
      <c r="AA374" s="30"/>
      <c r="AB374" s="30">
        <v>30600</v>
      </c>
      <c r="AC374" s="30"/>
      <c r="AD374" s="30"/>
      <c r="AE374" s="30">
        <v>28800</v>
      </c>
    </row>
    <row r="375" spans="1:31">
      <c r="A375" t="str">
        <f>VLOOKUP(B375,info!$B$2:$F$49,2,FALSE)</f>
        <v>Subaru</v>
      </c>
      <c r="B375" s="32">
        <v>45</v>
      </c>
      <c r="C375" t="s">
        <v>367</v>
      </c>
      <c r="D375" t="s">
        <v>30</v>
      </c>
      <c r="E375" s="31" t="s">
        <v>351</v>
      </c>
      <c r="F375">
        <f>VLOOKUP(B375,info!$B$2:$I$49,8,FALSE)</f>
        <v>2675308</v>
      </c>
      <c r="G375" t="str">
        <f>VLOOKUP(B375,info!$B$2:$I$49,5,FALSE)</f>
        <v>back</v>
      </c>
      <c r="J375" s="30">
        <v>850</v>
      </c>
      <c r="K375" s="30">
        <v>129000</v>
      </c>
      <c r="L375" s="30">
        <v>693</v>
      </c>
      <c r="M375" s="30">
        <v>98.5</v>
      </c>
      <c r="N375" s="30">
        <v>12200</v>
      </c>
      <c r="O375" s="30"/>
      <c r="P375" s="30">
        <v>191000</v>
      </c>
      <c r="Q375" s="30"/>
      <c r="R375" s="30">
        <v>377</v>
      </c>
      <c r="S375" s="30"/>
      <c r="T375" s="30">
        <v>120</v>
      </c>
      <c r="U375" s="30">
        <v>6390</v>
      </c>
      <c r="V375" s="30"/>
      <c r="W375" s="30"/>
      <c r="X375" s="30"/>
      <c r="Y375" s="30"/>
      <c r="Z375" s="30"/>
      <c r="AA375" s="30"/>
      <c r="AB375" s="30">
        <v>2990</v>
      </c>
      <c r="AC375" s="30"/>
      <c r="AD375" s="30"/>
      <c r="AE375" s="30">
        <v>29600</v>
      </c>
    </row>
    <row r="376" spans="1:31">
      <c r="A376" t="str">
        <f>VLOOKUP(B376,info!$B$2:$F$49,2,FALSE)</f>
        <v>Renault</v>
      </c>
      <c r="B376" s="32">
        <v>46</v>
      </c>
      <c r="C376" t="s">
        <v>367</v>
      </c>
      <c r="D376" t="s">
        <v>77</v>
      </c>
      <c r="E376" s="31" t="s">
        <v>351</v>
      </c>
      <c r="F376">
        <f>VLOOKUP(B376,info!$B$2:$I$49,8,FALSE)</f>
        <v>1147816</v>
      </c>
      <c r="G376" t="str">
        <f>VLOOKUP(B376,info!$B$2:$I$49,5,FALSE)</f>
        <v>back</v>
      </c>
      <c r="J376" s="30">
        <v>1780</v>
      </c>
      <c r="K376" s="30">
        <v>380000</v>
      </c>
      <c r="L376" s="30">
        <v>986</v>
      </c>
      <c r="M376" s="30">
        <v>610</v>
      </c>
      <c r="N376" s="30">
        <v>12400</v>
      </c>
      <c r="O376" s="30"/>
      <c r="P376" s="30">
        <v>478000</v>
      </c>
      <c r="Q376" s="30"/>
      <c r="R376" s="30">
        <v>1080</v>
      </c>
      <c r="S376" s="30"/>
      <c r="T376" s="30">
        <v>224</v>
      </c>
      <c r="U376" s="30">
        <v>26400</v>
      </c>
      <c r="V376" s="30"/>
      <c r="W376" s="30"/>
      <c r="X376" s="30"/>
      <c r="Y376" s="30"/>
      <c r="Z376" s="30"/>
      <c r="AA376" s="30"/>
      <c r="AB376" s="30">
        <v>34200</v>
      </c>
      <c r="AC376" s="30"/>
      <c r="AD376" s="30"/>
      <c r="AE376" s="30">
        <v>27600</v>
      </c>
    </row>
    <row r="377" spans="1:31">
      <c r="A377" t="str">
        <f>VLOOKUP(B377,info!$B$2:$F$49,2,FALSE)</f>
        <v>Renault</v>
      </c>
      <c r="B377" s="32">
        <v>46</v>
      </c>
      <c r="C377" t="s">
        <v>367</v>
      </c>
      <c r="D377" t="s">
        <v>30</v>
      </c>
      <c r="E377" s="31" t="s">
        <v>351</v>
      </c>
      <c r="F377">
        <f>VLOOKUP(B377,info!$B$2:$I$49,8,FALSE)</f>
        <v>1147816</v>
      </c>
      <c r="G377" t="str">
        <f>VLOOKUP(B377,info!$B$2:$I$49,5,FALSE)</f>
        <v>back</v>
      </c>
      <c r="J377" s="30">
        <v>1170</v>
      </c>
      <c r="K377" s="30">
        <v>290000</v>
      </c>
      <c r="L377" s="30">
        <v>766</v>
      </c>
      <c r="M377" s="30">
        <v>19.899999999999999</v>
      </c>
      <c r="N377" s="30">
        <v>8910</v>
      </c>
      <c r="O377" s="30"/>
      <c r="P377" s="30">
        <v>389000</v>
      </c>
      <c r="Q377" s="30"/>
      <c r="R377" s="30">
        <v>921</v>
      </c>
      <c r="S377" s="30"/>
      <c r="T377" s="30">
        <v>184</v>
      </c>
      <c r="U377" s="30">
        <v>25300</v>
      </c>
      <c r="V377" s="30"/>
      <c r="W377" s="30"/>
      <c r="X377" s="30"/>
      <c r="Y377" s="30"/>
      <c r="Z377" s="30"/>
      <c r="AA377" s="30"/>
      <c r="AB377" s="30">
        <v>6600</v>
      </c>
      <c r="AC377" s="30"/>
      <c r="AD377" s="30"/>
      <c r="AE377" s="30">
        <v>29700</v>
      </c>
    </row>
    <row r="378" spans="1:31">
      <c r="A378" t="str">
        <f>VLOOKUP(B378,info!$B$2:$F$49,2,FALSE)</f>
        <v>Renault</v>
      </c>
      <c r="B378" s="32">
        <v>47</v>
      </c>
      <c r="C378" t="s">
        <v>367</v>
      </c>
      <c r="D378" t="s">
        <v>77</v>
      </c>
      <c r="E378" s="31" t="s">
        <v>351</v>
      </c>
      <c r="F378">
        <f>VLOOKUP(B378,info!$B$2:$I$49,8,FALSE)</f>
        <v>1147816</v>
      </c>
      <c r="G378" t="str">
        <f>VLOOKUP(B378,info!$B$2:$I$49,5,FALSE)</f>
        <v>front</v>
      </c>
      <c r="J378" s="30">
        <v>1890</v>
      </c>
      <c r="K378" s="30">
        <v>382000</v>
      </c>
      <c r="L378" s="30">
        <v>1260</v>
      </c>
      <c r="M378" s="30">
        <v>1360</v>
      </c>
      <c r="N378" s="30">
        <v>12200</v>
      </c>
      <c r="O378" s="30"/>
      <c r="P378" s="30">
        <v>479000</v>
      </c>
      <c r="Q378" s="30"/>
      <c r="R378" s="30">
        <v>1110</v>
      </c>
      <c r="S378" s="30"/>
      <c r="T378" s="30">
        <v>271</v>
      </c>
      <c r="U378" s="30">
        <v>25700</v>
      </c>
      <c r="V378" s="30"/>
      <c r="W378" s="30"/>
      <c r="X378" s="30"/>
      <c r="Y378" s="30"/>
      <c r="Z378" s="30"/>
      <c r="AA378" s="30"/>
      <c r="AB378" s="30">
        <v>34100</v>
      </c>
      <c r="AC378" s="30"/>
      <c r="AD378" s="30"/>
      <c r="AE378" s="30">
        <v>28300</v>
      </c>
    </row>
    <row r="379" spans="1:31">
      <c r="A379" t="str">
        <f>VLOOKUP(B379,info!$B$2:$F$49,2,FALSE)</f>
        <v>Renault</v>
      </c>
      <c r="B379" s="32">
        <v>47</v>
      </c>
      <c r="C379" t="s">
        <v>367</v>
      </c>
      <c r="D379" t="s">
        <v>30</v>
      </c>
      <c r="E379" s="31" t="s">
        <v>351</v>
      </c>
      <c r="F379">
        <f>VLOOKUP(B379,info!$B$2:$I$49,8,FALSE)</f>
        <v>1147816</v>
      </c>
      <c r="G379" t="str">
        <f>VLOOKUP(B379,info!$B$2:$I$49,5,FALSE)</f>
        <v>front</v>
      </c>
      <c r="J379" s="30">
        <v>1050</v>
      </c>
      <c r="K379" s="30">
        <v>268000</v>
      </c>
      <c r="L379" s="30">
        <v>709</v>
      </c>
      <c r="M379" s="30">
        <v>105</v>
      </c>
      <c r="N379" s="30">
        <v>8570</v>
      </c>
      <c r="O379" s="30"/>
      <c r="P379" s="30">
        <v>363000</v>
      </c>
      <c r="Q379" s="30"/>
      <c r="R379" s="30">
        <v>845</v>
      </c>
      <c r="S379" s="30"/>
      <c r="T379" s="30">
        <v>236</v>
      </c>
      <c r="U379" s="30">
        <v>24300</v>
      </c>
      <c r="V379" s="30"/>
      <c r="W379" s="30"/>
      <c r="X379" s="30"/>
      <c r="Y379" s="30"/>
      <c r="Z379" s="30"/>
      <c r="AA379" s="30"/>
      <c r="AB379" s="30">
        <v>5720</v>
      </c>
      <c r="AC379" s="30"/>
      <c r="AD379" s="30"/>
      <c r="AE379" s="30">
        <v>27300</v>
      </c>
    </row>
    <row r="380" spans="1:31">
      <c r="A380" t="str">
        <f>VLOOKUP(B380,info!$B$2:$F$49,2,FALSE)</f>
        <v>Hyundai</v>
      </c>
      <c r="B380" s="32">
        <v>48</v>
      </c>
      <c r="C380" t="s">
        <v>367</v>
      </c>
      <c r="D380" t="s">
        <v>77</v>
      </c>
      <c r="E380" s="31" t="s">
        <v>351</v>
      </c>
      <c r="F380">
        <f>VLOOKUP(B380,info!$B$2:$I$49,8,FALSE)</f>
        <v>5826120</v>
      </c>
      <c r="G380" t="str">
        <f>VLOOKUP(B380,info!$B$2:$I$49,5,FALSE)</f>
        <v>back triangle</v>
      </c>
      <c r="J380" s="30">
        <v>1680</v>
      </c>
      <c r="K380" s="30">
        <v>310000</v>
      </c>
      <c r="L380" s="30">
        <v>1300</v>
      </c>
      <c r="M380" s="30">
        <v>739</v>
      </c>
      <c r="N380" s="30">
        <v>13800</v>
      </c>
      <c r="O380" s="30"/>
      <c r="P380" s="30">
        <v>465000</v>
      </c>
      <c r="Q380" s="30"/>
      <c r="R380" s="30">
        <v>1330</v>
      </c>
      <c r="S380" s="30"/>
      <c r="T380" s="30">
        <v>163</v>
      </c>
      <c r="U380" s="30">
        <v>11400</v>
      </c>
      <c r="V380" s="30"/>
      <c r="W380" s="30"/>
      <c r="X380" s="30"/>
      <c r="Y380" s="30"/>
      <c r="Z380" s="30"/>
      <c r="AA380" s="30"/>
      <c r="AB380" s="30">
        <v>30700</v>
      </c>
      <c r="AC380" s="30"/>
      <c r="AD380" s="30"/>
      <c r="AE380" s="30">
        <v>23500</v>
      </c>
    </row>
    <row r="381" spans="1:31">
      <c r="A381" t="str">
        <f>VLOOKUP(B381,info!$B$2:$F$49,2,FALSE)</f>
        <v>Hyundai</v>
      </c>
      <c r="B381" s="32">
        <v>48</v>
      </c>
      <c r="C381" t="s">
        <v>367</v>
      </c>
      <c r="D381" t="s">
        <v>30</v>
      </c>
      <c r="E381" s="31" t="s">
        <v>351</v>
      </c>
      <c r="F381">
        <f>VLOOKUP(B381,info!$B$2:$I$49,8,FALSE)</f>
        <v>5826120</v>
      </c>
      <c r="G381" t="str">
        <f>VLOOKUP(B381,info!$B$2:$I$49,5,FALSE)</f>
        <v>back triangle</v>
      </c>
      <c r="J381" s="30">
        <v>1410</v>
      </c>
      <c r="K381" s="30">
        <v>275000</v>
      </c>
      <c r="L381" s="30">
        <v>1460</v>
      </c>
      <c r="M381" s="30">
        <v>33.299999999999997</v>
      </c>
      <c r="N381" s="30">
        <v>12100</v>
      </c>
      <c r="O381" s="30"/>
      <c r="P381" s="30">
        <v>441000</v>
      </c>
      <c r="Q381" s="30"/>
      <c r="R381" s="30">
        <v>1420</v>
      </c>
      <c r="S381" s="30"/>
      <c r="T381" s="30">
        <v>332</v>
      </c>
      <c r="U381" s="30">
        <v>14500</v>
      </c>
      <c r="V381" s="30"/>
      <c r="W381" s="30"/>
      <c r="X381" s="30"/>
      <c r="Y381" s="30"/>
      <c r="Z381" s="30"/>
      <c r="AA381" s="30"/>
      <c r="AB381" s="30">
        <v>7600</v>
      </c>
      <c r="AC381" s="30"/>
      <c r="AD381" s="30"/>
      <c r="AE381" s="30">
        <v>28800</v>
      </c>
    </row>
    <row r="382" spans="1:31">
      <c r="A382" t="str">
        <f>VLOOKUP(B382,info!$B$2:$F$49,2,FALSE)</f>
        <v>Mazda</v>
      </c>
      <c r="B382">
        <v>1</v>
      </c>
      <c r="C382" t="s">
        <v>365</v>
      </c>
      <c r="D382" t="s">
        <v>30</v>
      </c>
      <c r="E382" t="s">
        <v>31</v>
      </c>
      <c r="F382">
        <f>VLOOKUP(B382,info!$B$2:$I$49,8,FALSE)</f>
        <v>3550828</v>
      </c>
      <c r="G382" t="str">
        <f>VLOOKUP(B382,info!$B$2:$I$49,5,FALSE)</f>
        <v>front</v>
      </c>
      <c r="H382">
        <v>104092</v>
      </c>
      <c r="I382">
        <v>42518</v>
      </c>
      <c r="J382">
        <v>26922</v>
      </c>
      <c r="K382">
        <v>254227</v>
      </c>
      <c r="L382">
        <v>545.5</v>
      </c>
      <c r="M382">
        <v>143.9</v>
      </c>
      <c r="N382">
        <v>3610</v>
      </c>
      <c r="O382">
        <v>0</v>
      </c>
      <c r="P382">
        <v>42336</v>
      </c>
      <c r="Q382">
        <v>37656</v>
      </c>
      <c r="R382">
        <v>168.1</v>
      </c>
      <c r="S382">
        <v>334.3</v>
      </c>
      <c r="T382">
        <v>68.25</v>
      </c>
      <c r="U382">
        <v>4259</v>
      </c>
      <c r="V382">
        <v>63</v>
      </c>
      <c r="W382">
        <v>3.6589999999999998</v>
      </c>
      <c r="X382">
        <v>0</v>
      </c>
      <c r="Y382">
        <v>29.31</v>
      </c>
      <c r="Z382">
        <v>12</v>
      </c>
      <c r="AA382">
        <v>17.62</v>
      </c>
    </row>
    <row r="383" spans="1:31">
      <c r="A383" t="str">
        <f>VLOOKUP(B383,info!$B$2:$F$49,2,FALSE)</f>
        <v>Mazda</v>
      </c>
      <c r="B383">
        <v>2</v>
      </c>
      <c r="C383" t="s">
        <v>365</v>
      </c>
      <c r="D383" t="s">
        <v>30</v>
      </c>
      <c r="E383" t="s">
        <v>33</v>
      </c>
      <c r="F383">
        <f>VLOOKUP(B383,info!$B$2:$I$49,8,FALSE)</f>
        <v>3550828</v>
      </c>
      <c r="G383" t="str">
        <f>VLOOKUP(B383,info!$B$2:$I$49,5,FALSE)</f>
        <v>back</v>
      </c>
      <c r="H383">
        <v>105714</v>
      </c>
      <c r="I383">
        <v>43064</v>
      </c>
      <c r="J383">
        <v>27218</v>
      </c>
      <c r="K383">
        <v>255507</v>
      </c>
      <c r="L383">
        <v>556.4</v>
      </c>
      <c r="M383">
        <v>113.1</v>
      </c>
      <c r="N383">
        <v>3513</v>
      </c>
      <c r="O383">
        <v>0</v>
      </c>
      <c r="P383">
        <v>42759</v>
      </c>
      <c r="Q383">
        <v>37701</v>
      </c>
      <c r="R383">
        <v>158.5</v>
      </c>
      <c r="S383">
        <v>407.7</v>
      </c>
      <c r="T383">
        <v>83.55</v>
      </c>
      <c r="U383">
        <v>4617</v>
      </c>
      <c r="V383">
        <v>56.87</v>
      </c>
      <c r="W383">
        <v>6.97</v>
      </c>
      <c r="X383">
        <v>0</v>
      </c>
      <c r="Y383">
        <v>44.36</v>
      </c>
      <c r="Z383">
        <v>32.020000000000003</v>
      </c>
      <c r="AA383">
        <v>24.78</v>
      </c>
    </row>
    <row r="384" spans="1:31">
      <c r="A384" t="str">
        <f>VLOOKUP(B384,info!$B$2:$F$49,2,FALSE)</f>
        <v>Mazda</v>
      </c>
      <c r="B384">
        <v>3</v>
      </c>
      <c r="C384" t="s">
        <v>365</v>
      </c>
      <c r="D384" t="s">
        <v>30</v>
      </c>
      <c r="E384" t="s">
        <v>35</v>
      </c>
      <c r="F384">
        <f>VLOOKUP(B384,info!$B$2:$I$49,8,FALSE)</f>
        <v>3550828</v>
      </c>
      <c r="G384" t="str">
        <f>VLOOKUP(B384,info!$B$2:$I$49,5,FALSE)</f>
        <v>back</v>
      </c>
      <c r="H384">
        <v>108369</v>
      </c>
      <c r="I384">
        <v>43428</v>
      </c>
      <c r="J384">
        <v>25434</v>
      </c>
      <c r="K384">
        <v>246916</v>
      </c>
      <c r="L384">
        <v>608.4</v>
      </c>
      <c r="M384">
        <v>107.1</v>
      </c>
      <c r="N384">
        <v>3626</v>
      </c>
      <c r="O384">
        <v>0</v>
      </c>
      <c r="P384">
        <v>43478</v>
      </c>
      <c r="Q384">
        <v>34766</v>
      </c>
      <c r="R384">
        <v>163.6</v>
      </c>
      <c r="S384">
        <v>251</v>
      </c>
      <c r="T384">
        <v>80.87</v>
      </c>
      <c r="U384">
        <v>3997</v>
      </c>
      <c r="V384">
        <v>42.93</v>
      </c>
      <c r="W384">
        <v>7.476</v>
      </c>
      <c r="X384">
        <v>0</v>
      </c>
      <c r="Y384">
        <v>32.659999999999997</v>
      </c>
      <c r="Z384">
        <v>21.69</v>
      </c>
      <c r="AA384">
        <v>22.91</v>
      </c>
    </row>
    <row r="385" spans="1:27">
      <c r="A385" t="str">
        <f>VLOOKUP(B385,info!$B$2:$F$49,2,FALSE)</f>
        <v>Peugeot</v>
      </c>
      <c r="B385">
        <v>4</v>
      </c>
      <c r="C385" t="s">
        <v>365</v>
      </c>
      <c r="D385" t="s">
        <v>30</v>
      </c>
      <c r="E385" t="s">
        <v>36</v>
      </c>
      <c r="F385">
        <f>VLOOKUP(B385,info!$B$2:$I$49,8,FALSE)</f>
        <v>9367324</v>
      </c>
      <c r="G385" t="str">
        <f>VLOOKUP(B385,info!$B$2:$I$49,5,FALSE)</f>
        <v>front</v>
      </c>
      <c r="H385">
        <v>111540</v>
      </c>
      <c r="I385">
        <v>37805</v>
      </c>
      <c r="J385">
        <v>17700</v>
      </c>
      <c r="K385">
        <v>233065</v>
      </c>
      <c r="L385">
        <v>551.29999999999995</v>
      </c>
      <c r="M385">
        <v>124.6</v>
      </c>
      <c r="N385">
        <v>860.7</v>
      </c>
      <c r="O385">
        <v>0</v>
      </c>
      <c r="P385">
        <v>39438</v>
      </c>
      <c r="Q385">
        <v>37744</v>
      </c>
      <c r="R385">
        <v>173.3</v>
      </c>
      <c r="S385">
        <v>104.9</v>
      </c>
      <c r="T385">
        <v>101.4</v>
      </c>
      <c r="U385">
        <v>5249</v>
      </c>
      <c r="V385">
        <v>53.95</v>
      </c>
      <c r="W385">
        <v>5.1890000000000001</v>
      </c>
      <c r="X385">
        <v>0</v>
      </c>
      <c r="Y385">
        <v>38.950000000000003</v>
      </c>
      <c r="Z385">
        <v>36.36</v>
      </c>
      <c r="AA385">
        <v>47.51</v>
      </c>
    </row>
    <row r="386" spans="1:27">
      <c r="A386" t="str">
        <f>VLOOKUP(B386,info!$B$2:$F$49,2,FALSE)</f>
        <v>Peugeot</v>
      </c>
      <c r="B386">
        <v>5</v>
      </c>
      <c r="C386" t="s">
        <v>365</v>
      </c>
      <c r="D386" t="s">
        <v>30</v>
      </c>
      <c r="E386" t="s">
        <v>37</v>
      </c>
      <c r="F386">
        <f>VLOOKUP(B386,info!$B$2:$I$49,8,FALSE)</f>
        <v>9367324</v>
      </c>
      <c r="G386" t="str">
        <f>VLOOKUP(B386,info!$B$2:$I$49,5,FALSE)</f>
        <v>front</v>
      </c>
      <c r="H386">
        <v>79383</v>
      </c>
      <c r="I386">
        <v>28647</v>
      </c>
      <c r="J386">
        <v>13720</v>
      </c>
      <c r="K386">
        <v>184181</v>
      </c>
      <c r="L386">
        <v>510.8</v>
      </c>
      <c r="M386">
        <v>71.03</v>
      </c>
      <c r="N386">
        <v>287.3</v>
      </c>
      <c r="O386">
        <v>0</v>
      </c>
      <c r="P386">
        <v>31627</v>
      </c>
      <c r="Q386">
        <v>32811</v>
      </c>
      <c r="R386">
        <v>38.08</v>
      </c>
      <c r="S386">
        <v>267.3</v>
      </c>
      <c r="T386">
        <v>97.58</v>
      </c>
      <c r="U386">
        <v>5701</v>
      </c>
      <c r="V386">
        <v>58.35</v>
      </c>
      <c r="W386">
        <v>4.5490000000000004</v>
      </c>
      <c r="X386">
        <v>0</v>
      </c>
      <c r="Y386">
        <v>26.1</v>
      </c>
      <c r="Z386">
        <v>27.1</v>
      </c>
      <c r="AA386">
        <v>7.1970000000000001</v>
      </c>
    </row>
    <row r="387" spans="1:27">
      <c r="A387" t="str">
        <f>VLOOKUP(B387,info!$B$2:$F$49,2,FALSE)</f>
        <v>Mazda</v>
      </c>
      <c r="B387">
        <v>6</v>
      </c>
      <c r="C387" t="s">
        <v>365</v>
      </c>
      <c r="D387" t="s">
        <v>30</v>
      </c>
      <c r="E387" t="s">
        <v>38</v>
      </c>
      <c r="F387">
        <f>VLOOKUP(B387,info!$B$2:$I$49,8,FALSE)</f>
        <v>3550828</v>
      </c>
      <c r="G387" t="str">
        <f>VLOOKUP(B387,info!$B$2:$I$49,5,FALSE)</f>
        <v>front</v>
      </c>
      <c r="H387">
        <v>92142</v>
      </c>
      <c r="I387">
        <v>36761</v>
      </c>
      <c r="J387">
        <v>21688</v>
      </c>
      <c r="K387">
        <v>217297</v>
      </c>
      <c r="L387">
        <v>528.4</v>
      </c>
      <c r="M387">
        <v>94.54</v>
      </c>
      <c r="N387">
        <v>3299</v>
      </c>
      <c r="O387">
        <v>0</v>
      </c>
      <c r="P387">
        <v>38667</v>
      </c>
      <c r="Q387">
        <v>33904</v>
      </c>
      <c r="R387">
        <v>166.6</v>
      </c>
      <c r="S387">
        <v>250.6</v>
      </c>
      <c r="T387">
        <v>71.86</v>
      </c>
      <c r="U387">
        <v>3861</v>
      </c>
      <c r="V387">
        <v>41.31</v>
      </c>
      <c r="W387">
        <v>6.476</v>
      </c>
      <c r="X387">
        <v>0</v>
      </c>
      <c r="Y387">
        <v>30.61</v>
      </c>
      <c r="Z387">
        <v>25.14</v>
      </c>
      <c r="AA387">
        <v>21.31</v>
      </c>
    </row>
    <row r="388" spans="1:27">
      <c r="A388" t="str">
        <f>VLOOKUP(B388,info!$B$2:$F$49,2,FALSE)</f>
        <v>Hyundai</v>
      </c>
      <c r="B388">
        <v>7</v>
      </c>
      <c r="C388" t="s">
        <v>365</v>
      </c>
      <c r="D388" t="s">
        <v>30</v>
      </c>
      <c r="E388" t="s">
        <v>39</v>
      </c>
      <c r="F388">
        <f>VLOOKUP(B388,info!$B$2:$I$49,8,FALSE)</f>
        <v>9540217</v>
      </c>
      <c r="G388" t="str">
        <f>VLOOKUP(B388,info!$B$2:$I$49,5,FALSE)</f>
        <v>back</v>
      </c>
      <c r="H388">
        <v>101292</v>
      </c>
      <c r="I388">
        <v>36580</v>
      </c>
      <c r="J388">
        <v>18880</v>
      </c>
      <c r="K388">
        <v>231613</v>
      </c>
      <c r="L388">
        <v>603.20000000000005</v>
      </c>
      <c r="M388">
        <v>120.9</v>
      </c>
      <c r="N388">
        <v>1761</v>
      </c>
      <c r="O388">
        <v>0</v>
      </c>
      <c r="P388">
        <v>44780</v>
      </c>
      <c r="Q388">
        <v>41571</v>
      </c>
      <c r="R388">
        <v>200.9</v>
      </c>
      <c r="S388">
        <v>167.4</v>
      </c>
      <c r="T388">
        <v>71.16</v>
      </c>
      <c r="U388">
        <v>3430</v>
      </c>
      <c r="V388">
        <v>51.04</v>
      </c>
      <c r="W388">
        <v>8.2140000000000004</v>
      </c>
      <c r="X388">
        <v>0</v>
      </c>
      <c r="Y388">
        <v>24.47</v>
      </c>
      <c r="Z388">
        <v>19.489999999999998</v>
      </c>
      <c r="AA388">
        <v>28.02</v>
      </c>
    </row>
    <row r="389" spans="1:27">
      <c r="A389" t="str">
        <f>VLOOKUP(B389,info!$B$2:$F$49,2,FALSE)</f>
        <v>Honda</v>
      </c>
      <c r="B389">
        <v>8</v>
      </c>
      <c r="C389" t="s">
        <v>365</v>
      </c>
      <c r="D389" t="s">
        <v>30</v>
      </c>
      <c r="E389" t="s">
        <v>40</v>
      </c>
      <c r="F389">
        <f>VLOOKUP(B389,info!$B$2:$I$49,8,FALSE)</f>
        <v>8096906</v>
      </c>
      <c r="G389" t="str">
        <f>VLOOKUP(B389,info!$B$2:$I$49,5,FALSE)</f>
        <v>front</v>
      </c>
      <c r="H389">
        <v>109251</v>
      </c>
      <c r="I389">
        <v>35811</v>
      </c>
      <c r="J389">
        <v>12513</v>
      </c>
      <c r="K389">
        <v>243809</v>
      </c>
      <c r="L389">
        <v>562.70000000000005</v>
      </c>
      <c r="M389">
        <v>171.5</v>
      </c>
      <c r="N389">
        <v>212.5</v>
      </c>
      <c r="O389">
        <v>0</v>
      </c>
      <c r="P389">
        <v>38808</v>
      </c>
      <c r="Q389">
        <v>39622</v>
      </c>
      <c r="R389">
        <v>46.07</v>
      </c>
      <c r="S389">
        <v>86.13</v>
      </c>
      <c r="T389">
        <v>16.079999999999998</v>
      </c>
      <c r="U389">
        <v>3150</v>
      </c>
      <c r="V389">
        <v>38.35</v>
      </c>
      <c r="W389">
        <v>5.4729999999999999</v>
      </c>
      <c r="X389">
        <v>0</v>
      </c>
      <c r="Y389">
        <v>19.87</v>
      </c>
      <c r="Z389">
        <v>23.51</v>
      </c>
      <c r="AA389">
        <v>21.72</v>
      </c>
    </row>
    <row r="390" spans="1:27">
      <c r="A390" t="str">
        <f>VLOOKUP(B390,info!$B$2:$F$49,2,FALSE)</f>
        <v>Honda</v>
      </c>
      <c r="B390">
        <v>9</v>
      </c>
      <c r="C390" t="s">
        <v>365</v>
      </c>
      <c r="D390" t="s">
        <v>30</v>
      </c>
      <c r="E390" t="s">
        <v>41</v>
      </c>
      <c r="F390">
        <f>VLOOKUP(B390,info!$B$2:$I$49,8,FALSE)</f>
        <v>8096906</v>
      </c>
      <c r="G390" t="str">
        <f>VLOOKUP(B390,info!$B$2:$I$49,5,FALSE)</f>
        <v>back</v>
      </c>
      <c r="H390">
        <v>109007</v>
      </c>
      <c r="I390">
        <v>39761</v>
      </c>
      <c r="J390">
        <v>18695</v>
      </c>
      <c r="K390">
        <v>263257</v>
      </c>
      <c r="L390">
        <v>678.8</v>
      </c>
      <c r="M390">
        <v>255.4</v>
      </c>
      <c r="N390">
        <v>252</v>
      </c>
      <c r="O390">
        <v>0</v>
      </c>
      <c r="P390">
        <v>40661</v>
      </c>
      <c r="Q390">
        <v>41164</v>
      </c>
      <c r="R390">
        <v>47.96</v>
      </c>
      <c r="S390">
        <v>397.3</v>
      </c>
      <c r="T390">
        <v>29.6</v>
      </c>
      <c r="U390">
        <v>4529</v>
      </c>
      <c r="V390">
        <v>65.91</v>
      </c>
      <c r="W390">
        <v>5.8659999999999997</v>
      </c>
      <c r="X390">
        <v>0</v>
      </c>
      <c r="Y390">
        <v>23.37</v>
      </c>
      <c r="Z390">
        <v>32.72</v>
      </c>
      <c r="AA390">
        <v>22.83</v>
      </c>
    </row>
    <row r="391" spans="1:27">
      <c r="A391" t="str">
        <f>VLOOKUP(B391,info!$B$2:$F$49,2,FALSE)</f>
        <v>Ford</v>
      </c>
      <c r="B391">
        <v>10</v>
      </c>
      <c r="C391" t="s">
        <v>365</v>
      </c>
      <c r="D391" t="s">
        <v>30</v>
      </c>
      <c r="E391" t="s">
        <v>42</v>
      </c>
      <c r="F391">
        <f>VLOOKUP(B391,info!$B$2:$I$49,8,FALSE)</f>
        <v>6917835</v>
      </c>
      <c r="G391" t="str">
        <f>VLOOKUP(B391,info!$B$2:$I$49,5,FALSE)</f>
        <v>front</v>
      </c>
      <c r="H391">
        <v>113676</v>
      </c>
      <c r="I391">
        <v>46886</v>
      </c>
      <c r="J391">
        <v>26114</v>
      </c>
      <c r="K391">
        <v>267440</v>
      </c>
      <c r="L391">
        <v>577.4</v>
      </c>
      <c r="M391">
        <v>87.38</v>
      </c>
      <c r="N391">
        <v>1689</v>
      </c>
      <c r="O391">
        <v>0</v>
      </c>
      <c r="P391">
        <v>42760</v>
      </c>
      <c r="Q391">
        <v>39342</v>
      </c>
      <c r="R391">
        <v>208.1</v>
      </c>
      <c r="S391">
        <v>465.7</v>
      </c>
      <c r="T391">
        <v>55.88</v>
      </c>
      <c r="U391">
        <v>8185</v>
      </c>
      <c r="V391">
        <v>92.04</v>
      </c>
      <c r="W391">
        <v>5.117</v>
      </c>
      <c r="X391">
        <v>0</v>
      </c>
      <c r="Y391">
        <v>26.78</v>
      </c>
      <c r="Z391">
        <v>17.63</v>
      </c>
      <c r="AA391">
        <v>37.22</v>
      </c>
    </row>
    <row r="392" spans="1:27">
      <c r="A392" t="str">
        <f>VLOOKUP(B392,info!$B$2:$F$49,2,FALSE)</f>
        <v>Honda</v>
      </c>
      <c r="B392">
        <v>11</v>
      </c>
      <c r="C392" t="s">
        <v>365</v>
      </c>
      <c r="D392" t="s">
        <v>30</v>
      </c>
      <c r="E392" t="s">
        <v>43</v>
      </c>
      <c r="F392">
        <f>VLOOKUP(B392,info!$B$2:$I$49,8,FALSE)</f>
        <v>8096906</v>
      </c>
      <c r="G392" t="str">
        <f>VLOOKUP(B392,info!$B$2:$I$49,5,FALSE)</f>
        <v>back</v>
      </c>
      <c r="H392">
        <v>111960</v>
      </c>
      <c r="I392">
        <v>39348</v>
      </c>
      <c r="J392">
        <v>14894</v>
      </c>
      <c r="K392">
        <v>260194</v>
      </c>
      <c r="L392">
        <v>605.4</v>
      </c>
      <c r="M392">
        <v>189.9</v>
      </c>
      <c r="N392">
        <v>227.2</v>
      </c>
      <c r="O392">
        <v>0</v>
      </c>
      <c r="P392">
        <v>41883</v>
      </c>
      <c r="Q392">
        <v>42593</v>
      </c>
      <c r="R392">
        <v>47.39</v>
      </c>
      <c r="S392">
        <v>443.9</v>
      </c>
      <c r="T392">
        <v>51.38</v>
      </c>
      <c r="U392">
        <v>4780</v>
      </c>
      <c r="V392">
        <v>57.86</v>
      </c>
      <c r="W392">
        <v>7.3949999999999996</v>
      </c>
      <c r="X392">
        <v>5.2439999999999998</v>
      </c>
      <c r="Y392">
        <v>30.53</v>
      </c>
      <c r="Z392">
        <v>36.18</v>
      </c>
      <c r="AA392">
        <v>6.9359999999999999</v>
      </c>
    </row>
    <row r="393" spans="1:27">
      <c r="A393" t="str">
        <f>VLOOKUP(B393,info!$B$2:$F$49,2,FALSE)</f>
        <v>Daewoo</v>
      </c>
      <c r="B393">
        <v>12</v>
      </c>
      <c r="C393" t="s">
        <v>365</v>
      </c>
      <c r="D393" t="s">
        <v>30</v>
      </c>
      <c r="E393" t="s">
        <v>44</v>
      </c>
      <c r="F393">
        <f>VLOOKUP(B393,info!$B$2:$I$49,8,FALSE)</f>
        <v>8501017</v>
      </c>
      <c r="G393" t="str">
        <f>VLOOKUP(B393,info!$B$2:$I$49,5,FALSE)</f>
        <v>back</v>
      </c>
      <c r="H393">
        <v>103118</v>
      </c>
      <c r="I393">
        <v>39885</v>
      </c>
      <c r="J393">
        <v>21762</v>
      </c>
      <c r="K393">
        <v>244710</v>
      </c>
      <c r="L393">
        <v>682.2</v>
      </c>
      <c r="M393">
        <v>47.76</v>
      </c>
      <c r="N393">
        <v>2793</v>
      </c>
      <c r="O393">
        <v>0</v>
      </c>
      <c r="P393">
        <v>40656</v>
      </c>
      <c r="Q393">
        <v>35866</v>
      </c>
      <c r="R393">
        <v>187.5</v>
      </c>
      <c r="S393">
        <v>305</v>
      </c>
      <c r="T393">
        <v>57.08</v>
      </c>
      <c r="U393">
        <v>4254</v>
      </c>
      <c r="V393">
        <v>50.65</v>
      </c>
      <c r="W393">
        <v>7.0430000000000001</v>
      </c>
      <c r="X393">
        <v>4.9279999999999999</v>
      </c>
      <c r="Y393">
        <v>32.19</v>
      </c>
      <c r="Z393">
        <v>41.68</v>
      </c>
      <c r="AA393">
        <v>24.7</v>
      </c>
    </row>
    <row r="394" spans="1:27">
      <c r="A394" t="str">
        <f>VLOOKUP(B394,info!$B$2:$F$49,2,FALSE)</f>
        <v>Hyundai</v>
      </c>
      <c r="B394">
        <v>13</v>
      </c>
      <c r="C394" t="s">
        <v>365</v>
      </c>
      <c r="D394" t="s">
        <v>30</v>
      </c>
      <c r="E394" t="s">
        <v>357</v>
      </c>
      <c r="F394">
        <f>VLOOKUP(B394,info!$B$2:$I$49,8,FALSE)</f>
        <v>9540217</v>
      </c>
      <c r="G394" t="str">
        <f>VLOOKUP(B394,info!$B$2:$I$49,5,FALSE)</f>
        <v>back</v>
      </c>
      <c r="H394">
        <v>122501</v>
      </c>
      <c r="I394">
        <v>45789</v>
      </c>
      <c r="J394">
        <v>25484</v>
      </c>
      <c r="K394">
        <v>263283</v>
      </c>
      <c r="L394">
        <v>674.6</v>
      </c>
      <c r="M394">
        <v>166.1</v>
      </c>
      <c r="N394">
        <v>1935</v>
      </c>
      <c r="O394">
        <v>0</v>
      </c>
      <c r="P394">
        <v>48836</v>
      </c>
      <c r="Q394">
        <v>45499</v>
      </c>
      <c r="R394">
        <v>215.8</v>
      </c>
      <c r="S394">
        <v>137.5</v>
      </c>
      <c r="T394">
        <v>80.849999999999994</v>
      </c>
      <c r="U394">
        <v>3478</v>
      </c>
      <c r="V394">
        <v>45.7</v>
      </c>
      <c r="W394">
        <v>5.5449999999999999</v>
      </c>
      <c r="X394">
        <v>0.93969999999999998</v>
      </c>
      <c r="Y394">
        <v>32.76</v>
      </c>
      <c r="Z394">
        <v>40.82</v>
      </c>
      <c r="AA394">
        <v>33.56</v>
      </c>
    </row>
    <row r="395" spans="1:27">
      <c r="A395" t="str">
        <f>VLOOKUP(B395,info!$B$2:$F$49,2,FALSE)</f>
        <v>Peugeot</v>
      </c>
      <c r="B395">
        <v>14</v>
      </c>
      <c r="C395" t="s">
        <v>365</v>
      </c>
      <c r="D395" t="s">
        <v>30</v>
      </c>
      <c r="E395" t="s">
        <v>45</v>
      </c>
      <c r="F395">
        <f>VLOOKUP(B395,info!$B$2:$I$49,8,FALSE)</f>
        <v>9367324</v>
      </c>
      <c r="G395" t="str">
        <f>VLOOKUP(B395,info!$B$2:$I$49,5,FALSE)</f>
        <v>back</v>
      </c>
      <c r="H395">
        <v>116960</v>
      </c>
      <c r="I395">
        <v>42044</v>
      </c>
      <c r="J395">
        <v>21816</v>
      </c>
      <c r="K395">
        <v>264699</v>
      </c>
      <c r="L395">
        <v>695.7</v>
      </c>
      <c r="M395">
        <v>191.6</v>
      </c>
      <c r="N395">
        <v>1958</v>
      </c>
      <c r="O395">
        <v>0</v>
      </c>
      <c r="P395">
        <v>49105</v>
      </c>
      <c r="Q395">
        <v>45581</v>
      </c>
      <c r="R395">
        <v>223.5</v>
      </c>
      <c r="S395">
        <v>180.2</v>
      </c>
      <c r="T395">
        <v>76.37</v>
      </c>
      <c r="U395">
        <v>3640</v>
      </c>
      <c r="V395">
        <v>53.93</v>
      </c>
      <c r="W395">
        <v>5.7190000000000003</v>
      </c>
      <c r="X395">
        <v>0</v>
      </c>
      <c r="Y395">
        <v>31.93</v>
      </c>
      <c r="Z395">
        <v>24.31</v>
      </c>
      <c r="AA395">
        <v>28.95</v>
      </c>
    </row>
    <row r="396" spans="1:27">
      <c r="A396" t="str">
        <f>VLOOKUP(B396,info!$B$2:$F$49,2,FALSE)</f>
        <v>Ford</v>
      </c>
      <c r="B396">
        <v>15</v>
      </c>
      <c r="C396" t="s">
        <v>365</v>
      </c>
      <c r="D396" t="s">
        <v>30</v>
      </c>
      <c r="E396" t="s">
        <v>46</v>
      </c>
      <c r="F396">
        <f>VLOOKUP(B396,info!$B$2:$I$49,8,FALSE)</f>
        <v>6917835</v>
      </c>
      <c r="G396" t="str">
        <f>VLOOKUP(B396,info!$B$2:$I$49,5,FALSE)</f>
        <v>back</v>
      </c>
      <c r="H396">
        <v>127176</v>
      </c>
      <c r="I396">
        <v>50811</v>
      </c>
      <c r="J396">
        <v>27836</v>
      </c>
      <c r="K396">
        <v>285557</v>
      </c>
      <c r="L396">
        <v>568.9</v>
      </c>
      <c r="M396">
        <v>93.25</v>
      </c>
      <c r="N396">
        <v>1696</v>
      </c>
      <c r="O396">
        <v>0</v>
      </c>
      <c r="P396">
        <v>44148</v>
      </c>
      <c r="Q396">
        <v>41517</v>
      </c>
      <c r="R396">
        <v>220</v>
      </c>
      <c r="S396">
        <v>315.3</v>
      </c>
      <c r="T396">
        <v>48.66</v>
      </c>
      <c r="U396">
        <v>7623</v>
      </c>
      <c r="V396">
        <v>83.03</v>
      </c>
      <c r="W396">
        <v>10.23</v>
      </c>
      <c r="X396">
        <v>20.53</v>
      </c>
      <c r="Y396">
        <v>39.31</v>
      </c>
      <c r="Z396">
        <v>30.33</v>
      </c>
      <c r="AA396">
        <v>57.85</v>
      </c>
    </row>
    <row r="397" spans="1:27">
      <c r="A397" t="str">
        <f>VLOOKUP(B397,info!$B$2:$F$49,2,FALSE)</f>
        <v>Hyundai</v>
      </c>
      <c r="B397">
        <v>16</v>
      </c>
      <c r="C397" t="s">
        <v>365</v>
      </c>
      <c r="D397" t="s">
        <v>30</v>
      </c>
      <c r="E397" t="s">
        <v>47</v>
      </c>
      <c r="F397">
        <f>VLOOKUP(B397,info!$B$2:$I$49,8,FALSE)</f>
        <v>6316720</v>
      </c>
      <c r="G397" t="str">
        <f>VLOOKUP(B397,info!$B$2:$I$49,5,FALSE)</f>
        <v>back</v>
      </c>
      <c r="H397">
        <v>110312</v>
      </c>
      <c r="I397">
        <v>41637</v>
      </c>
      <c r="J397">
        <v>24081</v>
      </c>
      <c r="K397">
        <v>263797</v>
      </c>
      <c r="L397">
        <v>743.5</v>
      </c>
      <c r="M397">
        <v>232.4</v>
      </c>
      <c r="N397">
        <v>1894</v>
      </c>
      <c r="O397">
        <v>0</v>
      </c>
      <c r="P397">
        <v>48612</v>
      </c>
      <c r="Q397">
        <v>44687</v>
      </c>
      <c r="R397">
        <v>200.6</v>
      </c>
      <c r="S397">
        <v>419.9</v>
      </c>
      <c r="T397">
        <v>98.52</v>
      </c>
      <c r="U397">
        <v>4594</v>
      </c>
      <c r="V397">
        <v>67.94</v>
      </c>
      <c r="W397">
        <v>10.57</v>
      </c>
      <c r="X397">
        <v>8.577</v>
      </c>
      <c r="Y397">
        <v>32.619999999999997</v>
      </c>
      <c r="Z397">
        <v>26.94</v>
      </c>
      <c r="AA397">
        <v>30.07</v>
      </c>
    </row>
    <row r="398" spans="1:27">
      <c r="A398" t="str">
        <f>VLOOKUP(B398,info!$B$2:$F$49,2,FALSE)</f>
        <v>Hyundai</v>
      </c>
      <c r="B398">
        <v>17</v>
      </c>
      <c r="C398" t="s">
        <v>365</v>
      </c>
      <c r="D398" t="s">
        <v>30</v>
      </c>
      <c r="E398" t="s">
        <v>48</v>
      </c>
      <c r="F398">
        <f>VLOOKUP(B398,info!$B$2:$I$49,8,FALSE)</f>
        <v>6316720</v>
      </c>
      <c r="G398" t="str">
        <f>VLOOKUP(B398,info!$B$2:$I$49,5,FALSE)</f>
        <v>back</v>
      </c>
      <c r="H398">
        <v>114991</v>
      </c>
      <c r="I398">
        <v>43480</v>
      </c>
      <c r="J398">
        <v>25035</v>
      </c>
      <c r="K398">
        <v>269989</v>
      </c>
      <c r="L398">
        <v>815.8</v>
      </c>
      <c r="M398">
        <v>269.10000000000002</v>
      </c>
      <c r="N398">
        <v>1936</v>
      </c>
      <c r="O398">
        <v>0</v>
      </c>
      <c r="P398">
        <v>49444</v>
      </c>
      <c r="Q398">
        <v>45320</v>
      </c>
      <c r="R398">
        <v>203.8</v>
      </c>
      <c r="S398">
        <v>428.1</v>
      </c>
      <c r="T398">
        <v>85.3</v>
      </c>
      <c r="U398">
        <v>4538</v>
      </c>
      <c r="V398">
        <v>64.02</v>
      </c>
      <c r="W398">
        <v>12.71</v>
      </c>
      <c r="X398">
        <v>21.59</v>
      </c>
      <c r="Y398">
        <v>31.42</v>
      </c>
      <c r="Z398">
        <v>7.4009999999999998</v>
      </c>
      <c r="AA398">
        <v>17.16</v>
      </c>
    </row>
    <row r="399" spans="1:27">
      <c r="A399" t="str">
        <f>VLOOKUP(B399,info!$B$2:$F$49,2,FALSE)</f>
        <v>Honda</v>
      </c>
      <c r="B399">
        <v>18</v>
      </c>
      <c r="C399" t="s">
        <v>365</v>
      </c>
      <c r="D399" t="s">
        <v>30</v>
      </c>
      <c r="E399" t="s">
        <v>49</v>
      </c>
      <c r="F399">
        <f>VLOOKUP(B399,info!$B$2:$I$49,8,FALSE)</f>
        <v>8096906</v>
      </c>
      <c r="G399" t="str">
        <f>VLOOKUP(B399,info!$B$2:$I$49,5,FALSE)</f>
        <v>front</v>
      </c>
      <c r="H399">
        <v>113358</v>
      </c>
      <c r="I399">
        <v>39168</v>
      </c>
      <c r="J399">
        <v>14936</v>
      </c>
      <c r="K399">
        <v>260705</v>
      </c>
      <c r="L399">
        <v>677.4</v>
      </c>
      <c r="M399">
        <v>197.5</v>
      </c>
      <c r="N399">
        <v>204.9</v>
      </c>
      <c r="O399">
        <v>0</v>
      </c>
      <c r="P399">
        <v>41265</v>
      </c>
      <c r="Q399">
        <v>42273</v>
      </c>
      <c r="R399">
        <v>46.25</v>
      </c>
      <c r="S399">
        <v>323.89999999999998</v>
      </c>
      <c r="T399">
        <v>22.75</v>
      </c>
      <c r="U399">
        <v>4220</v>
      </c>
      <c r="V399">
        <v>47.61</v>
      </c>
      <c r="W399">
        <v>14.78</v>
      </c>
      <c r="X399">
        <v>0</v>
      </c>
      <c r="Y399">
        <v>18.39</v>
      </c>
      <c r="Z399">
        <v>26.65</v>
      </c>
      <c r="AA399">
        <v>17</v>
      </c>
    </row>
    <row r="400" spans="1:27">
      <c r="A400" t="str">
        <f>VLOOKUP(B400,info!$B$2:$F$49,2,FALSE)</f>
        <v>Hyundai</v>
      </c>
      <c r="B400">
        <v>19</v>
      </c>
      <c r="C400" t="s">
        <v>365</v>
      </c>
      <c r="D400" t="s">
        <v>30</v>
      </c>
      <c r="E400" t="s">
        <v>358</v>
      </c>
      <c r="F400">
        <f>VLOOKUP(B400,info!$B$2:$I$49,8,FALSE)</f>
        <v>6316720</v>
      </c>
      <c r="G400" t="str">
        <f>VLOOKUP(B400,info!$B$2:$I$49,5,FALSE)</f>
        <v>front</v>
      </c>
      <c r="H400">
        <v>88657</v>
      </c>
      <c r="I400">
        <v>33711</v>
      </c>
      <c r="J400">
        <v>19799</v>
      </c>
      <c r="K400">
        <v>199043</v>
      </c>
      <c r="L400">
        <v>674.2</v>
      </c>
      <c r="M400">
        <v>250.7</v>
      </c>
      <c r="N400">
        <v>1501</v>
      </c>
      <c r="O400">
        <v>0</v>
      </c>
      <c r="P400">
        <v>37141</v>
      </c>
      <c r="Q400">
        <v>34100</v>
      </c>
      <c r="R400">
        <v>159.4</v>
      </c>
      <c r="S400">
        <v>303.89999999999998</v>
      </c>
      <c r="T400">
        <v>63.25</v>
      </c>
      <c r="U400">
        <v>3380</v>
      </c>
      <c r="V400">
        <v>48.51</v>
      </c>
      <c r="W400">
        <v>7.4219999999999997</v>
      </c>
      <c r="X400">
        <v>0</v>
      </c>
      <c r="Y400">
        <v>58.67</v>
      </c>
      <c r="Z400">
        <v>55.34</v>
      </c>
      <c r="AA400">
        <v>22.2</v>
      </c>
    </row>
    <row r="401" spans="1:27">
      <c r="A401" t="str">
        <f>VLOOKUP(B401,info!$B$2:$F$49,2,FALSE)</f>
        <v>Fiat</v>
      </c>
      <c r="B401">
        <v>20</v>
      </c>
      <c r="C401" t="s">
        <v>365</v>
      </c>
      <c r="D401" t="s">
        <v>30</v>
      </c>
      <c r="E401" t="s">
        <v>50</v>
      </c>
      <c r="F401">
        <f>VLOOKUP(B401,info!$B$2:$I$49,8,FALSE)</f>
        <v>5751910</v>
      </c>
      <c r="G401" t="str">
        <f>VLOOKUP(B401,info!$B$2:$I$49,5,FALSE)</f>
        <v>back</v>
      </c>
      <c r="H401">
        <v>113971</v>
      </c>
      <c r="I401">
        <v>43707</v>
      </c>
      <c r="J401">
        <v>23400</v>
      </c>
      <c r="K401">
        <v>260663</v>
      </c>
      <c r="L401">
        <v>505.1</v>
      </c>
      <c r="M401">
        <v>71.81</v>
      </c>
      <c r="N401">
        <v>1780</v>
      </c>
      <c r="O401">
        <v>0</v>
      </c>
      <c r="P401">
        <v>39979</v>
      </c>
      <c r="Q401">
        <v>36452</v>
      </c>
      <c r="R401">
        <v>227.6</v>
      </c>
      <c r="S401">
        <v>422.1</v>
      </c>
      <c r="T401">
        <v>63.93</v>
      </c>
      <c r="U401">
        <v>6889</v>
      </c>
      <c r="V401">
        <v>65.03</v>
      </c>
      <c r="W401">
        <v>11.24</v>
      </c>
      <c r="X401">
        <v>0</v>
      </c>
      <c r="Y401">
        <v>30.29</v>
      </c>
      <c r="Z401">
        <v>22.38</v>
      </c>
      <c r="AA401">
        <v>24.41</v>
      </c>
    </row>
    <row r="402" spans="1:27">
      <c r="A402" t="str">
        <f>VLOOKUP(B402,info!$B$2:$F$49,2,FALSE)</f>
        <v>Hyundai</v>
      </c>
      <c r="B402">
        <v>21</v>
      </c>
      <c r="C402" t="s">
        <v>365</v>
      </c>
      <c r="D402" t="s">
        <v>30</v>
      </c>
      <c r="E402" t="s">
        <v>51</v>
      </c>
      <c r="F402">
        <f>VLOOKUP(B402,info!$B$2:$I$49,8,FALSE)</f>
        <v>5826120</v>
      </c>
      <c r="G402" t="str">
        <f>VLOOKUP(B402,info!$B$2:$I$49,5,FALSE)</f>
        <v>back triangle</v>
      </c>
      <c r="H402">
        <v>98592</v>
      </c>
      <c r="I402">
        <v>39004</v>
      </c>
      <c r="J402">
        <v>28566</v>
      </c>
      <c r="K402">
        <v>236291</v>
      </c>
      <c r="L402">
        <v>682.6</v>
      </c>
      <c r="M402">
        <v>213.6</v>
      </c>
      <c r="N402">
        <v>1452</v>
      </c>
      <c r="O402">
        <v>0</v>
      </c>
      <c r="P402">
        <v>44825</v>
      </c>
      <c r="Q402">
        <v>42220</v>
      </c>
      <c r="R402">
        <v>225.6</v>
      </c>
      <c r="S402">
        <v>439</v>
      </c>
      <c r="T402">
        <v>113.6</v>
      </c>
      <c r="U402">
        <v>4704</v>
      </c>
      <c r="V402">
        <v>69.430000000000007</v>
      </c>
      <c r="W402">
        <v>8.9649999999999999</v>
      </c>
      <c r="X402">
        <v>0</v>
      </c>
      <c r="Y402">
        <v>32.26</v>
      </c>
      <c r="Z402">
        <v>18.989999999999998</v>
      </c>
      <c r="AA402">
        <v>22.46</v>
      </c>
    </row>
    <row r="403" spans="1:27">
      <c r="A403" t="str">
        <f>VLOOKUP(B403,info!$B$2:$F$49,2,FALSE)</f>
        <v>Daewoo</v>
      </c>
      <c r="B403">
        <v>22</v>
      </c>
      <c r="C403" t="s">
        <v>365</v>
      </c>
      <c r="D403" t="s">
        <v>30</v>
      </c>
      <c r="E403" t="s">
        <v>53</v>
      </c>
      <c r="F403">
        <f>VLOOKUP(B403,info!$B$2:$I$49,8,FALSE)</f>
        <v>8501017</v>
      </c>
      <c r="G403" t="str">
        <f>VLOOKUP(B403,info!$B$2:$I$49,5,FALSE)</f>
        <v>front</v>
      </c>
      <c r="H403">
        <v>101051</v>
      </c>
      <c r="I403">
        <v>39106</v>
      </c>
      <c r="J403">
        <v>21444</v>
      </c>
      <c r="K403">
        <v>243550</v>
      </c>
      <c r="L403">
        <v>742.8</v>
      </c>
      <c r="M403">
        <v>75.180000000000007</v>
      </c>
      <c r="N403">
        <v>2798</v>
      </c>
      <c r="O403">
        <v>0</v>
      </c>
      <c r="P403">
        <v>40278</v>
      </c>
      <c r="Q403">
        <v>36085</v>
      </c>
      <c r="R403">
        <v>185.3</v>
      </c>
      <c r="S403">
        <v>325.39999999999998</v>
      </c>
      <c r="T403">
        <v>56.6</v>
      </c>
      <c r="U403">
        <v>4210</v>
      </c>
      <c r="V403">
        <v>58.12</v>
      </c>
      <c r="W403">
        <v>7.6790000000000003</v>
      </c>
      <c r="X403">
        <v>0</v>
      </c>
      <c r="Y403">
        <v>31.28</v>
      </c>
      <c r="Z403">
        <v>21.58</v>
      </c>
      <c r="AA403">
        <v>29.52</v>
      </c>
    </row>
    <row r="404" spans="1:27">
      <c r="A404" t="str">
        <f>VLOOKUP(B404,info!$B$2:$F$49,2,FALSE)</f>
        <v>Daewoo</v>
      </c>
      <c r="B404">
        <v>23</v>
      </c>
      <c r="C404" t="s">
        <v>365</v>
      </c>
      <c r="D404" t="s">
        <v>30</v>
      </c>
      <c r="E404" t="s">
        <v>54</v>
      </c>
      <c r="F404">
        <f>VLOOKUP(B404,info!$B$2:$I$49,8,FALSE)</f>
        <v>8501017</v>
      </c>
      <c r="G404" t="str">
        <f>VLOOKUP(B404,info!$B$2:$I$49,5,FALSE)</f>
        <v>back</v>
      </c>
      <c r="H404">
        <v>106036</v>
      </c>
      <c r="I404">
        <v>40175</v>
      </c>
      <c r="J404">
        <v>21592</v>
      </c>
      <c r="K404">
        <v>249164</v>
      </c>
      <c r="L404">
        <v>782.4</v>
      </c>
      <c r="M404">
        <v>53.69</v>
      </c>
      <c r="N404">
        <v>2786</v>
      </c>
      <c r="O404">
        <v>0</v>
      </c>
      <c r="P404">
        <v>40591</v>
      </c>
      <c r="Q404">
        <v>36698</v>
      </c>
      <c r="R404">
        <v>192</v>
      </c>
      <c r="S404">
        <v>199.5</v>
      </c>
      <c r="T404">
        <v>43.11</v>
      </c>
      <c r="U404">
        <v>3752</v>
      </c>
      <c r="V404">
        <v>55.03</v>
      </c>
      <c r="W404">
        <v>7.8109999999999999</v>
      </c>
      <c r="X404">
        <v>0</v>
      </c>
      <c r="Y404">
        <v>27.23</v>
      </c>
      <c r="Z404">
        <v>27.66</v>
      </c>
      <c r="AA404">
        <v>27.72</v>
      </c>
    </row>
    <row r="405" spans="1:27">
      <c r="A405" t="str">
        <f>VLOOKUP(B405,info!$B$2:$F$49,2,FALSE)</f>
        <v>Mitsubishi</v>
      </c>
      <c r="B405">
        <v>24</v>
      </c>
      <c r="C405" t="s">
        <v>365</v>
      </c>
      <c r="D405" t="s">
        <v>30</v>
      </c>
      <c r="E405" t="s">
        <v>55</v>
      </c>
      <c r="F405">
        <f>VLOOKUP(B405,info!$B$2:$I$49,8,FALSE)</f>
        <v>7027220</v>
      </c>
      <c r="G405" t="str">
        <f>VLOOKUP(B405,info!$B$2:$I$49,5,FALSE)</f>
        <v>front</v>
      </c>
      <c r="H405">
        <v>116189</v>
      </c>
      <c r="I405">
        <v>46644</v>
      </c>
      <c r="J405">
        <v>27506</v>
      </c>
      <c r="K405">
        <v>280030</v>
      </c>
      <c r="L405">
        <v>478.7</v>
      </c>
      <c r="M405">
        <v>55.34</v>
      </c>
      <c r="N405">
        <v>1477</v>
      </c>
      <c r="O405">
        <v>0</v>
      </c>
      <c r="P405">
        <v>43039</v>
      </c>
      <c r="Q405">
        <v>40534</v>
      </c>
      <c r="R405">
        <v>299.39999999999998</v>
      </c>
      <c r="S405">
        <v>123.7</v>
      </c>
      <c r="T405">
        <v>136.6</v>
      </c>
      <c r="U405">
        <v>2703</v>
      </c>
      <c r="V405">
        <v>45.75</v>
      </c>
      <c r="W405">
        <v>4.2119999999999997</v>
      </c>
      <c r="X405">
        <v>7.2809999999999997</v>
      </c>
      <c r="Y405">
        <v>32.28</v>
      </c>
      <c r="Z405">
        <v>27.32</v>
      </c>
      <c r="AA405">
        <v>42.07</v>
      </c>
    </row>
    <row r="406" spans="1:27">
      <c r="A406" t="str">
        <f>VLOOKUP(B406,info!$B$2:$F$49,2,FALSE)</f>
        <v>Subaru</v>
      </c>
      <c r="B406">
        <v>25</v>
      </c>
      <c r="C406" t="s">
        <v>365</v>
      </c>
      <c r="D406" t="s">
        <v>30</v>
      </c>
      <c r="E406" t="s">
        <v>56</v>
      </c>
      <c r="F406">
        <f>VLOOKUP(B406,info!$B$2:$I$49,8,FALSE)</f>
        <v>2675308</v>
      </c>
      <c r="G406" t="str">
        <f>VLOOKUP(B406,info!$B$2:$I$49,5,FALSE)</f>
        <v>front</v>
      </c>
      <c r="H406">
        <v>109033</v>
      </c>
      <c r="I406">
        <v>40169</v>
      </c>
      <c r="J406">
        <v>25026</v>
      </c>
      <c r="K406">
        <v>262847</v>
      </c>
      <c r="L406">
        <v>633.9</v>
      </c>
      <c r="M406">
        <v>174.4</v>
      </c>
      <c r="N406">
        <v>3213</v>
      </c>
      <c r="O406">
        <v>0</v>
      </c>
      <c r="P406">
        <v>45077</v>
      </c>
      <c r="Q406">
        <v>40047</v>
      </c>
      <c r="R406">
        <v>160.19999999999999</v>
      </c>
      <c r="S406">
        <v>290.10000000000002</v>
      </c>
      <c r="T406">
        <v>66.39</v>
      </c>
      <c r="U406">
        <v>3175</v>
      </c>
      <c r="V406">
        <v>48.55</v>
      </c>
      <c r="W406">
        <v>12.96</v>
      </c>
      <c r="X406">
        <v>0</v>
      </c>
      <c r="Y406">
        <v>35.99</v>
      </c>
      <c r="Z406">
        <v>28.22</v>
      </c>
      <c r="AA406">
        <v>21.15</v>
      </c>
    </row>
    <row r="407" spans="1:27">
      <c r="A407" t="str">
        <f>VLOOKUP(B407,info!$B$2:$F$49,2,FALSE)</f>
        <v>Mitsubishi</v>
      </c>
      <c r="B407">
        <v>26</v>
      </c>
      <c r="C407" t="s">
        <v>365</v>
      </c>
      <c r="D407" t="s">
        <v>30</v>
      </c>
      <c r="E407" t="s">
        <v>57</v>
      </c>
      <c r="F407">
        <f>VLOOKUP(B407,info!$B$2:$I$49,8,FALSE)</f>
        <v>7027220</v>
      </c>
      <c r="G407" t="str">
        <f>VLOOKUP(B407,info!$B$2:$I$49,5,FALSE)</f>
        <v>back</v>
      </c>
      <c r="H407">
        <v>123416</v>
      </c>
      <c r="I407">
        <v>52568</v>
      </c>
      <c r="J407">
        <v>31578</v>
      </c>
      <c r="K407">
        <v>295096</v>
      </c>
      <c r="L407">
        <v>733</v>
      </c>
      <c r="M407">
        <v>120.5</v>
      </c>
      <c r="N407">
        <v>3049</v>
      </c>
      <c r="O407">
        <v>0</v>
      </c>
      <c r="P407">
        <v>47048</v>
      </c>
      <c r="Q407">
        <v>42479</v>
      </c>
      <c r="R407">
        <v>498.6</v>
      </c>
      <c r="S407">
        <v>426.4</v>
      </c>
      <c r="T407">
        <v>142.30000000000001</v>
      </c>
      <c r="U407">
        <v>4154</v>
      </c>
      <c r="V407">
        <v>59.75</v>
      </c>
      <c r="W407">
        <v>15.55</v>
      </c>
      <c r="X407">
        <v>0</v>
      </c>
      <c r="Y407">
        <v>38.99</v>
      </c>
      <c r="Z407">
        <v>11.42</v>
      </c>
      <c r="AA407">
        <v>26.88</v>
      </c>
    </row>
    <row r="408" spans="1:27">
      <c r="A408" t="str">
        <f>VLOOKUP(B408,info!$B$2:$F$49,2,FALSE)</f>
        <v>Fiat</v>
      </c>
      <c r="B408">
        <v>27</v>
      </c>
      <c r="C408" t="s">
        <v>365</v>
      </c>
      <c r="D408" t="s">
        <v>30</v>
      </c>
      <c r="E408" t="s">
        <v>58</v>
      </c>
      <c r="F408">
        <f>VLOOKUP(B408,info!$B$2:$I$49,8,FALSE)</f>
        <v>5751910</v>
      </c>
      <c r="G408" t="str">
        <f>VLOOKUP(B408,info!$B$2:$I$49,5,FALSE)</f>
        <v>front</v>
      </c>
      <c r="H408">
        <v>114843</v>
      </c>
      <c r="I408">
        <v>43445</v>
      </c>
      <c r="J408">
        <v>22605</v>
      </c>
      <c r="K408">
        <v>256243</v>
      </c>
      <c r="L408">
        <v>471.7</v>
      </c>
      <c r="M408">
        <v>121.8</v>
      </c>
      <c r="N408">
        <v>1671</v>
      </c>
      <c r="O408">
        <v>0</v>
      </c>
      <c r="P408">
        <v>39451</v>
      </c>
      <c r="Q408">
        <v>36510</v>
      </c>
      <c r="R408">
        <v>213.1</v>
      </c>
      <c r="S408">
        <v>293.89999999999998</v>
      </c>
      <c r="T408">
        <v>65</v>
      </c>
      <c r="U408">
        <v>6352</v>
      </c>
      <c r="V408">
        <v>70.8</v>
      </c>
      <c r="W408">
        <v>7.859</v>
      </c>
      <c r="X408">
        <v>1.2250000000000001</v>
      </c>
      <c r="Y408">
        <v>32.97</v>
      </c>
      <c r="Z408">
        <v>40.56</v>
      </c>
      <c r="AA408">
        <v>12.6</v>
      </c>
    </row>
    <row r="409" spans="1:27">
      <c r="A409" t="str">
        <f>VLOOKUP(B409,info!$B$2:$F$49,2,FALSE)</f>
        <v>Subaru</v>
      </c>
      <c r="B409">
        <v>28</v>
      </c>
      <c r="C409" t="s">
        <v>365</v>
      </c>
      <c r="D409" t="s">
        <v>30</v>
      </c>
      <c r="E409" t="s">
        <v>59</v>
      </c>
      <c r="F409">
        <f>VLOOKUP(B409,info!$B$2:$I$49,8,FALSE)</f>
        <v>2675308</v>
      </c>
      <c r="G409" t="str">
        <f>VLOOKUP(B409,info!$B$2:$I$49,5,FALSE)</f>
        <v>front</v>
      </c>
      <c r="H409">
        <v>111398</v>
      </c>
      <c r="I409">
        <v>39844</v>
      </c>
      <c r="J409">
        <v>24488</v>
      </c>
      <c r="K409">
        <v>267168</v>
      </c>
      <c r="L409">
        <v>590.9</v>
      </c>
      <c r="M409">
        <v>139.19999999999999</v>
      </c>
      <c r="N409">
        <v>3209</v>
      </c>
      <c r="O409">
        <v>0</v>
      </c>
      <c r="P409">
        <v>44786</v>
      </c>
      <c r="Q409">
        <v>40561</v>
      </c>
      <c r="R409">
        <v>165.1</v>
      </c>
      <c r="S409">
        <v>173.1</v>
      </c>
      <c r="T409">
        <v>62.04</v>
      </c>
      <c r="U409">
        <v>2650</v>
      </c>
      <c r="V409">
        <v>47.3</v>
      </c>
      <c r="W409">
        <v>7.726</v>
      </c>
      <c r="X409">
        <v>2.7149999999999999</v>
      </c>
      <c r="Y409">
        <v>36.479999999999997</v>
      </c>
      <c r="Z409">
        <v>30.95</v>
      </c>
      <c r="AA409">
        <v>16.48</v>
      </c>
    </row>
    <row r="410" spans="1:27">
      <c r="A410" t="str">
        <f>VLOOKUP(B410,info!$B$2:$F$49,2,FALSE)</f>
        <v>Renault</v>
      </c>
      <c r="B410">
        <v>29</v>
      </c>
      <c r="C410" t="s">
        <v>365</v>
      </c>
      <c r="D410" t="s">
        <v>30</v>
      </c>
      <c r="E410" t="s">
        <v>60</v>
      </c>
      <c r="F410">
        <f>VLOOKUP(B410,info!$B$2:$I$49,8,FALSE)</f>
        <v>1147816</v>
      </c>
      <c r="G410" t="str">
        <f>VLOOKUP(B410,info!$B$2:$I$49,5,FALSE)</f>
        <v>back triangle</v>
      </c>
      <c r="H410">
        <v>97441</v>
      </c>
      <c r="I410">
        <v>35023</v>
      </c>
      <c r="J410">
        <v>16991</v>
      </c>
      <c r="K410">
        <v>214393</v>
      </c>
      <c r="L410">
        <v>492.8</v>
      </c>
      <c r="M410">
        <v>87.99</v>
      </c>
      <c r="N410">
        <v>579</v>
      </c>
      <c r="O410">
        <v>0</v>
      </c>
      <c r="P410">
        <v>34549</v>
      </c>
      <c r="Q410">
        <v>34134</v>
      </c>
      <c r="R410">
        <v>223.2</v>
      </c>
      <c r="S410">
        <v>23.83</v>
      </c>
      <c r="T410">
        <v>134</v>
      </c>
      <c r="U410">
        <v>3283</v>
      </c>
      <c r="V410">
        <v>33.61</v>
      </c>
      <c r="W410">
        <v>7.7560000000000002</v>
      </c>
      <c r="X410">
        <v>8.7059999999999995</v>
      </c>
      <c r="Y410">
        <v>12.61</v>
      </c>
      <c r="Z410">
        <v>10.29</v>
      </c>
      <c r="AA410">
        <v>40.799999999999997</v>
      </c>
    </row>
    <row r="411" spans="1:27">
      <c r="A411" t="str">
        <f>VLOOKUP(B411,info!$B$2:$F$49,2,FALSE)</f>
        <v>Ford</v>
      </c>
      <c r="B411">
        <v>30</v>
      </c>
      <c r="C411" t="s">
        <v>365</v>
      </c>
      <c r="D411" t="s">
        <v>30</v>
      </c>
      <c r="E411" t="s">
        <v>61</v>
      </c>
      <c r="F411">
        <f>VLOOKUP(B411,info!$B$2:$I$49,8,FALSE)</f>
        <v>6917835</v>
      </c>
      <c r="G411" t="str">
        <f>VLOOKUP(B411,info!$B$2:$I$49,5,FALSE)</f>
        <v>back</v>
      </c>
      <c r="H411">
        <v>95520</v>
      </c>
      <c r="I411">
        <v>38093</v>
      </c>
      <c r="J411">
        <v>20498</v>
      </c>
      <c r="K411">
        <v>218624</v>
      </c>
      <c r="L411">
        <v>422.8</v>
      </c>
      <c r="M411">
        <v>84.03</v>
      </c>
      <c r="N411">
        <v>1351</v>
      </c>
      <c r="O411">
        <v>0</v>
      </c>
      <c r="P411">
        <v>36663</v>
      </c>
      <c r="Q411">
        <v>35495</v>
      </c>
      <c r="R411">
        <v>179.3</v>
      </c>
      <c r="S411">
        <v>27.11</v>
      </c>
      <c r="T411">
        <v>26.31</v>
      </c>
      <c r="U411">
        <v>6018</v>
      </c>
      <c r="V411">
        <v>50.93</v>
      </c>
      <c r="W411">
        <v>7.4320000000000004</v>
      </c>
      <c r="X411">
        <v>0</v>
      </c>
      <c r="Y411">
        <v>9.3550000000000004</v>
      </c>
      <c r="Z411">
        <v>4.0830000000000002</v>
      </c>
      <c r="AA411">
        <v>47.2</v>
      </c>
    </row>
    <row r="412" spans="1:27">
      <c r="A412" t="str">
        <f>VLOOKUP(B412,info!$B$2:$F$49,2,FALSE)</f>
        <v>Hyundai</v>
      </c>
      <c r="B412">
        <v>31</v>
      </c>
      <c r="C412" t="s">
        <v>365</v>
      </c>
      <c r="D412" t="s">
        <v>30</v>
      </c>
      <c r="E412" t="s">
        <v>62</v>
      </c>
      <c r="F412">
        <f>VLOOKUP(B412,info!$B$2:$I$49,8,FALSE)</f>
        <v>9602910</v>
      </c>
      <c r="G412" t="str">
        <f>VLOOKUP(B412,info!$B$2:$I$49,5,FALSE)</f>
        <v>back triangle</v>
      </c>
      <c r="H412">
        <v>93247</v>
      </c>
      <c r="I412">
        <v>33897</v>
      </c>
      <c r="J412">
        <v>18129</v>
      </c>
      <c r="K412">
        <v>229788</v>
      </c>
      <c r="L412">
        <v>465.4</v>
      </c>
      <c r="M412">
        <v>136.6</v>
      </c>
      <c r="N412">
        <v>2014</v>
      </c>
      <c r="O412">
        <v>0</v>
      </c>
      <c r="P412">
        <v>43720</v>
      </c>
      <c r="Q412">
        <v>41059</v>
      </c>
      <c r="R412">
        <v>198.1</v>
      </c>
      <c r="S412">
        <v>28.15</v>
      </c>
      <c r="T412">
        <v>46.31</v>
      </c>
      <c r="U412">
        <v>2773</v>
      </c>
      <c r="V412">
        <v>40.340000000000003</v>
      </c>
      <c r="W412">
        <v>8.5890000000000004</v>
      </c>
      <c r="X412">
        <v>1.986</v>
      </c>
      <c r="Y412">
        <v>4.7229999999999999</v>
      </c>
      <c r="Z412">
        <v>9.2059999999999995</v>
      </c>
      <c r="AA412">
        <v>29.56</v>
      </c>
    </row>
    <row r="413" spans="1:27">
      <c r="A413" t="str">
        <f>VLOOKUP(B413,info!$B$2:$F$49,2,FALSE)</f>
        <v>Hyundai</v>
      </c>
      <c r="B413">
        <v>32</v>
      </c>
      <c r="C413" t="s">
        <v>365</v>
      </c>
      <c r="D413" t="s">
        <v>30</v>
      </c>
      <c r="E413" t="s">
        <v>63</v>
      </c>
      <c r="F413">
        <f>VLOOKUP(B413,info!$B$2:$I$49,8,FALSE)</f>
        <v>9602910</v>
      </c>
      <c r="G413" t="str">
        <f>VLOOKUP(B413,info!$B$2:$I$49,5,FALSE)</f>
        <v>back triangle</v>
      </c>
      <c r="H413">
        <v>80818</v>
      </c>
      <c r="I413">
        <v>30271</v>
      </c>
      <c r="J413">
        <v>16412</v>
      </c>
      <c r="K413">
        <v>210161</v>
      </c>
      <c r="L413">
        <v>461.8</v>
      </c>
      <c r="M413">
        <v>138.4</v>
      </c>
      <c r="N413">
        <v>1899</v>
      </c>
      <c r="O413">
        <v>0</v>
      </c>
      <c r="P413">
        <v>41721</v>
      </c>
      <c r="Q413">
        <v>38024</v>
      </c>
      <c r="R413">
        <v>188.3</v>
      </c>
      <c r="S413">
        <v>24.79</v>
      </c>
      <c r="T413">
        <v>59.48</v>
      </c>
      <c r="U413">
        <v>2708</v>
      </c>
      <c r="V413">
        <v>42.53</v>
      </c>
      <c r="W413">
        <v>11.01</v>
      </c>
      <c r="X413">
        <v>5.5209999999999999</v>
      </c>
      <c r="Y413">
        <v>9.4109999999999996</v>
      </c>
      <c r="Z413">
        <v>9.7949999999999999</v>
      </c>
      <c r="AA413">
        <v>28.45</v>
      </c>
    </row>
    <row r="414" spans="1:27">
      <c r="A414" t="str">
        <f>VLOOKUP(B414,info!$B$2:$F$49,2,FALSE)</f>
        <v>Hyundai</v>
      </c>
      <c r="B414">
        <v>33</v>
      </c>
      <c r="C414" t="s">
        <v>365</v>
      </c>
      <c r="D414" t="s">
        <v>30</v>
      </c>
      <c r="E414" t="s">
        <v>64</v>
      </c>
      <c r="F414">
        <f>VLOOKUP(B414,info!$B$2:$I$49,8,FALSE)</f>
        <v>9602910</v>
      </c>
      <c r="G414" t="str">
        <f>VLOOKUP(B414,info!$B$2:$I$49,5,FALSE)</f>
        <v>back</v>
      </c>
      <c r="H414">
        <v>85147</v>
      </c>
      <c r="I414">
        <v>30382</v>
      </c>
      <c r="J414">
        <v>16010</v>
      </c>
      <c r="K414">
        <v>209066</v>
      </c>
      <c r="L414">
        <v>509.7</v>
      </c>
      <c r="M414">
        <v>155.19999999999999</v>
      </c>
      <c r="N414">
        <v>1571</v>
      </c>
      <c r="O414">
        <v>0</v>
      </c>
      <c r="P414">
        <v>40143</v>
      </c>
      <c r="Q414">
        <v>37731</v>
      </c>
      <c r="R414">
        <v>175</v>
      </c>
      <c r="S414">
        <v>23.03</v>
      </c>
      <c r="T414">
        <v>47.21</v>
      </c>
      <c r="U414">
        <v>2723</v>
      </c>
      <c r="V414">
        <v>33.42</v>
      </c>
      <c r="W414">
        <v>8.875</v>
      </c>
      <c r="X414">
        <v>8.1110000000000007</v>
      </c>
      <c r="Y414">
        <v>6.4290000000000003</v>
      </c>
      <c r="Z414">
        <v>3.2280000000000002</v>
      </c>
      <c r="AA414">
        <v>13.08</v>
      </c>
    </row>
    <row r="415" spans="1:27">
      <c r="A415" t="str">
        <f>VLOOKUP(B415,info!$B$2:$F$49,2,FALSE)</f>
        <v>Hyundai</v>
      </c>
      <c r="B415">
        <v>34</v>
      </c>
      <c r="C415" t="s">
        <v>365</v>
      </c>
      <c r="D415" t="s">
        <v>30</v>
      </c>
      <c r="E415" t="s">
        <v>65</v>
      </c>
      <c r="F415">
        <f>VLOOKUP(B415,info!$B$2:$I$49,8,FALSE)</f>
        <v>9602910</v>
      </c>
      <c r="G415" t="str">
        <f>VLOOKUP(B415,info!$B$2:$I$49,5,FALSE)</f>
        <v>back triangle</v>
      </c>
      <c r="H415">
        <v>90631</v>
      </c>
      <c r="I415">
        <v>33098</v>
      </c>
      <c r="J415">
        <v>17258</v>
      </c>
      <c r="K415">
        <v>221079</v>
      </c>
      <c r="L415">
        <v>497.5</v>
      </c>
      <c r="M415">
        <v>182.2</v>
      </c>
      <c r="N415">
        <v>1673</v>
      </c>
      <c r="O415">
        <v>0</v>
      </c>
      <c r="P415">
        <v>43643</v>
      </c>
      <c r="Q415">
        <v>40321</v>
      </c>
      <c r="R415">
        <v>197.8</v>
      </c>
      <c r="S415">
        <v>23.39</v>
      </c>
      <c r="T415">
        <v>57.09</v>
      </c>
      <c r="U415">
        <v>2817</v>
      </c>
      <c r="V415">
        <v>36.36</v>
      </c>
      <c r="W415">
        <v>8.0570000000000004</v>
      </c>
      <c r="X415">
        <v>0</v>
      </c>
      <c r="Y415">
        <v>3.0990000000000002</v>
      </c>
      <c r="Z415">
        <v>6.5739999999999998</v>
      </c>
      <c r="AA415">
        <v>21.12</v>
      </c>
    </row>
    <row r="416" spans="1:27">
      <c r="A416" t="str">
        <f>VLOOKUP(B416,info!$B$2:$F$49,2,FALSE)</f>
        <v>Hyundai</v>
      </c>
      <c r="B416">
        <v>35</v>
      </c>
      <c r="C416" t="s">
        <v>365</v>
      </c>
      <c r="D416" t="s">
        <v>30</v>
      </c>
      <c r="E416" t="s">
        <v>66</v>
      </c>
      <c r="F416">
        <f>VLOOKUP(B416,info!$B$2:$I$49,8,FALSE)</f>
        <v>5826120</v>
      </c>
      <c r="G416" t="str">
        <f>VLOOKUP(B416,info!$B$2:$I$49,5,FALSE)</f>
        <v>front</v>
      </c>
      <c r="H416">
        <v>89549</v>
      </c>
      <c r="I416">
        <v>32291</v>
      </c>
      <c r="J416">
        <v>16371</v>
      </c>
      <c r="K416">
        <v>221742</v>
      </c>
      <c r="L416">
        <v>660.4</v>
      </c>
      <c r="M416">
        <v>167.2</v>
      </c>
      <c r="N416">
        <v>1382</v>
      </c>
      <c r="O416">
        <v>0</v>
      </c>
      <c r="P416">
        <v>43811</v>
      </c>
      <c r="Q416">
        <v>41195</v>
      </c>
      <c r="R416">
        <v>215.6</v>
      </c>
      <c r="S416">
        <v>24.46</v>
      </c>
      <c r="T416">
        <v>58.84</v>
      </c>
      <c r="U416">
        <v>2776</v>
      </c>
      <c r="V416">
        <v>33.9</v>
      </c>
      <c r="W416">
        <v>9.3559999999999999</v>
      </c>
      <c r="X416">
        <v>6.0819999999999999</v>
      </c>
      <c r="Y416">
        <v>4.7910000000000004</v>
      </c>
      <c r="Z416">
        <v>7.702</v>
      </c>
      <c r="AA416">
        <v>28.55</v>
      </c>
    </row>
    <row r="417" spans="1:27">
      <c r="A417" t="str">
        <f>VLOOKUP(B417,info!$B$2:$F$49,2,FALSE)</f>
        <v>Hyundai</v>
      </c>
      <c r="B417">
        <v>36</v>
      </c>
      <c r="C417" t="s">
        <v>365</v>
      </c>
      <c r="D417" t="s">
        <v>30</v>
      </c>
      <c r="E417" t="s">
        <v>67</v>
      </c>
      <c r="F417">
        <f>VLOOKUP(B417,info!$B$2:$I$49,8,FALSE)</f>
        <v>5826120</v>
      </c>
      <c r="G417" t="str">
        <f>VLOOKUP(B417,info!$B$2:$I$49,5,FALSE)</f>
        <v>back</v>
      </c>
      <c r="H417">
        <v>89574</v>
      </c>
      <c r="I417">
        <v>37602</v>
      </c>
      <c r="J417">
        <v>22665</v>
      </c>
      <c r="K417">
        <v>224646</v>
      </c>
      <c r="L417">
        <v>511.1</v>
      </c>
      <c r="M417">
        <v>16.77</v>
      </c>
      <c r="N417">
        <v>3317</v>
      </c>
      <c r="O417">
        <v>0</v>
      </c>
      <c r="P417">
        <v>39197</v>
      </c>
      <c r="Q417">
        <v>35781</v>
      </c>
      <c r="R417">
        <v>250.6</v>
      </c>
      <c r="S417">
        <v>23.79</v>
      </c>
      <c r="T417">
        <v>140.5</v>
      </c>
      <c r="U417">
        <v>2734</v>
      </c>
      <c r="V417">
        <v>34.33</v>
      </c>
      <c r="W417">
        <v>10.83</v>
      </c>
      <c r="X417">
        <v>0</v>
      </c>
      <c r="Y417">
        <v>10.29</v>
      </c>
      <c r="Z417">
        <v>24.94</v>
      </c>
      <c r="AA417">
        <v>35.119999999999997</v>
      </c>
    </row>
    <row r="418" spans="1:27">
      <c r="A418" t="str">
        <f>VLOOKUP(B418,info!$B$2:$F$49,2,FALSE)</f>
        <v>Ford</v>
      </c>
      <c r="B418">
        <v>37</v>
      </c>
      <c r="C418" t="s">
        <v>365</v>
      </c>
      <c r="D418" t="s">
        <v>30</v>
      </c>
      <c r="E418" t="s">
        <v>68</v>
      </c>
      <c r="F418">
        <f>VLOOKUP(B418,info!$B$2:$I$49,8,FALSE)</f>
        <v>6917835</v>
      </c>
      <c r="G418" t="str">
        <f>VLOOKUP(B418,info!$B$2:$I$49,5,FALSE)</f>
        <v>front</v>
      </c>
      <c r="H418">
        <v>100000</v>
      </c>
      <c r="I418">
        <v>39970</v>
      </c>
      <c r="J418">
        <v>21577</v>
      </c>
      <c r="K418">
        <v>228946</v>
      </c>
      <c r="L418">
        <v>441.1</v>
      </c>
      <c r="M418">
        <v>88.88</v>
      </c>
      <c r="N418">
        <v>1473</v>
      </c>
      <c r="O418">
        <v>0</v>
      </c>
      <c r="P418">
        <v>38315</v>
      </c>
      <c r="Q418">
        <v>36714</v>
      </c>
      <c r="R418">
        <v>189.5</v>
      </c>
      <c r="S418">
        <v>33.520000000000003</v>
      </c>
      <c r="T418">
        <v>25.74</v>
      </c>
      <c r="U418">
        <v>6117</v>
      </c>
      <c r="V418">
        <v>64.650000000000006</v>
      </c>
      <c r="W418">
        <v>8.18</v>
      </c>
      <c r="X418">
        <v>0</v>
      </c>
      <c r="Y418">
        <v>5.6070000000000002</v>
      </c>
      <c r="Z418">
        <v>9.532</v>
      </c>
      <c r="AA418">
        <v>47.56</v>
      </c>
    </row>
    <row r="419" spans="1:27">
      <c r="A419" t="str">
        <f>VLOOKUP(B419,info!$B$2:$F$49,2,FALSE)</f>
        <v>Hyundai</v>
      </c>
      <c r="B419">
        <v>38</v>
      </c>
      <c r="C419" t="s">
        <v>365</v>
      </c>
      <c r="D419" t="s">
        <v>30</v>
      </c>
      <c r="E419" t="s">
        <v>69</v>
      </c>
      <c r="F419">
        <f>VLOOKUP(B419,info!$B$2:$I$49,8,FALSE)</f>
        <v>5826120</v>
      </c>
      <c r="G419" t="str">
        <f>VLOOKUP(B419,info!$B$2:$I$49,5,FALSE)</f>
        <v>back</v>
      </c>
      <c r="H419">
        <v>96107</v>
      </c>
      <c r="I419">
        <v>32978</v>
      </c>
      <c r="J419">
        <v>16484</v>
      </c>
      <c r="K419">
        <v>222397</v>
      </c>
      <c r="L419">
        <v>595.79999999999995</v>
      </c>
      <c r="M419">
        <v>182.1</v>
      </c>
      <c r="N419">
        <v>1337</v>
      </c>
      <c r="O419">
        <v>0</v>
      </c>
      <c r="P419">
        <v>42505</v>
      </c>
      <c r="Q419">
        <v>40969</v>
      </c>
      <c r="R419">
        <v>217.1</v>
      </c>
      <c r="S419">
        <v>25.11</v>
      </c>
      <c r="T419">
        <v>55.92</v>
      </c>
      <c r="U419">
        <v>2713</v>
      </c>
      <c r="V419">
        <v>41.88</v>
      </c>
      <c r="W419">
        <v>3.903</v>
      </c>
      <c r="X419">
        <v>6.2530000000000001</v>
      </c>
      <c r="Y419">
        <v>2.6739999999999999</v>
      </c>
      <c r="Z419">
        <v>5.91</v>
      </c>
      <c r="AA419">
        <v>28.69</v>
      </c>
    </row>
    <row r="420" spans="1:27">
      <c r="A420" t="str">
        <f>VLOOKUP(B420,info!$B$2:$F$49,2,FALSE)</f>
        <v>Renault</v>
      </c>
      <c r="B420">
        <v>39</v>
      </c>
      <c r="C420" t="s">
        <v>365</v>
      </c>
      <c r="D420" t="s">
        <v>30</v>
      </c>
      <c r="E420" t="s">
        <v>70</v>
      </c>
      <c r="F420">
        <f>VLOOKUP(B420,info!$B$2:$I$49,8,FALSE)</f>
        <v>1147816</v>
      </c>
      <c r="G420" t="str">
        <f>VLOOKUP(B420,info!$B$2:$I$49,5,FALSE)</f>
        <v>back triangle</v>
      </c>
      <c r="H420">
        <v>99858</v>
      </c>
      <c r="I420">
        <v>35842</v>
      </c>
      <c r="J420">
        <v>17609</v>
      </c>
      <c r="K420">
        <v>213873</v>
      </c>
      <c r="L420">
        <v>427.9</v>
      </c>
      <c r="M420">
        <v>100.1</v>
      </c>
      <c r="N420">
        <v>580.20000000000005</v>
      </c>
      <c r="O420">
        <v>0</v>
      </c>
      <c r="P420">
        <v>33856</v>
      </c>
      <c r="Q420">
        <v>34149</v>
      </c>
      <c r="R420">
        <v>221.2</v>
      </c>
      <c r="S420">
        <v>35.39</v>
      </c>
      <c r="T420">
        <v>136.1</v>
      </c>
      <c r="U420">
        <v>3399</v>
      </c>
      <c r="V420">
        <v>34.33</v>
      </c>
      <c r="W420">
        <v>4.0049999999999999</v>
      </c>
      <c r="X420">
        <v>0</v>
      </c>
      <c r="Y420">
        <v>11.21</v>
      </c>
      <c r="Z420">
        <v>14.99</v>
      </c>
      <c r="AA420">
        <v>36.49</v>
      </c>
    </row>
    <row r="421" spans="1:27">
      <c r="A421" t="str">
        <f>VLOOKUP(B421,info!$B$2:$F$49,2,FALSE)</f>
        <v>Subaru</v>
      </c>
      <c r="B421">
        <v>40</v>
      </c>
      <c r="C421" t="s">
        <v>365</v>
      </c>
      <c r="D421" t="s">
        <v>30</v>
      </c>
      <c r="E421" t="s">
        <v>71</v>
      </c>
      <c r="F421">
        <f>VLOOKUP(B421,info!$B$2:$I$49,8,FALSE)</f>
        <v>2675308</v>
      </c>
      <c r="G421" t="str">
        <f>VLOOKUP(B421,info!$B$2:$I$49,5,FALSE)</f>
        <v>back</v>
      </c>
      <c r="H421">
        <v>98893</v>
      </c>
      <c r="I421">
        <v>34275</v>
      </c>
      <c r="J421">
        <v>19544</v>
      </c>
      <c r="K421">
        <v>252053</v>
      </c>
      <c r="L421">
        <v>519.20000000000005</v>
      </c>
      <c r="M421">
        <v>107.7</v>
      </c>
      <c r="N421">
        <v>2993</v>
      </c>
      <c r="O421">
        <v>0</v>
      </c>
      <c r="P421">
        <v>42027</v>
      </c>
      <c r="Q421">
        <v>39654</v>
      </c>
      <c r="R421">
        <v>153.6</v>
      </c>
      <c r="S421">
        <v>22.27</v>
      </c>
      <c r="T421">
        <v>38.18</v>
      </c>
      <c r="U421">
        <v>1927</v>
      </c>
      <c r="V421">
        <v>31.16</v>
      </c>
      <c r="W421">
        <v>4.125</v>
      </c>
      <c r="X421">
        <v>0</v>
      </c>
      <c r="Y421">
        <v>7.8659999999999997</v>
      </c>
      <c r="Z421">
        <v>11.09</v>
      </c>
      <c r="AA421">
        <v>29.79</v>
      </c>
    </row>
    <row r="422" spans="1:27">
      <c r="A422" t="str">
        <f>VLOOKUP(B422,info!$B$2:$F$49,2,FALSE)</f>
        <v>Fiat</v>
      </c>
      <c r="B422">
        <v>41</v>
      </c>
      <c r="C422" t="s">
        <v>365</v>
      </c>
      <c r="D422" t="s">
        <v>30</v>
      </c>
      <c r="E422" t="s">
        <v>72</v>
      </c>
      <c r="F422">
        <f>VLOOKUP(B422,info!$B$2:$I$49,8,FALSE)</f>
        <v>5751910</v>
      </c>
      <c r="G422" t="str">
        <f>VLOOKUP(B422,info!$B$2:$I$49,5,FALSE)</f>
        <v>back</v>
      </c>
      <c r="H422">
        <v>107748</v>
      </c>
      <c r="I422">
        <v>39381</v>
      </c>
      <c r="J422">
        <v>19823</v>
      </c>
      <c r="K422">
        <v>244686</v>
      </c>
      <c r="L422">
        <v>497.4</v>
      </c>
      <c r="M422">
        <v>128.4</v>
      </c>
      <c r="N422">
        <v>495</v>
      </c>
      <c r="O422">
        <v>0</v>
      </c>
      <c r="P422">
        <v>38282</v>
      </c>
      <c r="Q422">
        <v>39357</v>
      </c>
      <c r="R422">
        <v>146.6</v>
      </c>
      <c r="S422">
        <v>27.86</v>
      </c>
      <c r="T422">
        <v>97.96</v>
      </c>
      <c r="U422">
        <v>4920</v>
      </c>
      <c r="V422">
        <v>54.39</v>
      </c>
      <c r="W422">
        <v>6.9669999999999996</v>
      </c>
      <c r="X422">
        <v>0</v>
      </c>
      <c r="Y422">
        <v>14.58</v>
      </c>
      <c r="Z422">
        <v>12.41</v>
      </c>
      <c r="AA422">
        <v>28.86</v>
      </c>
    </row>
    <row r="423" spans="1:27">
      <c r="A423" t="str">
        <f>VLOOKUP(B423,info!$B$2:$F$49,2,FALSE)</f>
        <v>Renault</v>
      </c>
      <c r="B423">
        <v>42</v>
      </c>
      <c r="C423" t="s">
        <v>365</v>
      </c>
      <c r="D423" t="s">
        <v>30</v>
      </c>
      <c r="E423" t="s">
        <v>73</v>
      </c>
      <c r="F423">
        <f>VLOOKUP(B423,info!$B$2:$I$49,8,FALSE)</f>
        <v>1147816</v>
      </c>
      <c r="G423" t="str">
        <f>VLOOKUP(B423,info!$B$2:$I$49,5,FALSE)</f>
        <v>back</v>
      </c>
      <c r="H423">
        <v>81290</v>
      </c>
      <c r="I423">
        <v>33847</v>
      </c>
      <c r="J423">
        <v>22842</v>
      </c>
      <c r="K423">
        <v>202707</v>
      </c>
      <c r="L423">
        <v>385.8</v>
      </c>
      <c r="M423">
        <v>95.3</v>
      </c>
      <c r="N423">
        <v>3898</v>
      </c>
      <c r="O423">
        <v>0</v>
      </c>
      <c r="P423">
        <v>37627</v>
      </c>
      <c r="Q423">
        <v>33180</v>
      </c>
      <c r="R423">
        <v>183</v>
      </c>
      <c r="S423">
        <v>38.630000000000003</v>
      </c>
      <c r="T423">
        <v>39.090000000000003</v>
      </c>
      <c r="U423">
        <v>4494</v>
      </c>
      <c r="V423">
        <v>41.48</v>
      </c>
      <c r="W423">
        <v>6.51</v>
      </c>
      <c r="X423">
        <v>0</v>
      </c>
      <c r="Y423">
        <v>3.9510000000000001</v>
      </c>
      <c r="Z423">
        <v>0</v>
      </c>
      <c r="AA423">
        <v>9.3390000000000004</v>
      </c>
    </row>
    <row r="424" spans="1:27">
      <c r="A424" t="str">
        <f>VLOOKUP(B424,info!$B$2:$F$49,2,FALSE)</f>
        <v>Fiat</v>
      </c>
      <c r="B424">
        <v>43</v>
      </c>
      <c r="C424" t="s">
        <v>365</v>
      </c>
      <c r="D424" t="s">
        <v>30</v>
      </c>
      <c r="E424" t="s">
        <v>74</v>
      </c>
      <c r="F424">
        <f>VLOOKUP(B424,info!$B$2:$I$49,8,FALSE)</f>
        <v>5751910</v>
      </c>
      <c r="G424" t="str">
        <f>VLOOKUP(B424,info!$B$2:$I$49,5,FALSE)</f>
        <v>front</v>
      </c>
      <c r="H424">
        <v>97787</v>
      </c>
      <c r="I424">
        <v>35564</v>
      </c>
      <c r="J424">
        <v>16293</v>
      </c>
      <c r="K424">
        <v>226477</v>
      </c>
      <c r="L424">
        <v>489.2</v>
      </c>
      <c r="M424">
        <v>130.6</v>
      </c>
      <c r="N424">
        <v>499.8</v>
      </c>
      <c r="O424">
        <v>0</v>
      </c>
      <c r="P424">
        <v>38232</v>
      </c>
      <c r="Q424">
        <v>36855</v>
      </c>
      <c r="R424">
        <v>151.4</v>
      </c>
      <c r="S424">
        <v>43.98</v>
      </c>
      <c r="T424">
        <v>99.11</v>
      </c>
      <c r="U424">
        <v>4871</v>
      </c>
      <c r="V424">
        <v>47.52</v>
      </c>
      <c r="W424">
        <v>8.8230000000000004</v>
      </c>
      <c r="X424">
        <v>0</v>
      </c>
      <c r="Y424">
        <v>11.16</v>
      </c>
      <c r="Z424">
        <v>2.6850000000000001</v>
      </c>
      <c r="AA424">
        <v>24.27</v>
      </c>
    </row>
    <row r="425" spans="1:27">
      <c r="A425" t="str">
        <f>VLOOKUP(B425,info!$B$2:$F$49,2,FALSE)</f>
        <v>Hyundai</v>
      </c>
      <c r="B425">
        <v>44</v>
      </c>
      <c r="C425" t="s">
        <v>365</v>
      </c>
      <c r="D425" t="s">
        <v>30</v>
      </c>
      <c r="E425" t="s">
        <v>75</v>
      </c>
      <c r="F425">
        <f>VLOOKUP(B425,info!$B$2:$I$49,8,FALSE)</f>
        <v>9602910</v>
      </c>
      <c r="G425" t="str">
        <f>VLOOKUP(B425,info!$B$2:$I$49,5,FALSE)</f>
        <v>front</v>
      </c>
      <c r="H425">
        <v>94363</v>
      </c>
      <c r="I425">
        <v>33794</v>
      </c>
      <c r="J425">
        <v>17513</v>
      </c>
      <c r="K425">
        <v>233334</v>
      </c>
      <c r="L425">
        <v>570.6</v>
      </c>
      <c r="M425">
        <v>167.8</v>
      </c>
      <c r="N425">
        <v>1732</v>
      </c>
      <c r="O425">
        <v>0</v>
      </c>
      <c r="P425">
        <v>44921</v>
      </c>
      <c r="Q425">
        <v>42059</v>
      </c>
      <c r="R425">
        <v>201.9</v>
      </c>
      <c r="S425">
        <v>32.270000000000003</v>
      </c>
      <c r="T425">
        <v>53.46</v>
      </c>
      <c r="U425">
        <v>2797</v>
      </c>
      <c r="V425">
        <v>41.8</v>
      </c>
      <c r="W425">
        <v>10</v>
      </c>
      <c r="X425">
        <v>6.1539999999999999</v>
      </c>
      <c r="Y425">
        <v>5.1280000000000001</v>
      </c>
      <c r="Z425">
        <v>7.9989999999999997</v>
      </c>
      <c r="AA425">
        <v>33.08</v>
      </c>
    </row>
    <row r="426" spans="1:27">
      <c r="A426" t="str">
        <f>VLOOKUP(B426,info!$B$2:$F$49,2,FALSE)</f>
        <v>Subaru</v>
      </c>
      <c r="B426">
        <v>45</v>
      </c>
      <c r="C426" t="s">
        <v>365</v>
      </c>
      <c r="D426" t="s">
        <v>30</v>
      </c>
      <c r="E426" t="s">
        <v>76</v>
      </c>
      <c r="F426">
        <f>VLOOKUP(B426,info!$B$2:$I$49,8,FALSE)</f>
        <v>2675308</v>
      </c>
      <c r="G426" t="str">
        <f>VLOOKUP(B426,info!$B$2:$I$49,5,FALSE)</f>
        <v>back</v>
      </c>
      <c r="H426">
        <v>87134</v>
      </c>
      <c r="I426">
        <v>31304</v>
      </c>
      <c r="J426">
        <v>18302</v>
      </c>
      <c r="K426">
        <v>228369</v>
      </c>
      <c r="L426">
        <v>493.6</v>
      </c>
      <c r="M426">
        <v>123.3</v>
      </c>
      <c r="N426">
        <v>2881</v>
      </c>
      <c r="O426">
        <v>0</v>
      </c>
      <c r="P426">
        <v>40737</v>
      </c>
      <c r="Q426">
        <v>37510</v>
      </c>
      <c r="R426">
        <v>140.4</v>
      </c>
      <c r="S426">
        <v>25.34</v>
      </c>
      <c r="T426">
        <v>43.79</v>
      </c>
      <c r="U426">
        <v>2048</v>
      </c>
      <c r="V426">
        <v>35.46</v>
      </c>
      <c r="W426">
        <v>6.3460000000000001</v>
      </c>
      <c r="X426">
        <v>7.4240000000000004</v>
      </c>
      <c r="Y426">
        <v>8.4619999999999997</v>
      </c>
      <c r="Z426">
        <v>13.3</v>
      </c>
      <c r="AA426">
        <v>37.4</v>
      </c>
    </row>
    <row r="427" spans="1:27">
      <c r="A427" t="str">
        <f>VLOOKUP(B427,info!$B$2:$F$49,2,FALSE)</f>
        <v>Mazda</v>
      </c>
      <c r="B427">
        <v>1</v>
      </c>
      <c r="C427" t="s">
        <v>365</v>
      </c>
      <c r="D427" t="s">
        <v>77</v>
      </c>
      <c r="E427" t="s">
        <v>78</v>
      </c>
      <c r="F427">
        <f>VLOOKUP(B427,info!$B$2:$I$49,8,FALSE)</f>
        <v>3550828</v>
      </c>
      <c r="G427" t="str">
        <f>VLOOKUP(B427,info!$B$2:$I$49,5,FALSE)</f>
        <v>front</v>
      </c>
      <c r="H427">
        <v>111463</v>
      </c>
      <c r="I427">
        <v>47838</v>
      </c>
      <c r="J427">
        <v>30012</v>
      </c>
      <c r="K427">
        <v>282115</v>
      </c>
      <c r="L427">
        <v>400</v>
      </c>
      <c r="M427">
        <v>76.260000000000005</v>
      </c>
      <c r="N427">
        <v>3653</v>
      </c>
      <c r="O427">
        <v>0</v>
      </c>
      <c r="P427">
        <v>40873</v>
      </c>
      <c r="Q427">
        <v>36244</v>
      </c>
      <c r="R427">
        <v>168.3</v>
      </c>
      <c r="S427">
        <v>334.1</v>
      </c>
      <c r="T427">
        <v>58.72</v>
      </c>
      <c r="U427">
        <v>3775</v>
      </c>
      <c r="V427">
        <v>57.03</v>
      </c>
      <c r="W427">
        <v>4.5469999999999997</v>
      </c>
      <c r="X427">
        <v>0</v>
      </c>
      <c r="Y427">
        <v>26.77</v>
      </c>
      <c r="Z427">
        <v>12.43</v>
      </c>
      <c r="AA427">
        <v>19.05</v>
      </c>
    </row>
    <row r="428" spans="1:27">
      <c r="A428" t="str">
        <f>VLOOKUP(B428,info!$B$2:$F$49,2,FALSE)</f>
        <v>Mazda</v>
      </c>
      <c r="B428">
        <v>2</v>
      </c>
      <c r="C428" t="s">
        <v>365</v>
      </c>
      <c r="D428" t="s">
        <v>77</v>
      </c>
      <c r="E428" t="s">
        <v>79</v>
      </c>
      <c r="F428">
        <f>VLOOKUP(B428,info!$B$2:$I$49,8,FALSE)</f>
        <v>3550828</v>
      </c>
      <c r="G428" t="str">
        <f>VLOOKUP(B428,info!$B$2:$I$49,5,FALSE)</f>
        <v>back</v>
      </c>
      <c r="H428">
        <v>95465</v>
      </c>
      <c r="I428">
        <v>41799</v>
      </c>
      <c r="J428">
        <v>27409</v>
      </c>
      <c r="K428">
        <v>253948</v>
      </c>
      <c r="L428">
        <v>276</v>
      </c>
      <c r="M428">
        <v>87.08</v>
      </c>
      <c r="N428">
        <v>3023</v>
      </c>
      <c r="O428">
        <v>0</v>
      </c>
      <c r="P428">
        <v>41806</v>
      </c>
      <c r="Q428">
        <v>35932</v>
      </c>
      <c r="R428">
        <v>132.1</v>
      </c>
      <c r="S428">
        <v>398</v>
      </c>
      <c r="T428">
        <v>75.430000000000007</v>
      </c>
      <c r="U428">
        <v>4177</v>
      </c>
      <c r="V428">
        <v>54.47</v>
      </c>
      <c r="W428">
        <v>6.6120000000000001</v>
      </c>
      <c r="X428">
        <v>0</v>
      </c>
      <c r="Y428">
        <v>32.82</v>
      </c>
      <c r="Z428">
        <v>35.47</v>
      </c>
      <c r="AA428">
        <v>27.09</v>
      </c>
    </row>
    <row r="429" spans="1:27">
      <c r="A429" t="str">
        <f>VLOOKUP(B429,info!$B$2:$F$49,2,FALSE)</f>
        <v>Mazda</v>
      </c>
      <c r="B429">
        <v>2</v>
      </c>
      <c r="C429" t="s">
        <v>365</v>
      </c>
      <c r="D429" t="s">
        <v>77</v>
      </c>
      <c r="E429" t="s">
        <v>80</v>
      </c>
      <c r="F429">
        <f>VLOOKUP(B429,info!$B$2:$I$49,8,FALSE)</f>
        <v>3550828</v>
      </c>
      <c r="G429" t="str">
        <f>VLOOKUP(B429,info!$B$2:$I$49,5,FALSE)</f>
        <v>back</v>
      </c>
      <c r="H429">
        <v>100002</v>
      </c>
      <c r="I429">
        <v>45609</v>
      </c>
      <c r="J429">
        <v>38819</v>
      </c>
      <c r="K429">
        <v>266154</v>
      </c>
      <c r="L429">
        <v>371.8</v>
      </c>
      <c r="M429">
        <v>87.55</v>
      </c>
      <c r="N429">
        <v>3088</v>
      </c>
      <c r="O429">
        <v>0</v>
      </c>
      <c r="P429">
        <v>42500</v>
      </c>
      <c r="Q429">
        <v>37186</v>
      </c>
      <c r="R429">
        <v>140.1</v>
      </c>
      <c r="S429">
        <v>383.4</v>
      </c>
      <c r="T429">
        <v>90.63</v>
      </c>
      <c r="U429">
        <v>4145</v>
      </c>
      <c r="V429">
        <v>60.14</v>
      </c>
      <c r="W429">
        <v>7.2069999999999999</v>
      </c>
      <c r="X429">
        <v>0</v>
      </c>
      <c r="Y429">
        <v>38.71</v>
      </c>
      <c r="Z429">
        <v>43.29</v>
      </c>
      <c r="AA429">
        <v>20.85</v>
      </c>
    </row>
    <row r="430" spans="1:27">
      <c r="A430" t="str">
        <f>VLOOKUP(B430,info!$B$2:$F$49,2,FALSE)</f>
        <v>Mazda</v>
      </c>
      <c r="B430">
        <v>3</v>
      </c>
      <c r="C430" t="s">
        <v>365</v>
      </c>
      <c r="D430" t="s">
        <v>77</v>
      </c>
      <c r="E430" t="s">
        <v>81</v>
      </c>
      <c r="F430">
        <f>VLOOKUP(B430,info!$B$2:$I$49,8,FALSE)</f>
        <v>3550828</v>
      </c>
      <c r="G430" t="str">
        <f>VLOOKUP(B430,info!$B$2:$I$49,5,FALSE)</f>
        <v>back</v>
      </c>
      <c r="H430">
        <v>101591</v>
      </c>
      <c r="I430">
        <v>42359</v>
      </c>
      <c r="J430">
        <v>25367</v>
      </c>
      <c r="K430">
        <v>253802</v>
      </c>
      <c r="L430">
        <v>431.7</v>
      </c>
      <c r="M430">
        <v>103.8</v>
      </c>
      <c r="N430">
        <v>3044</v>
      </c>
      <c r="O430">
        <v>0</v>
      </c>
      <c r="P430">
        <v>41585</v>
      </c>
      <c r="Q430">
        <v>36857</v>
      </c>
      <c r="R430">
        <v>136.4</v>
      </c>
      <c r="S430">
        <v>326.10000000000002</v>
      </c>
      <c r="T430">
        <v>86.51</v>
      </c>
      <c r="U430">
        <v>3858</v>
      </c>
      <c r="V430">
        <v>48.15</v>
      </c>
      <c r="W430">
        <v>9.7949999999999999</v>
      </c>
      <c r="X430">
        <v>0</v>
      </c>
      <c r="Y430">
        <v>35.6</v>
      </c>
      <c r="Z430">
        <v>13.81</v>
      </c>
      <c r="AA430">
        <v>28.44</v>
      </c>
    </row>
    <row r="431" spans="1:27">
      <c r="A431" t="str">
        <f>VLOOKUP(B431,info!$B$2:$F$49,2,FALSE)</f>
        <v>Mazda</v>
      </c>
      <c r="B431">
        <v>3</v>
      </c>
      <c r="C431" t="s">
        <v>365</v>
      </c>
      <c r="D431" t="s">
        <v>77</v>
      </c>
      <c r="E431" t="s">
        <v>82</v>
      </c>
      <c r="F431">
        <f>VLOOKUP(B431,info!$B$2:$I$49,8,FALSE)</f>
        <v>3550828</v>
      </c>
      <c r="G431" t="str">
        <f>VLOOKUP(B431,info!$B$2:$I$49,5,FALSE)</f>
        <v>back</v>
      </c>
      <c r="H431">
        <v>97563</v>
      </c>
      <c r="I431">
        <v>42182</v>
      </c>
      <c r="J431">
        <v>25422</v>
      </c>
      <c r="K431">
        <v>254554</v>
      </c>
      <c r="L431">
        <v>321.60000000000002</v>
      </c>
      <c r="M431">
        <v>67.52</v>
      </c>
      <c r="N431">
        <v>3528</v>
      </c>
      <c r="O431">
        <v>0</v>
      </c>
      <c r="P431">
        <v>41607</v>
      </c>
      <c r="Q431">
        <v>37223</v>
      </c>
      <c r="R431">
        <v>164.4</v>
      </c>
      <c r="S431">
        <v>178.1</v>
      </c>
      <c r="T431">
        <v>72.849999999999994</v>
      </c>
      <c r="U431">
        <v>3573</v>
      </c>
      <c r="V431">
        <v>43.21</v>
      </c>
      <c r="W431">
        <v>8.5530000000000008</v>
      </c>
      <c r="X431">
        <v>4.5110000000000001</v>
      </c>
      <c r="Y431">
        <v>33.840000000000003</v>
      </c>
      <c r="Z431">
        <v>19.63</v>
      </c>
      <c r="AA431">
        <v>12.88</v>
      </c>
    </row>
    <row r="432" spans="1:27">
      <c r="A432" t="str">
        <f>VLOOKUP(B432,info!$B$2:$F$49,2,FALSE)</f>
        <v>Peugeot</v>
      </c>
      <c r="B432">
        <v>4</v>
      </c>
      <c r="C432" t="s">
        <v>365</v>
      </c>
      <c r="D432" t="s">
        <v>77</v>
      </c>
      <c r="E432" t="s">
        <v>83</v>
      </c>
      <c r="F432">
        <f>VLOOKUP(B432,info!$B$2:$I$49,8,FALSE)</f>
        <v>9367324</v>
      </c>
      <c r="G432" t="str">
        <f>VLOOKUP(B432,info!$B$2:$I$49,5,FALSE)</f>
        <v>front</v>
      </c>
      <c r="H432">
        <v>110945</v>
      </c>
      <c r="I432">
        <v>41665</v>
      </c>
      <c r="J432">
        <v>22057</v>
      </c>
      <c r="K432">
        <v>256858</v>
      </c>
      <c r="L432">
        <v>379.6</v>
      </c>
      <c r="M432">
        <v>100.9</v>
      </c>
      <c r="N432">
        <v>494.1</v>
      </c>
      <c r="O432">
        <v>0</v>
      </c>
      <c r="P432">
        <v>40135</v>
      </c>
      <c r="Q432">
        <v>39001</v>
      </c>
      <c r="R432">
        <v>140.30000000000001</v>
      </c>
      <c r="S432">
        <v>145.30000000000001</v>
      </c>
      <c r="T432">
        <v>108.3</v>
      </c>
      <c r="U432">
        <v>5739</v>
      </c>
      <c r="V432">
        <v>56.6</v>
      </c>
      <c r="W432">
        <v>3.4990000000000001</v>
      </c>
      <c r="X432">
        <v>2.6320000000000001</v>
      </c>
      <c r="Y432">
        <v>43.48</v>
      </c>
      <c r="Z432">
        <v>48.49</v>
      </c>
      <c r="AA432">
        <v>54.89</v>
      </c>
    </row>
    <row r="433" spans="1:27">
      <c r="A433" t="str">
        <f>VLOOKUP(B433,info!$B$2:$F$49,2,FALSE)</f>
        <v>Peugeot</v>
      </c>
      <c r="B433">
        <v>5</v>
      </c>
      <c r="C433" t="s">
        <v>365</v>
      </c>
      <c r="D433" t="s">
        <v>77</v>
      </c>
      <c r="E433" t="s">
        <v>84</v>
      </c>
      <c r="F433">
        <f>VLOOKUP(B433,info!$B$2:$I$49,8,FALSE)</f>
        <v>9367324</v>
      </c>
      <c r="G433" t="str">
        <f>VLOOKUP(B433,info!$B$2:$I$49,5,FALSE)</f>
        <v>front</v>
      </c>
      <c r="H433">
        <v>104764</v>
      </c>
      <c r="I433">
        <v>39654</v>
      </c>
      <c r="J433">
        <v>18508</v>
      </c>
      <c r="K433">
        <v>257980</v>
      </c>
      <c r="L433">
        <v>371.9</v>
      </c>
      <c r="M433">
        <v>24.84</v>
      </c>
      <c r="N433">
        <v>349.7</v>
      </c>
      <c r="O433">
        <v>0</v>
      </c>
      <c r="P433">
        <v>39782</v>
      </c>
      <c r="Q433">
        <v>40752</v>
      </c>
      <c r="R433">
        <v>48.01</v>
      </c>
      <c r="S433">
        <v>260.3</v>
      </c>
      <c r="T433">
        <v>114</v>
      </c>
      <c r="U433">
        <v>5959</v>
      </c>
      <c r="V433">
        <v>68.47</v>
      </c>
      <c r="W433">
        <v>1.1279999999999999</v>
      </c>
      <c r="X433">
        <v>3.3809999999999998</v>
      </c>
      <c r="Y433">
        <v>21.43</v>
      </c>
      <c r="Z433">
        <v>18</v>
      </c>
      <c r="AA433">
        <v>10.09</v>
      </c>
    </row>
    <row r="434" spans="1:27">
      <c r="A434" t="str">
        <f>VLOOKUP(B434,info!$B$2:$F$49,2,FALSE)</f>
        <v>Peugeot</v>
      </c>
      <c r="B434">
        <v>5</v>
      </c>
      <c r="C434" t="s">
        <v>365</v>
      </c>
      <c r="D434" t="s">
        <v>77</v>
      </c>
      <c r="E434" t="s">
        <v>85</v>
      </c>
      <c r="F434">
        <f>VLOOKUP(B434,info!$B$2:$I$49,8,FALSE)</f>
        <v>9367324</v>
      </c>
      <c r="G434" t="str">
        <f>VLOOKUP(B434,info!$B$2:$I$49,5,FALSE)</f>
        <v>front</v>
      </c>
      <c r="H434">
        <v>102384</v>
      </c>
      <c r="I434">
        <v>39680</v>
      </c>
      <c r="J434">
        <v>18926</v>
      </c>
      <c r="K434">
        <v>254797</v>
      </c>
      <c r="L434">
        <v>324.3</v>
      </c>
      <c r="M434">
        <v>38.83</v>
      </c>
      <c r="N434">
        <v>352</v>
      </c>
      <c r="O434">
        <v>0</v>
      </c>
      <c r="P434">
        <v>39394</v>
      </c>
      <c r="Q434">
        <v>40588</v>
      </c>
      <c r="R434">
        <v>44.38</v>
      </c>
      <c r="S434">
        <v>323.7</v>
      </c>
      <c r="T434">
        <v>114.8</v>
      </c>
      <c r="U434">
        <v>6194</v>
      </c>
      <c r="V434">
        <v>71.38</v>
      </c>
      <c r="W434">
        <v>3.141</v>
      </c>
      <c r="X434">
        <v>0</v>
      </c>
      <c r="Y434">
        <v>18.03</v>
      </c>
      <c r="Z434">
        <v>14.44</v>
      </c>
      <c r="AA434">
        <v>10.77</v>
      </c>
    </row>
    <row r="435" spans="1:27">
      <c r="A435" t="str">
        <f>VLOOKUP(B435,info!$B$2:$F$49,2,FALSE)</f>
        <v>Mazda</v>
      </c>
      <c r="B435">
        <v>6</v>
      </c>
      <c r="C435" t="s">
        <v>365</v>
      </c>
      <c r="D435" t="s">
        <v>77</v>
      </c>
      <c r="E435" t="s">
        <v>86</v>
      </c>
      <c r="F435">
        <f>VLOOKUP(B435,info!$B$2:$I$49,8,FALSE)</f>
        <v>3550828</v>
      </c>
      <c r="G435" t="str">
        <f>VLOOKUP(B435,info!$B$2:$I$49,5,FALSE)</f>
        <v>front</v>
      </c>
      <c r="H435">
        <v>88465</v>
      </c>
      <c r="I435">
        <v>40659</v>
      </c>
      <c r="J435">
        <v>27741</v>
      </c>
      <c r="K435">
        <v>248921</v>
      </c>
      <c r="L435">
        <v>259.60000000000002</v>
      </c>
      <c r="M435">
        <v>32.409999999999997</v>
      </c>
      <c r="N435">
        <v>3590</v>
      </c>
      <c r="O435">
        <v>0</v>
      </c>
      <c r="P435">
        <v>40509</v>
      </c>
      <c r="Q435">
        <v>35553</v>
      </c>
      <c r="R435">
        <v>171.1</v>
      </c>
      <c r="S435">
        <v>329.7</v>
      </c>
      <c r="T435">
        <v>81</v>
      </c>
      <c r="U435">
        <v>4099</v>
      </c>
      <c r="V435">
        <v>55.5</v>
      </c>
      <c r="W435">
        <v>2.649</v>
      </c>
      <c r="X435">
        <v>0</v>
      </c>
      <c r="Y435">
        <v>29.81</v>
      </c>
      <c r="Z435">
        <v>23.82</v>
      </c>
      <c r="AA435">
        <v>27.17</v>
      </c>
    </row>
    <row r="436" spans="1:27">
      <c r="A436" t="str">
        <f>VLOOKUP(B436,info!$B$2:$F$49,2,FALSE)</f>
        <v>Mazda</v>
      </c>
      <c r="B436">
        <v>6</v>
      </c>
      <c r="C436" t="s">
        <v>365</v>
      </c>
      <c r="D436" t="s">
        <v>77</v>
      </c>
      <c r="E436" t="s">
        <v>87</v>
      </c>
      <c r="F436">
        <f>VLOOKUP(B436,info!$B$2:$I$49,8,FALSE)</f>
        <v>3550828</v>
      </c>
      <c r="G436" t="str">
        <f>VLOOKUP(B436,info!$B$2:$I$49,5,FALSE)</f>
        <v>front</v>
      </c>
      <c r="H436">
        <v>89470</v>
      </c>
      <c r="I436">
        <v>40265</v>
      </c>
      <c r="J436">
        <v>25182</v>
      </c>
      <c r="K436">
        <v>240384</v>
      </c>
      <c r="L436">
        <v>284.10000000000002</v>
      </c>
      <c r="M436">
        <v>51.18</v>
      </c>
      <c r="N436">
        <v>3625</v>
      </c>
      <c r="O436">
        <v>0</v>
      </c>
      <c r="P436">
        <v>41001</v>
      </c>
      <c r="Q436">
        <v>35603</v>
      </c>
      <c r="R436">
        <v>172.1</v>
      </c>
      <c r="S436">
        <v>311.7</v>
      </c>
      <c r="T436">
        <v>70.599999999999994</v>
      </c>
      <c r="U436">
        <v>4062</v>
      </c>
      <c r="V436">
        <v>49.3</v>
      </c>
      <c r="W436">
        <v>1.901</v>
      </c>
      <c r="X436">
        <v>0</v>
      </c>
      <c r="Y436">
        <v>30.06</v>
      </c>
      <c r="Z436">
        <v>34.520000000000003</v>
      </c>
      <c r="AA436">
        <v>17.53</v>
      </c>
    </row>
    <row r="437" spans="1:27">
      <c r="A437" t="str">
        <f>VLOOKUP(B437,info!$B$2:$F$49,2,FALSE)</f>
        <v>Hyundai</v>
      </c>
      <c r="B437">
        <v>7</v>
      </c>
      <c r="C437" t="s">
        <v>365</v>
      </c>
      <c r="D437" t="s">
        <v>77</v>
      </c>
      <c r="E437" t="s">
        <v>359</v>
      </c>
      <c r="F437">
        <f>VLOOKUP(B437,info!$B$2:$I$49,8,FALSE)</f>
        <v>9540217</v>
      </c>
      <c r="G437" t="str">
        <f>VLOOKUP(B437,info!$B$2:$I$49,5,FALSE)</f>
        <v>back</v>
      </c>
      <c r="H437">
        <v>98552</v>
      </c>
      <c r="I437">
        <v>39545</v>
      </c>
      <c r="J437">
        <v>20778</v>
      </c>
      <c r="K437">
        <v>253157</v>
      </c>
      <c r="L437">
        <v>517.79999999999995</v>
      </c>
      <c r="M437">
        <v>73.84</v>
      </c>
      <c r="N437">
        <v>1888</v>
      </c>
      <c r="O437">
        <v>0</v>
      </c>
      <c r="P437">
        <v>47084</v>
      </c>
      <c r="Q437">
        <v>42771</v>
      </c>
      <c r="R437">
        <v>210.8</v>
      </c>
      <c r="S437">
        <v>244.5</v>
      </c>
      <c r="T437">
        <v>85.88</v>
      </c>
      <c r="U437">
        <v>3657</v>
      </c>
      <c r="V437">
        <v>56.16</v>
      </c>
      <c r="W437">
        <v>6.484</v>
      </c>
      <c r="X437">
        <v>0</v>
      </c>
      <c r="Y437">
        <v>22.56</v>
      </c>
      <c r="Z437">
        <v>26.11</v>
      </c>
      <c r="AA437">
        <v>17.22</v>
      </c>
    </row>
    <row r="438" spans="1:27">
      <c r="A438" t="str">
        <f>VLOOKUP(B438,info!$B$2:$F$49,2,FALSE)</f>
        <v>Honda</v>
      </c>
      <c r="B438">
        <v>8</v>
      </c>
      <c r="C438" t="s">
        <v>365</v>
      </c>
      <c r="D438" t="s">
        <v>77</v>
      </c>
      <c r="E438" t="s">
        <v>88</v>
      </c>
      <c r="F438">
        <f>VLOOKUP(B438,info!$B$2:$I$49,8,FALSE)</f>
        <v>8096906</v>
      </c>
      <c r="G438" t="str">
        <f>VLOOKUP(B438,info!$B$2:$I$49,5,FALSE)</f>
        <v>front</v>
      </c>
      <c r="H438">
        <v>98851</v>
      </c>
      <c r="I438">
        <v>37175</v>
      </c>
      <c r="J438">
        <v>13109</v>
      </c>
      <c r="K438">
        <v>260952</v>
      </c>
      <c r="L438">
        <v>404.9</v>
      </c>
      <c r="M438">
        <v>93.84</v>
      </c>
      <c r="N438">
        <v>207.7</v>
      </c>
      <c r="O438">
        <v>0</v>
      </c>
      <c r="P438">
        <v>39745</v>
      </c>
      <c r="Q438">
        <v>39707</v>
      </c>
      <c r="R438">
        <v>46.97</v>
      </c>
      <c r="S438">
        <v>123.3</v>
      </c>
      <c r="T438">
        <v>25.02</v>
      </c>
      <c r="U438">
        <v>3199</v>
      </c>
      <c r="V438">
        <v>35.82</v>
      </c>
      <c r="W438">
        <v>1.081</v>
      </c>
      <c r="X438">
        <v>0</v>
      </c>
      <c r="Y438">
        <v>22.36</v>
      </c>
      <c r="Z438">
        <v>14.81</v>
      </c>
      <c r="AA438">
        <v>17.84</v>
      </c>
    </row>
    <row r="439" spans="1:27">
      <c r="A439" t="str">
        <f>VLOOKUP(B439,info!$B$2:$F$49,2,FALSE)</f>
        <v>Honda</v>
      </c>
      <c r="B439">
        <v>8</v>
      </c>
      <c r="C439" t="s">
        <v>365</v>
      </c>
      <c r="D439" t="s">
        <v>77</v>
      </c>
      <c r="E439" t="s">
        <v>89</v>
      </c>
      <c r="F439">
        <f>VLOOKUP(B439,info!$B$2:$I$49,8,FALSE)</f>
        <v>8096906</v>
      </c>
      <c r="G439" t="str">
        <f>VLOOKUP(B439,info!$B$2:$I$49,5,FALSE)</f>
        <v>front</v>
      </c>
      <c r="H439">
        <v>94867</v>
      </c>
      <c r="I439">
        <v>34692</v>
      </c>
      <c r="J439">
        <v>13435</v>
      </c>
      <c r="K439">
        <v>245717</v>
      </c>
      <c r="L439">
        <v>425.7</v>
      </c>
      <c r="M439">
        <v>154.6</v>
      </c>
      <c r="N439">
        <v>0</v>
      </c>
      <c r="O439">
        <v>0</v>
      </c>
      <c r="P439">
        <v>39266</v>
      </c>
      <c r="Q439">
        <v>35898</v>
      </c>
      <c r="R439">
        <v>9.5640000000000001</v>
      </c>
      <c r="S439">
        <v>102.9</v>
      </c>
      <c r="T439">
        <v>21.72</v>
      </c>
      <c r="U439">
        <v>3040</v>
      </c>
      <c r="V439">
        <v>35.049999999999997</v>
      </c>
      <c r="W439">
        <v>4.827</v>
      </c>
      <c r="X439">
        <v>0</v>
      </c>
      <c r="Y439">
        <v>21.18</v>
      </c>
      <c r="Z439">
        <v>19.11</v>
      </c>
      <c r="AA439">
        <v>3.0830000000000002</v>
      </c>
    </row>
    <row r="440" spans="1:27">
      <c r="A440" t="str">
        <f>VLOOKUP(B440,info!$B$2:$F$49,2,FALSE)</f>
        <v>Honda</v>
      </c>
      <c r="B440">
        <v>9</v>
      </c>
      <c r="C440" t="s">
        <v>365</v>
      </c>
      <c r="D440" t="s">
        <v>77</v>
      </c>
      <c r="E440" t="s">
        <v>90</v>
      </c>
      <c r="F440">
        <f>VLOOKUP(B440,info!$B$2:$I$49,8,FALSE)</f>
        <v>8096906</v>
      </c>
      <c r="G440" t="str">
        <f>VLOOKUP(B440,info!$B$2:$I$49,5,FALSE)</f>
        <v>back</v>
      </c>
      <c r="H440">
        <v>95555</v>
      </c>
      <c r="I440">
        <v>39497</v>
      </c>
      <c r="J440">
        <v>17868</v>
      </c>
      <c r="K440">
        <v>271011</v>
      </c>
      <c r="L440">
        <v>385.9</v>
      </c>
      <c r="M440">
        <v>92.78</v>
      </c>
      <c r="N440">
        <v>216.2</v>
      </c>
      <c r="O440">
        <v>0</v>
      </c>
      <c r="P440">
        <v>40002</v>
      </c>
      <c r="Q440">
        <v>40302</v>
      </c>
      <c r="R440">
        <v>47.5</v>
      </c>
      <c r="S440">
        <v>332</v>
      </c>
      <c r="T440">
        <v>24.06</v>
      </c>
      <c r="U440">
        <v>4063</v>
      </c>
      <c r="V440">
        <v>48.73</v>
      </c>
      <c r="W440">
        <v>6.4710000000000001</v>
      </c>
      <c r="X440">
        <v>6.5229999999999997</v>
      </c>
      <c r="Y440">
        <v>18.41</v>
      </c>
      <c r="Z440">
        <v>13.9</v>
      </c>
      <c r="AA440">
        <v>30</v>
      </c>
    </row>
    <row r="441" spans="1:27">
      <c r="A441" t="str">
        <f>VLOOKUP(B441,info!$B$2:$F$49,2,FALSE)</f>
        <v>Ford</v>
      </c>
      <c r="B441">
        <v>10</v>
      </c>
      <c r="C441" t="s">
        <v>365</v>
      </c>
      <c r="D441" t="s">
        <v>77</v>
      </c>
      <c r="E441" t="s">
        <v>91</v>
      </c>
      <c r="F441">
        <f>VLOOKUP(B441,info!$B$2:$I$49,8,FALSE)</f>
        <v>6917835</v>
      </c>
      <c r="G441" t="str">
        <f>VLOOKUP(B441,info!$B$2:$I$49,5,FALSE)</f>
        <v>front</v>
      </c>
      <c r="H441">
        <v>94638</v>
      </c>
      <c r="I441">
        <v>43263</v>
      </c>
      <c r="J441">
        <v>24472</v>
      </c>
      <c r="K441">
        <v>256757</v>
      </c>
      <c r="L441">
        <v>371.4</v>
      </c>
      <c r="M441">
        <v>58.8</v>
      </c>
      <c r="N441">
        <v>1560</v>
      </c>
      <c r="O441">
        <v>0</v>
      </c>
      <c r="P441">
        <v>40931</v>
      </c>
      <c r="Q441">
        <v>37711</v>
      </c>
      <c r="R441">
        <v>202.3</v>
      </c>
      <c r="S441">
        <v>471.3</v>
      </c>
      <c r="T441">
        <v>58.41</v>
      </c>
      <c r="U441">
        <v>7914</v>
      </c>
      <c r="V441">
        <v>85.11</v>
      </c>
      <c r="W441">
        <v>5.101</v>
      </c>
      <c r="X441">
        <v>0</v>
      </c>
      <c r="Y441">
        <v>25.03</v>
      </c>
      <c r="Z441">
        <v>0</v>
      </c>
      <c r="AA441">
        <v>47.92</v>
      </c>
    </row>
    <row r="442" spans="1:27">
      <c r="A442" t="str">
        <f>VLOOKUP(B442,info!$B$2:$F$49,2,FALSE)</f>
        <v>Honda</v>
      </c>
      <c r="B442">
        <v>11</v>
      </c>
      <c r="C442" t="s">
        <v>365</v>
      </c>
      <c r="D442" t="s">
        <v>77</v>
      </c>
      <c r="E442" t="s">
        <v>92</v>
      </c>
      <c r="F442">
        <f>VLOOKUP(B442,info!$B$2:$I$49,8,FALSE)</f>
        <v>8096906</v>
      </c>
      <c r="G442" t="str">
        <f>VLOOKUP(B442,info!$B$2:$I$49,5,FALSE)</f>
        <v>back</v>
      </c>
      <c r="H442">
        <v>91402</v>
      </c>
      <c r="I442">
        <v>36015</v>
      </c>
      <c r="J442">
        <v>16429</v>
      </c>
      <c r="K442">
        <v>247836</v>
      </c>
      <c r="L442">
        <v>302.39999999999998</v>
      </c>
      <c r="M442">
        <v>152.1</v>
      </c>
      <c r="N442">
        <v>0</v>
      </c>
      <c r="O442">
        <v>0</v>
      </c>
      <c r="P442">
        <v>39458</v>
      </c>
      <c r="Q442">
        <v>37001</v>
      </c>
      <c r="R442">
        <v>0</v>
      </c>
      <c r="S442">
        <v>469.1</v>
      </c>
      <c r="T442">
        <v>53.82</v>
      </c>
      <c r="U442">
        <v>4559</v>
      </c>
      <c r="V442">
        <v>60.12</v>
      </c>
      <c r="W442">
        <v>5.8170000000000002</v>
      </c>
      <c r="X442">
        <v>5.234</v>
      </c>
      <c r="Y442">
        <v>26.17</v>
      </c>
      <c r="Z442">
        <v>9.8629999999999995</v>
      </c>
      <c r="AA442">
        <v>11.39</v>
      </c>
    </row>
    <row r="443" spans="1:27">
      <c r="A443" t="str">
        <f>VLOOKUP(B443,info!$B$2:$F$49,2,FALSE)</f>
        <v>Daewoo</v>
      </c>
      <c r="B443">
        <v>12</v>
      </c>
      <c r="C443" t="s">
        <v>365</v>
      </c>
      <c r="D443" t="s">
        <v>77</v>
      </c>
      <c r="E443" t="s">
        <v>93</v>
      </c>
      <c r="F443">
        <f>VLOOKUP(B443,info!$B$2:$I$49,8,FALSE)</f>
        <v>8501017</v>
      </c>
      <c r="G443" t="str">
        <f>VLOOKUP(B443,info!$B$2:$I$49,5,FALSE)</f>
        <v>back</v>
      </c>
      <c r="H443">
        <v>92408</v>
      </c>
      <c r="I443">
        <v>40011</v>
      </c>
      <c r="J443">
        <v>22324</v>
      </c>
      <c r="K443">
        <v>252184</v>
      </c>
      <c r="L443">
        <v>523.6</v>
      </c>
      <c r="M443">
        <v>16.14</v>
      </c>
      <c r="N443">
        <v>2814</v>
      </c>
      <c r="O443">
        <v>0</v>
      </c>
      <c r="P443">
        <v>40878</v>
      </c>
      <c r="Q443">
        <v>35712</v>
      </c>
      <c r="R443">
        <v>190.5</v>
      </c>
      <c r="S443">
        <v>362.9</v>
      </c>
      <c r="T443">
        <v>60.14</v>
      </c>
      <c r="U443">
        <v>4384</v>
      </c>
      <c r="V443">
        <v>63.27</v>
      </c>
      <c r="W443">
        <v>3.2269999999999999</v>
      </c>
      <c r="X443">
        <v>0</v>
      </c>
      <c r="Y443">
        <v>31.44</v>
      </c>
      <c r="Z443">
        <v>20.16</v>
      </c>
      <c r="AA443">
        <v>36.47</v>
      </c>
    </row>
    <row r="444" spans="1:27">
      <c r="A444" t="str">
        <f>VLOOKUP(B444,info!$B$2:$F$49,2,FALSE)</f>
        <v>Daewoo</v>
      </c>
      <c r="B444">
        <v>12</v>
      </c>
      <c r="C444" t="s">
        <v>365</v>
      </c>
      <c r="D444" t="s">
        <v>77</v>
      </c>
      <c r="E444" t="s">
        <v>94</v>
      </c>
      <c r="F444">
        <f>VLOOKUP(B444,info!$B$2:$I$49,8,FALSE)</f>
        <v>8501017</v>
      </c>
      <c r="G444" t="str">
        <f>VLOOKUP(B444,info!$B$2:$I$49,5,FALSE)</f>
        <v>back</v>
      </c>
      <c r="H444">
        <v>93798</v>
      </c>
      <c r="I444">
        <v>39368</v>
      </c>
      <c r="J444">
        <v>23055</v>
      </c>
      <c r="K444">
        <v>249232</v>
      </c>
      <c r="L444">
        <v>499.1</v>
      </c>
      <c r="M444">
        <v>43.05</v>
      </c>
      <c r="N444">
        <v>2332</v>
      </c>
      <c r="O444">
        <v>0</v>
      </c>
      <c r="P444">
        <v>39935</v>
      </c>
      <c r="Q444">
        <v>34997</v>
      </c>
      <c r="R444">
        <v>161.6</v>
      </c>
      <c r="S444">
        <v>243.9</v>
      </c>
      <c r="T444">
        <v>51.77</v>
      </c>
      <c r="U444">
        <v>3946</v>
      </c>
      <c r="V444">
        <v>45.96</v>
      </c>
      <c r="W444">
        <v>6.8070000000000004</v>
      </c>
      <c r="X444">
        <v>1.042</v>
      </c>
      <c r="Y444">
        <v>28.39</v>
      </c>
      <c r="Z444">
        <v>24.03</v>
      </c>
      <c r="AA444">
        <v>29.76</v>
      </c>
    </row>
    <row r="445" spans="1:27">
      <c r="A445" t="str">
        <f>VLOOKUP(B445,info!$B$2:$F$49,2,FALSE)</f>
        <v>Hyundai</v>
      </c>
      <c r="B445">
        <v>13</v>
      </c>
      <c r="C445" t="s">
        <v>365</v>
      </c>
      <c r="D445" t="s">
        <v>77</v>
      </c>
      <c r="E445" t="s">
        <v>360</v>
      </c>
      <c r="F445">
        <f>VLOOKUP(B445,info!$B$2:$I$49,8,FALSE)</f>
        <v>9540217</v>
      </c>
      <c r="G445" t="str">
        <f>VLOOKUP(B445,info!$B$2:$I$49,5,FALSE)</f>
        <v>back</v>
      </c>
      <c r="H445">
        <v>104311</v>
      </c>
      <c r="I445">
        <v>41759</v>
      </c>
      <c r="J445">
        <v>24139</v>
      </c>
      <c r="K445">
        <v>248506</v>
      </c>
      <c r="L445">
        <v>427</v>
      </c>
      <c r="M445">
        <v>161.6</v>
      </c>
      <c r="N445">
        <v>1375</v>
      </c>
      <c r="O445">
        <v>0</v>
      </c>
      <c r="P445">
        <v>46093</v>
      </c>
      <c r="Q445">
        <v>42501</v>
      </c>
      <c r="R445">
        <v>182.7</v>
      </c>
      <c r="S445">
        <v>179.9</v>
      </c>
      <c r="T445">
        <v>91.24</v>
      </c>
      <c r="U445">
        <v>3643</v>
      </c>
      <c r="V445">
        <v>45.03</v>
      </c>
      <c r="W445">
        <v>4.7549999999999999</v>
      </c>
      <c r="X445">
        <v>0.70879999999999999</v>
      </c>
      <c r="Y445">
        <v>29.39</v>
      </c>
      <c r="Z445">
        <v>13.66</v>
      </c>
      <c r="AA445">
        <v>42.33</v>
      </c>
    </row>
    <row r="446" spans="1:27">
      <c r="A446" t="str">
        <f>VLOOKUP(B446,info!$B$2:$F$49,2,FALSE)</f>
        <v>Hyundai</v>
      </c>
      <c r="B446">
        <v>13</v>
      </c>
      <c r="C446" t="s">
        <v>365</v>
      </c>
      <c r="D446" t="s">
        <v>77</v>
      </c>
      <c r="E446" t="s">
        <v>361</v>
      </c>
      <c r="F446">
        <f>VLOOKUP(B446,info!$B$2:$I$49,8,FALSE)</f>
        <v>9540217</v>
      </c>
      <c r="G446" t="str">
        <f>VLOOKUP(B446,info!$B$2:$I$49,5,FALSE)</f>
        <v>back</v>
      </c>
      <c r="H446">
        <v>116159</v>
      </c>
      <c r="I446">
        <v>48319</v>
      </c>
      <c r="J446">
        <v>28872</v>
      </c>
      <c r="K446">
        <v>290573</v>
      </c>
      <c r="L446">
        <v>656.8</v>
      </c>
      <c r="M446">
        <v>104.3</v>
      </c>
      <c r="N446">
        <v>2071</v>
      </c>
      <c r="O446">
        <v>0</v>
      </c>
      <c r="P446">
        <v>50814</v>
      </c>
      <c r="Q446">
        <v>46560</v>
      </c>
      <c r="R446">
        <v>229.4</v>
      </c>
      <c r="S446">
        <v>110.9</v>
      </c>
      <c r="T446">
        <v>80.97</v>
      </c>
      <c r="U446">
        <v>3306</v>
      </c>
      <c r="V446">
        <v>48.7</v>
      </c>
      <c r="W446">
        <v>5.2069999999999999</v>
      </c>
      <c r="X446">
        <v>0</v>
      </c>
      <c r="Y446">
        <v>30.03</v>
      </c>
      <c r="Z446">
        <v>29.54</v>
      </c>
      <c r="AA446">
        <v>36.299999999999997</v>
      </c>
    </row>
    <row r="447" spans="1:27">
      <c r="A447" t="str">
        <f>VLOOKUP(B447,info!$B$2:$F$49,2,FALSE)</f>
        <v>Peugeot</v>
      </c>
      <c r="B447">
        <v>14</v>
      </c>
      <c r="C447" t="s">
        <v>365</v>
      </c>
      <c r="D447" t="s">
        <v>77</v>
      </c>
      <c r="E447" t="s">
        <v>95</v>
      </c>
      <c r="F447">
        <f>VLOOKUP(B447,info!$B$2:$I$49,8,FALSE)</f>
        <v>9367324</v>
      </c>
      <c r="G447" t="str">
        <f>VLOOKUP(B447,info!$B$2:$I$49,5,FALSE)</f>
        <v>back</v>
      </c>
      <c r="H447">
        <v>108143</v>
      </c>
      <c r="I447">
        <v>40929</v>
      </c>
      <c r="J447">
        <v>21495</v>
      </c>
      <c r="K447">
        <v>261404</v>
      </c>
      <c r="L447">
        <v>447.9</v>
      </c>
      <c r="M447">
        <v>162.4</v>
      </c>
      <c r="N447">
        <v>1428</v>
      </c>
      <c r="O447">
        <v>0</v>
      </c>
      <c r="P447">
        <v>47509</v>
      </c>
      <c r="Q447">
        <v>42891</v>
      </c>
      <c r="R447">
        <v>182.3</v>
      </c>
      <c r="S447">
        <v>124.1</v>
      </c>
      <c r="T447">
        <v>68.63</v>
      </c>
      <c r="U447">
        <v>3354</v>
      </c>
      <c r="V447">
        <v>50.14</v>
      </c>
      <c r="W447">
        <v>5.8659999999999997</v>
      </c>
      <c r="X447">
        <v>0</v>
      </c>
      <c r="Y447">
        <v>29.14</v>
      </c>
      <c r="Z447">
        <v>18.78</v>
      </c>
      <c r="AA447">
        <v>8.8450000000000006</v>
      </c>
    </row>
    <row r="448" spans="1:27">
      <c r="A448" t="str">
        <f>VLOOKUP(B448,info!$B$2:$F$49,2,FALSE)</f>
        <v>Ford</v>
      </c>
      <c r="B448">
        <v>15</v>
      </c>
      <c r="C448" t="s">
        <v>365</v>
      </c>
      <c r="D448" t="s">
        <v>77</v>
      </c>
      <c r="E448" t="s">
        <v>96</v>
      </c>
      <c r="F448">
        <f>VLOOKUP(B448,info!$B$2:$I$49,8,FALSE)</f>
        <v>6917835</v>
      </c>
      <c r="G448" t="str">
        <f>VLOOKUP(B448,info!$B$2:$I$49,5,FALSE)</f>
        <v>back</v>
      </c>
      <c r="H448">
        <v>112324</v>
      </c>
      <c r="I448">
        <v>49304</v>
      </c>
      <c r="J448">
        <v>27240</v>
      </c>
      <c r="K448">
        <v>282896</v>
      </c>
      <c r="L448">
        <v>383.8</v>
      </c>
      <c r="M448">
        <v>41.17</v>
      </c>
      <c r="N448">
        <v>1611</v>
      </c>
      <c r="O448">
        <v>0</v>
      </c>
      <c r="P448">
        <v>43153</v>
      </c>
      <c r="Q448">
        <v>40239</v>
      </c>
      <c r="R448">
        <v>218.2</v>
      </c>
      <c r="S448">
        <v>249.4</v>
      </c>
      <c r="T448">
        <v>51.63</v>
      </c>
      <c r="U448">
        <v>7209</v>
      </c>
      <c r="V448">
        <v>72.11</v>
      </c>
      <c r="W448">
        <v>14.94</v>
      </c>
      <c r="X448">
        <v>0</v>
      </c>
      <c r="Y448">
        <v>34.67</v>
      </c>
      <c r="Z448">
        <v>41.5</v>
      </c>
      <c r="AA448">
        <v>50.04</v>
      </c>
    </row>
    <row r="449" spans="1:27">
      <c r="A449" t="str">
        <f>VLOOKUP(B449,info!$B$2:$F$49,2,FALSE)</f>
        <v>Hyundai</v>
      </c>
      <c r="B449">
        <v>16</v>
      </c>
      <c r="C449" t="s">
        <v>365</v>
      </c>
      <c r="D449" t="s">
        <v>77</v>
      </c>
      <c r="E449" t="s">
        <v>97</v>
      </c>
      <c r="F449">
        <f>VLOOKUP(B449,info!$B$2:$I$49,8,FALSE)</f>
        <v>6316720</v>
      </c>
      <c r="G449" t="str">
        <f>VLOOKUP(B449,info!$B$2:$I$49,5,FALSE)</f>
        <v>back</v>
      </c>
      <c r="H449">
        <v>100801</v>
      </c>
      <c r="I449">
        <v>40740</v>
      </c>
      <c r="J449">
        <v>23898</v>
      </c>
      <c r="K449">
        <v>269776</v>
      </c>
      <c r="L449">
        <v>476.5</v>
      </c>
      <c r="M449">
        <v>204.3</v>
      </c>
      <c r="N449">
        <v>1412</v>
      </c>
      <c r="O449">
        <v>0</v>
      </c>
      <c r="P449">
        <v>47627</v>
      </c>
      <c r="Q449">
        <v>42066</v>
      </c>
      <c r="R449">
        <v>166.8</v>
      </c>
      <c r="S449">
        <v>377.2</v>
      </c>
      <c r="T449">
        <v>97.47</v>
      </c>
      <c r="U449">
        <v>4171</v>
      </c>
      <c r="V449">
        <v>59.72</v>
      </c>
      <c r="W449">
        <v>9.3819999999999997</v>
      </c>
      <c r="X449">
        <v>0</v>
      </c>
      <c r="Y449">
        <v>32.11</v>
      </c>
      <c r="Z449">
        <v>20.7</v>
      </c>
      <c r="AA449">
        <v>10.46</v>
      </c>
    </row>
    <row r="450" spans="1:27">
      <c r="A450" t="str">
        <f>VLOOKUP(B450,info!$B$2:$F$49,2,FALSE)</f>
        <v>Hyundai</v>
      </c>
      <c r="B450">
        <v>17</v>
      </c>
      <c r="C450" t="s">
        <v>365</v>
      </c>
      <c r="D450" t="s">
        <v>77</v>
      </c>
      <c r="E450" t="s">
        <v>98</v>
      </c>
      <c r="F450">
        <f>VLOOKUP(B450,info!$B$2:$I$49,8,FALSE)</f>
        <v>6316720</v>
      </c>
      <c r="G450" t="str">
        <f>VLOOKUP(B450,info!$B$2:$I$49,5,FALSE)</f>
        <v>back</v>
      </c>
      <c r="H450">
        <v>105706</v>
      </c>
      <c r="I450">
        <v>42421</v>
      </c>
      <c r="J450">
        <v>24844</v>
      </c>
      <c r="K450">
        <v>274968</v>
      </c>
      <c r="L450">
        <v>499.2</v>
      </c>
      <c r="M450">
        <v>205</v>
      </c>
      <c r="N450">
        <v>1398</v>
      </c>
      <c r="O450">
        <v>0</v>
      </c>
      <c r="P450">
        <v>48691</v>
      </c>
      <c r="Q450">
        <v>43497</v>
      </c>
      <c r="R450">
        <v>170.3</v>
      </c>
      <c r="S450">
        <v>428.5</v>
      </c>
      <c r="T450">
        <v>95.21</v>
      </c>
      <c r="U450">
        <v>4467</v>
      </c>
      <c r="V450">
        <v>62.1</v>
      </c>
      <c r="W450">
        <v>12</v>
      </c>
      <c r="X450">
        <v>14.04</v>
      </c>
      <c r="Y450">
        <v>31.32</v>
      </c>
      <c r="Z450">
        <v>29.41</v>
      </c>
      <c r="AA450">
        <v>31.1</v>
      </c>
    </row>
    <row r="451" spans="1:27">
      <c r="A451" t="str">
        <f>VLOOKUP(B451,info!$B$2:$F$49,2,FALSE)</f>
        <v>Honda</v>
      </c>
      <c r="B451">
        <v>18</v>
      </c>
      <c r="C451" t="s">
        <v>365</v>
      </c>
      <c r="D451" t="s">
        <v>77</v>
      </c>
      <c r="E451" t="s">
        <v>99</v>
      </c>
      <c r="F451">
        <f>VLOOKUP(B451,info!$B$2:$I$49,8,FALSE)</f>
        <v>8096906</v>
      </c>
      <c r="G451" t="str">
        <f>VLOOKUP(B451,info!$B$2:$I$49,5,FALSE)</f>
        <v>front</v>
      </c>
      <c r="H451">
        <v>98065</v>
      </c>
      <c r="I451">
        <v>38085</v>
      </c>
      <c r="J451">
        <v>17447</v>
      </c>
      <c r="K451">
        <v>264194</v>
      </c>
      <c r="L451">
        <v>302.39999999999998</v>
      </c>
      <c r="M451">
        <v>143.4</v>
      </c>
      <c r="N451">
        <v>0</v>
      </c>
      <c r="O451">
        <v>0</v>
      </c>
      <c r="P451">
        <v>40550</v>
      </c>
      <c r="Q451">
        <v>37649</v>
      </c>
      <c r="R451">
        <v>1.494</v>
      </c>
      <c r="S451">
        <v>388</v>
      </c>
      <c r="T451">
        <v>31.49</v>
      </c>
      <c r="U451">
        <v>4296</v>
      </c>
      <c r="V451">
        <v>57.45</v>
      </c>
      <c r="W451">
        <v>13.49</v>
      </c>
      <c r="X451">
        <v>10.89</v>
      </c>
      <c r="Y451">
        <v>24.17</v>
      </c>
      <c r="Z451">
        <v>18.010000000000002</v>
      </c>
      <c r="AA451">
        <v>21.4</v>
      </c>
    </row>
    <row r="452" spans="1:27">
      <c r="A452" t="str">
        <f>VLOOKUP(B452,info!$B$2:$F$49,2,FALSE)</f>
        <v>Hyundai</v>
      </c>
      <c r="B452">
        <v>19</v>
      </c>
      <c r="C452" t="s">
        <v>365</v>
      </c>
      <c r="D452" t="s">
        <v>77</v>
      </c>
      <c r="E452" t="s">
        <v>100</v>
      </c>
      <c r="F452">
        <f>VLOOKUP(B452,info!$B$2:$I$49,8,FALSE)</f>
        <v>6316720</v>
      </c>
      <c r="G452" t="str">
        <f>VLOOKUP(B452,info!$B$2:$I$49,5,FALSE)</f>
        <v>front</v>
      </c>
      <c r="H452">
        <v>102815</v>
      </c>
      <c r="I452">
        <v>40386</v>
      </c>
      <c r="J452">
        <v>22041</v>
      </c>
      <c r="K452">
        <v>266254</v>
      </c>
      <c r="L452">
        <v>496.3</v>
      </c>
      <c r="M452">
        <v>198.7</v>
      </c>
      <c r="N452">
        <v>1430</v>
      </c>
      <c r="O452">
        <v>0</v>
      </c>
      <c r="P452">
        <v>48313</v>
      </c>
      <c r="Q452">
        <v>42754</v>
      </c>
      <c r="R452">
        <v>171.8</v>
      </c>
      <c r="S452">
        <v>269.2</v>
      </c>
      <c r="T452">
        <v>70.099999999999994</v>
      </c>
      <c r="U452">
        <v>3461</v>
      </c>
      <c r="V452">
        <v>49.56</v>
      </c>
      <c r="W452">
        <v>8.6649999999999991</v>
      </c>
      <c r="X452">
        <v>10.24</v>
      </c>
      <c r="Y452">
        <v>21.9</v>
      </c>
      <c r="Z452">
        <v>11.32</v>
      </c>
      <c r="AA452">
        <v>24.75</v>
      </c>
    </row>
    <row r="453" spans="1:27">
      <c r="A453" t="str">
        <f>VLOOKUP(B453,info!$B$2:$F$49,2,FALSE)</f>
        <v>Fiat</v>
      </c>
      <c r="B453">
        <v>20</v>
      </c>
      <c r="C453" t="s">
        <v>365</v>
      </c>
      <c r="D453" t="s">
        <v>77</v>
      </c>
      <c r="E453" t="s">
        <v>101</v>
      </c>
      <c r="F453">
        <f>VLOOKUP(B453,info!$B$2:$I$49,8,FALSE)</f>
        <v>5751910</v>
      </c>
      <c r="G453" t="str">
        <f>VLOOKUP(B453,info!$B$2:$I$49,5,FALSE)</f>
        <v>back</v>
      </c>
      <c r="H453">
        <v>106091</v>
      </c>
      <c r="I453">
        <v>42598</v>
      </c>
      <c r="J453">
        <v>23208</v>
      </c>
      <c r="K453">
        <v>262802</v>
      </c>
      <c r="L453">
        <v>304.60000000000002</v>
      </c>
      <c r="M453">
        <v>95.8</v>
      </c>
      <c r="N453">
        <v>1191</v>
      </c>
      <c r="O453">
        <v>0</v>
      </c>
      <c r="P453">
        <v>39143</v>
      </c>
      <c r="Q453">
        <v>35426</v>
      </c>
      <c r="R453">
        <v>190</v>
      </c>
      <c r="S453">
        <v>377.9</v>
      </c>
      <c r="T453">
        <v>63.19</v>
      </c>
      <c r="U453">
        <v>6597</v>
      </c>
      <c r="V453">
        <v>75.14</v>
      </c>
      <c r="W453">
        <v>5.2610000000000001</v>
      </c>
      <c r="X453">
        <v>6.5940000000000003</v>
      </c>
      <c r="Y453">
        <v>27.94</v>
      </c>
      <c r="Z453">
        <v>13.18</v>
      </c>
      <c r="AA453">
        <v>10.52</v>
      </c>
    </row>
    <row r="454" spans="1:27">
      <c r="A454" t="str">
        <f>VLOOKUP(B454,info!$B$2:$F$49,2,FALSE)</f>
        <v>Hyundai</v>
      </c>
      <c r="B454">
        <v>21</v>
      </c>
      <c r="C454" t="s">
        <v>365</v>
      </c>
      <c r="D454" t="s">
        <v>77</v>
      </c>
      <c r="E454" t="s">
        <v>102</v>
      </c>
      <c r="F454">
        <f>VLOOKUP(B454,info!$B$2:$I$49,8,FALSE)</f>
        <v>5826120</v>
      </c>
      <c r="G454" t="str">
        <f>VLOOKUP(B454,info!$B$2:$I$49,5,FALSE)</f>
        <v>back triangle</v>
      </c>
      <c r="H454">
        <v>101189</v>
      </c>
      <c r="I454">
        <v>41624</v>
      </c>
      <c r="J454">
        <v>24788</v>
      </c>
      <c r="K454">
        <v>269002</v>
      </c>
      <c r="L454">
        <v>535.5</v>
      </c>
      <c r="M454">
        <v>167.7</v>
      </c>
      <c r="N454">
        <v>1122</v>
      </c>
      <c r="O454">
        <v>0</v>
      </c>
      <c r="P454">
        <v>48103</v>
      </c>
      <c r="Q454">
        <v>44298</v>
      </c>
      <c r="R454">
        <v>214.8</v>
      </c>
      <c r="S454">
        <v>448.8</v>
      </c>
      <c r="T454">
        <v>104.1</v>
      </c>
      <c r="U454">
        <v>4130</v>
      </c>
      <c r="V454">
        <v>57.96</v>
      </c>
      <c r="W454">
        <v>4.649</v>
      </c>
      <c r="X454">
        <v>6.8140000000000001</v>
      </c>
      <c r="Y454">
        <v>28.18</v>
      </c>
      <c r="Z454">
        <v>26.98</v>
      </c>
      <c r="AA454">
        <v>20.74</v>
      </c>
    </row>
    <row r="455" spans="1:27">
      <c r="A455" t="str">
        <f>VLOOKUP(B455,info!$B$2:$F$49,2,FALSE)</f>
        <v>Hyundai</v>
      </c>
      <c r="B455">
        <v>21</v>
      </c>
      <c r="C455" t="s">
        <v>365</v>
      </c>
      <c r="D455" t="s">
        <v>77</v>
      </c>
      <c r="E455" t="s">
        <v>362</v>
      </c>
      <c r="F455">
        <f>VLOOKUP(B455,info!$B$2:$I$49,8,FALSE)</f>
        <v>5826120</v>
      </c>
      <c r="G455" t="str">
        <f>VLOOKUP(B455,info!$B$2:$I$49,5,FALSE)</f>
        <v>back triangle</v>
      </c>
      <c r="H455">
        <v>83762</v>
      </c>
      <c r="I455">
        <v>39972</v>
      </c>
      <c r="J455">
        <v>29462</v>
      </c>
      <c r="K455">
        <v>225820</v>
      </c>
      <c r="L455">
        <v>536.29999999999995</v>
      </c>
      <c r="M455">
        <v>206.9</v>
      </c>
      <c r="N455">
        <v>1175</v>
      </c>
      <c r="O455">
        <v>0</v>
      </c>
      <c r="P455">
        <v>45269</v>
      </c>
      <c r="Q455">
        <v>40598</v>
      </c>
      <c r="R455">
        <v>314.60000000000002</v>
      </c>
      <c r="S455">
        <v>604.79999999999995</v>
      </c>
      <c r="T455">
        <v>137</v>
      </c>
      <c r="U455">
        <v>5577</v>
      </c>
      <c r="V455">
        <v>73.87</v>
      </c>
      <c r="W455">
        <v>17.309999999999999</v>
      </c>
      <c r="X455">
        <v>0</v>
      </c>
      <c r="Y455">
        <v>243.5</v>
      </c>
      <c r="Z455">
        <v>200.5</v>
      </c>
      <c r="AA455">
        <v>28.15</v>
      </c>
    </row>
    <row r="456" spans="1:27">
      <c r="A456" t="str">
        <f>VLOOKUP(B456,info!$B$2:$F$49,2,FALSE)</f>
        <v>Daewoo</v>
      </c>
      <c r="B456">
        <v>22</v>
      </c>
      <c r="C456" t="s">
        <v>365</v>
      </c>
      <c r="D456" t="s">
        <v>77</v>
      </c>
      <c r="E456" t="s">
        <v>103</v>
      </c>
      <c r="F456">
        <f>VLOOKUP(B456,info!$B$2:$I$49,8,FALSE)</f>
        <v>8501017</v>
      </c>
      <c r="G456" t="str">
        <f>VLOOKUP(B456,info!$B$2:$I$49,5,FALSE)</f>
        <v>front</v>
      </c>
      <c r="H456">
        <v>96557</v>
      </c>
      <c r="I456">
        <v>40793</v>
      </c>
      <c r="J456">
        <v>24491</v>
      </c>
      <c r="K456">
        <v>262037</v>
      </c>
      <c r="L456">
        <v>494.8</v>
      </c>
      <c r="M456">
        <v>31.7</v>
      </c>
      <c r="N456">
        <v>2383</v>
      </c>
      <c r="O456">
        <v>0</v>
      </c>
      <c r="P456">
        <v>40579</v>
      </c>
      <c r="Q456">
        <v>36079</v>
      </c>
      <c r="R456">
        <v>166.5</v>
      </c>
      <c r="S456">
        <v>370.2</v>
      </c>
      <c r="T456">
        <v>57.48</v>
      </c>
      <c r="U456">
        <v>4323</v>
      </c>
      <c r="V456">
        <v>58.9</v>
      </c>
      <c r="W456">
        <v>3.6429999999999998</v>
      </c>
      <c r="X456">
        <v>0</v>
      </c>
      <c r="Y456">
        <v>28.44</v>
      </c>
      <c r="Z456">
        <v>18.07</v>
      </c>
      <c r="AA456">
        <v>20.66</v>
      </c>
    </row>
    <row r="457" spans="1:27">
      <c r="A457" t="str">
        <f>VLOOKUP(B457,info!$B$2:$F$49,2,FALSE)</f>
        <v>Daewoo</v>
      </c>
      <c r="B457">
        <v>23</v>
      </c>
      <c r="C457" t="s">
        <v>365</v>
      </c>
      <c r="D457" t="s">
        <v>77</v>
      </c>
      <c r="E457" t="s">
        <v>104</v>
      </c>
      <c r="F457">
        <f>VLOOKUP(B457,info!$B$2:$I$49,8,FALSE)</f>
        <v>8501017</v>
      </c>
      <c r="G457" t="str">
        <f>VLOOKUP(B457,info!$B$2:$I$49,5,FALSE)</f>
        <v>back</v>
      </c>
      <c r="H457">
        <v>91122</v>
      </c>
      <c r="I457">
        <v>39623</v>
      </c>
      <c r="J457">
        <v>23209</v>
      </c>
      <c r="K457">
        <v>249460</v>
      </c>
      <c r="L457">
        <v>497.7</v>
      </c>
      <c r="M457">
        <v>53.99</v>
      </c>
      <c r="N457">
        <v>2799</v>
      </c>
      <c r="O457">
        <v>0</v>
      </c>
      <c r="P457">
        <v>39878</v>
      </c>
      <c r="Q457">
        <v>35745</v>
      </c>
      <c r="R457">
        <v>190.4</v>
      </c>
      <c r="S457">
        <v>259.5</v>
      </c>
      <c r="T457">
        <v>50.32</v>
      </c>
      <c r="U457">
        <v>3906</v>
      </c>
      <c r="V457">
        <v>55.61</v>
      </c>
      <c r="W457">
        <v>6.5359999999999996</v>
      </c>
      <c r="X457">
        <v>0</v>
      </c>
      <c r="Y457">
        <v>30.31</v>
      </c>
      <c r="Z457">
        <v>25.93</v>
      </c>
      <c r="AA457">
        <v>26.95</v>
      </c>
    </row>
    <row r="458" spans="1:27">
      <c r="A458" t="str">
        <f>VLOOKUP(B458,info!$B$2:$F$49,2,FALSE)</f>
        <v>Mitsubishi</v>
      </c>
      <c r="B458">
        <v>24</v>
      </c>
      <c r="C458" t="s">
        <v>365</v>
      </c>
      <c r="D458" t="s">
        <v>77</v>
      </c>
      <c r="E458" t="s">
        <v>105</v>
      </c>
      <c r="F458">
        <f>VLOOKUP(B458,info!$B$2:$I$49,8,FALSE)</f>
        <v>7027220</v>
      </c>
      <c r="G458" t="str">
        <f>VLOOKUP(B458,info!$B$2:$I$49,5,FALSE)</f>
        <v>front</v>
      </c>
      <c r="H458">
        <v>102515</v>
      </c>
      <c r="I458">
        <v>43552</v>
      </c>
      <c r="J458">
        <v>26449</v>
      </c>
      <c r="K458">
        <v>273330</v>
      </c>
      <c r="L458">
        <v>289.5</v>
      </c>
      <c r="M458">
        <v>27.34</v>
      </c>
      <c r="N458">
        <v>1036</v>
      </c>
      <c r="O458">
        <v>0</v>
      </c>
      <c r="P458">
        <v>41397</v>
      </c>
      <c r="Q458">
        <v>38306</v>
      </c>
      <c r="R458">
        <v>271.7</v>
      </c>
      <c r="S458">
        <v>162.9</v>
      </c>
      <c r="T458">
        <v>131.19999999999999</v>
      </c>
      <c r="U458">
        <v>2664</v>
      </c>
      <c r="V458">
        <v>41.07</v>
      </c>
      <c r="W458">
        <v>3.121</v>
      </c>
      <c r="X458">
        <v>0</v>
      </c>
      <c r="Y458">
        <v>42.23</v>
      </c>
      <c r="Z458">
        <v>20.61</v>
      </c>
      <c r="AA458">
        <v>30.77</v>
      </c>
    </row>
    <row r="459" spans="1:27">
      <c r="A459" t="str">
        <f>VLOOKUP(B459,info!$B$2:$F$49,2,FALSE)</f>
        <v>Subaru</v>
      </c>
      <c r="B459">
        <v>25</v>
      </c>
      <c r="C459" t="s">
        <v>365</v>
      </c>
      <c r="D459" t="s">
        <v>77</v>
      </c>
      <c r="E459" t="s">
        <v>106</v>
      </c>
      <c r="F459">
        <f>VLOOKUP(B459,info!$B$2:$I$49,8,FALSE)</f>
        <v>2675308</v>
      </c>
      <c r="G459" t="str">
        <f>VLOOKUP(B459,info!$B$2:$I$49,5,FALSE)</f>
        <v>front</v>
      </c>
      <c r="H459">
        <v>97815</v>
      </c>
      <c r="I459">
        <v>37709</v>
      </c>
      <c r="J459">
        <v>24005</v>
      </c>
      <c r="K459">
        <v>263715</v>
      </c>
      <c r="L459">
        <v>295.2</v>
      </c>
      <c r="M459">
        <v>137.80000000000001</v>
      </c>
      <c r="N459">
        <v>2605</v>
      </c>
      <c r="O459">
        <v>0</v>
      </c>
      <c r="P459">
        <v>43705</v>
      </c>
      <c r="Q459">
        <v>38514</v>
      </c>
      <c r="R459">
        <v>125.8</v>
      </c>
      <c r="S459">
        <v>217.2</v>
      </c>
      <c r="T459">
        <v>54.48</v>
      </c>
      <c r="U459">
        <v>2426</v>
      </c>
      <c r="V459">
        <v>38.770000000000003</v>
      </c>
      <c r="W459">
        <v>9.44</v>
      </c>
      <c r="X459">
        <v>0</v>
      </c>
      <c r="Y459">
        <v>32.61</v>
      </c>
      <c r="Z459">
        <v>21.77</v>
      </c>
      <c r="AA459">
        <v>25.64</v>
      </c>
    </row>
    <row r="460" spans="1:27">
      <c r="A460" t="str">
        <f>VLOOKUP(B460,info!$B$2:$F$49,2,FALSE)</f>
        <v>Subaru</v>
      </c>
      <c r="B460">
        <v>25</v>
      </c>
      <c r="C460" t="s">
        <v>365</v>
      </c>
      <c r="D460" t="s">
        <v>77</v>
      </c>
      <c r="E460" t="s">
        <v>107</v>
      </c>
      <c r="F460">
        <f>VLOOKUP(B460,info!$B$2:$I$49,8,FALSE)</f>
        <v>2675308</v>
      </c>
      <c r="G460" t="str">
        <f>VLOOKUP(B460,info!$B$2:$I$49,5,FALSE)</f>
        <v>front</v>
      </c>
      <c r="H460">
        <v>95085</v>
      </c>
      <c r="I460">
        <v>39094</v>
      </c>
      <c r="J460">
        <v>26898</v>
      </c>
      <c r="K460">
        <v>270923</v>
      </c>
      <c r="L460">
        <v>500.2</v>
      </c>
      <c r="M460">
        <v>53.28</v>
      </c>
      <c r="N460">
        <v>3284</v>
      </c>
      <c r="O460">
        <v>0</v>
      </c>
      <c r="P460">
        <v>44240</v>
      </c>
      <c r="Q460">
        <v>38963</v>
      </c>
      <c r="R460">
        <v>184.2</v>
      </c>
      <c r="S460">
        <v>271.89999999999998</v>
      </c>
      <c r="T460">
        <v>60.84</v>
      </c>
      <c r="U460">
        <v>2941</v>
      </c>
      <c r="V460">
        <v>53.5</v>
      </c>
      <c r="W460">
        <v>8.9</v>
      </c>
      <c r="X460">
        <v>2.7250000000000001</v>
      </c>
      <c r="Y460">
        <v>33.25</v>
      </c>
      <c r="Z460">
        <v>19.16</v>
      </c>
      <c r="AA460">
        <v>14.05</v>
      </c>
    </row>
    <row r="461" spans="1:27">
      <c r="A461" t="str">
        <f>VLOOKUP(B461,info!$B$2:$F$49,2,FALSE)</f>
        <v>Mitsubishi</v>
      </c>
      <c r="B461">
        <v>26</v>
      </c>
      <c r="C461" t="s">
        <v>365</v>
      </c>
      <c r="D461" t="s">
        <v>77</v>
      </c>
      <c r="E461" t="s">
        <v>108</v>
      </c>
      <c r="F461">
        <f>VLOOKUP(B461,info!$B$2:$I$49,8,FALSE)</f>
        <v>7027220</v>
      </c>
      <c r="G461" t="str">
        <f>VLOOKUP(B461,info!$B$2:$I$49,5,FALSE)</f>
        <v>back</v>
      </c>
      <c r="H461">
        <v>118502</v>
      </c>
      <c r="I461">
        <v>53102</v>
      </c>
      <c r="J461">
        <v>34305</v>
      </c>
      <c r="K461">
        <v>308928</v>
      </c>
      <c r="L461">
        <v>305.8</v>
      </c>
      <c r="M461">
        <v>65.73</v>
      </c>
      <c r="N461">
        <v>2423</v>
      </c>
      <c r="O461">
        <v>0</v>
      </c>
      <c r="P461">
        <v>46162</v>
      </c>
      <c r="Q461">
        <v>40644</v>
      </c>
      <c r="R461">
        <v>451.9</v>
      </c>
      <c r="S461">
        <v>417.2</v>
      </c>
      <c r="T461">
        <v>136.19999999999999</v>
      </c>
      <c r="U461">
        <v>3715</v>
      </c>
      <c r="V461">
        <v>63.49</v>
      </c>
      <c r="W461">
        <v>11.08</v>
      </c>
      <c r="X461">
        <v>0</v>
      </c>
      <c r="Y461">
        <v>43.02</v>
      </c>
      <c r="Z461">
        <v>34.630000000000003</v>
      </c>
      <c r="AA461">
        <v>28.87</v>
      </c>
    </row>
    <row r="462" spans="1:27">
      <c r="A462" t="str">
        <f>VLOOKUP(B462,info!$B$2:$F$49,2,FALSE)</f>
        <v>Fiat</v>
      </c>
      <c r="B462">
        <v>27</v>
      </c>
      <c r="C462" t="s">
        <v>365</v>
      </c>
      <c r="D462" t="s">
        <v>77</v>
      </c>
      <c r="E462" t="s">
        <v>109</v>
      </c>
      <c r="F462">
        <f>VLOOKUP(B462,info!$B$2:$I$49,8,FALSE)</f>
        <v>5751910</v>
      </c>
      <c r="G462" t="str">
        <f>VLOOKUP(B462,info!$B$2:$I$49,5,FALSE)</f>
        <v>front</v>
      </c>
      <c r="H462">
        <v>114498</v>
      </c>
      <c r="I462">
        <v>47742</v>
      </c>
      <c r="J462">
        <v>25309</v>
      </c>
      <c r="K462">
        <v>285807</v>
      </c>
      <c r="L462">
        <v>308.10000000000002</v>
      </c>
      <c r="M462">
        <v>68.459999999999994</v>
      </c>
      <c r="N462">
        <v>1794</v>
      </c>
      <c r="O462">
        <v>0</v>
      </c>
      <c r="P462">
        <v>41456</v>
      </c>
      <c r="Q462">
        <v>38102</v>
      </c>
      <c r="R462">
        <v>224.2</v>
      </c>
      <c r="S462">
        <v>329.8</v>
      </c>
      <c r="T462">
        <v>63.2</v>
      </c>
      <c r="U462">
        <v>6476</v>
      </c>
      <c r="V462">
        <v>74.569999999999993</v>
      </c>
      <c r="W462">
        <v>12.82</v>
      </c>
      <c r="X462">
        <v>0</v>
      </c>
      <c r="Y462">
        <v>31.37</v>
      </c>
      <c r="Z462">
        <v>10.92</v>
      </c>
      <c r="AA462">
        <v>26.21</v>
      </c>
    </row>
    <row r="463" spans="1:27">
      <c r="A463" t="str">
        <f>VLOOKUP(B463,info!$B$2:$F$49,2,FALSE)</f>
        <v>Subaru</v>
      </c>
      <c r="B463">
        <v>28</v>
      </c>
      <c r="C463" t="s">
        <v>365</v>
      </c>
      <c r="D463" t="s">
        <v>77</v>
      </c>
      <c r="E463" t="s">
        <v>110</v>
      </c>
      <c r="F463">
        <f>VLOOKUP(B463,info!$B$2:$I$49,8,FALSE)</f>
        <v>2675308</v>
      </c>
      <c r="G463" t="str">
        <f>VLOOKUP(B463,info!$B$2:$I$49,5,FALSE)</f>
        <v>front</v>
      </c>
      <c r="H463">
        <v>92930</v>
      </c>
      <c r="I463">
        <v>37666</v>
      </c>
      <c r="J463">
        <v>23842</v>
      </c>
      <c r="K463">
        <v>258664</v>
      </c>
      <c r="L463">
        <v>299</v>
      </c>
      <c r="M463">
        <v>27.64</v>
      </c>
      <c r="N463">
        <v>3124</v>
      </c>
      <c r="O463">
        <v>0</v>
      </c>
      <c r="P463">
        <v>42983</v>
      </c>
      <c r="Q463">
        <v>38527</v>
      </c>
      <c r="R463">
        <v>164.3</v>
      </c>
      <c r="S463">
        <v>236.6</v>
      </c>
      <c r="T463">
        <v>70.91</v>
      </c>
      <c r="U463">
        <v>2846</v>
      </c>
      <c r="V463">
        <v>48.32</v>
      </c>
      <c r="W463">
        <v>10.68</v>
      </c>
      <c r="X463">
        <v>0</v>
      </c>
      <c r="Y463">
        <v>32.590000000000003</v>
      </c>
      <c r="Z463">
        <v>25.94</v>
      </c>
      <c r="AA463">
        <v>14.64</v>
      </c>
    </row>
    <row r="464" spans="1:27">
      <c r="A464" t="str">
        <f>VLOOKUP(B464,info!$B$2:$F$49,2,FALSE)</f>
        <v>Subaru</v>
      </c>
      <c r="B464">
        <v>28</v>
      </c>
      <c r="C464" t="s">
        <v>365</v>
      </c>
      <c r="D464" t="s">
        <v>77</v>
      </c>
      <c r="E464" t="s">
        <v>111</v>
      </c>
      <c r="F464">
        <f>VLOOKUP(B464,info!$B$2:$I$49,8,FALSE)</f>
        <v>2675308</v>
      </c>
      <c r="G464" t="str">
        <f>VLOOKUP(B464,info!$B$2:$I$49,5,FALSE)</f>
        <v>front</v>
      </c>
      <c r="H464">
        <v>86581</v>
      </c>
      <c r="I464">
        <v>33748</v>
      </c>
      <c r="J464">
        <v>21937</v>
      </c>
      <c r="K464">
        <v>247193</v>
      </c>
      <c r="L464">
        <v>506.4</v>
      </c>
      <c r="M464">
        <v>105.4</v>
      </c>
      <c r="N464">
        <v>2546</v>
      </c>
      <c r="O464">
        <v>0</v>
      </c>
      <c r="P464">
        <v>41091</v>
      </c>
      <c r="Q464">
        <v>36014</v>
      </c>
      <c r="R464">
        <v>130.1</v>
      </c>
      <c r="S464">
        <v>139.6</v>
      </c>
      <c r="T464">
        <v>59.75</v>
      </c>
      <c r="U464">
        <v>2058</v>
      </c>
      <c r="V464">
        <v>33.85</v>
      </c>
      <c r="W464">
        <v>8.548</v>
      </c>
      <c r="X464">
        <v>0</v>
      </c>
      <c r="Y464">
        <v>39.409999999999997</v>
      </c>
      <c r="Z464">
        <v>34.75</v>
      </c>
      <c r="AA464">
        <v>24.33</v>
      </c>
    </row>
    <row r="465" spans="1:27">
      <c r="A465" t="str">
        <f>VLOOKUP(B465,info!$B$2:$F$49,2,FALSE)</f>
        <v>Renault</v>
      </c>
      <c r="B465">
        <v>29</v>
      </c>
      <c r="C465" t="s">
        <v>365</v>
      </c>
      <c r="D465" t="s">
        <v>77</v>
      </c>
      <c r="E465" t="s">
        <v>112</v>
      </c>
      <c r="F465">
        <f>VLOOKUP(B465,info!$B$2:$I$49,8,FALSE)</f>
        <v>1147816</v>
      </c>
      <c r="G465" t="str">
        <f>VLOOKUP(B465,info!$B$2:$I$49,5,FALSE)</f>
        <v>back triangle</v>
      </c>
      <c r="H465">
        <v>93058</v>
      </c>
      <c r="I465">
        <v>37160</v>
      </c>
      <c r="J465">
        <v>18261</v>
      </c>
      <c r="K465">
        <v>229688</v>
      </c>
      <c r="L465">
        <v>216.5</v>
      </c>
      <c r="M465">
        <v>80.38</v>
      </c>
      <c r="N465">
        <v>215.5</v>
      </c>
      <c r="O465">
        <v>0</v>
      </c>
      <c r="P465">
        <v>35506</v>
      </c>
      <c r="Q465">
        <v>34435</v>
      </c>
      <c r="R465">
        <v>200.4</v>
      </c>
      <c r="S465">
        <v>23.87</v>
      </c>
      <c r="T465">
        <v>144.19999999999999</v>
      </c>
      <c r="U465">
        <v>2885</v>
      </c>
      <c r="V465">
        <v>32.369999999999997</v>
      </c>
      <c r="W465">
        <v>7.5019999999999998</v>
      </c>
      <c r="X465">
        <v>0</v>
      </c>
      <c r="Y465">
        <v>7.4119999999999999</v>
      </c>
      <c r="Z465">
        <v>0</v>
      </c>
      <c r="AA465">
        <v>23.54</v>
      </c>
    </row>
    <row r="466" spans="1:27">
      <c r="A466" t="str">
        <f>VLOOKUP(B466,info!$B$2:$F$49,2,FALSE)</f>
        <v>Ford</v>
      </c>
      <c r="B466">
        <v>30</v>
      </c>
      <c r="C466" t="s">
        <v>365</v>
      </c>
      <c r="D466" t="s">
        <v>77</v>
      </c>
      <c r="E466" t="s">
        <v>113</v>
      </c>
      <c r="F466">
        <f>VLOOKUP(B466,info!$B$2:$I$49,8,FALSE)</f>
        <v>6917835</v>
      </c>
      <c r="G466" t="str">
        <f>VLOOKUP(B466,info!$B$2:$I$49,5,FALSE)</f>
        <v>back</v>
      </c>
      <c r="H466">
        <v>89407</v>
      </c>
      <c r="I466">
        <v>39944</v>
      </c>
      <c r="J466">
        <v>22641</v>
      </c>
      <c r="K466">
        <v>230800</v>
      </c>
      <c r="L466">
        <v>324.10000000000002</v>
      </c>
      <c r="M466">
        <v>85.59</v>
      </c>
      <c r="N466">
        <v>1365</v>
      </c>
      <c r="O466">
        <v>0</v>
      </c>
      <c r="P466">
        <v>36829</v>
      </c>
      <c r="Q466">
        <v>35640</v>
      </c>
      <c r="R466">
        <v>192.3</v>
      </c>
      <c r="S466">
        <v>29.22</v>
      </c>
      <c r="T466">
        <v>22.83</v>
      </c>
      <c r="U466">
        <v>5839</v>
      </c>
      <c r="V466">
        <v>46.51</v>
      </c>
      <c r="W466">
        <v>8.2059999999999995</v>
      </c>
      <c r="X466">
        <v>0</v>
      </c>
      <c r="Y466">
        <v>6.7750000000000004</v>
      </c>
      <c r="Z466">
        <v>22.26</v>
      </c>
      <c r="AA466">
        <v>48.8</v>
      </c>
    </row>
    <row r="467" spans="1:27">
      <c r="A467" t="str">
        <f>VLOOKUP(B467,info!$B$2:$F$49,2,FALSE)</f>
        <v>Hyundai</v>
      </c>
      <c r="B467">
        <v>31</v>
      </c>
      <c r="C467" t="s">
        <v>365</v>
      </c>
      <c r="D467" t="s">
        <v>77</v>
      </c>
      <c r="E467" t="s">
        <v>114</v>
      </c>
      <c r="F467">
        <f>VLOOKUP(B467,info!$B$2:$I$49,8,FALSE)</f>
        <v>9602910</v>
      </c>
      <c r="G467" t="str">
        <f>VLOOKUP(B467,info!$B$2:$I$49,5,FALSE)</f>
        <v>back triangle</v>
      </c>
      <c r="H467">
        <v>82857</v>
      </c>
      <c r="I467">
        <v>33220</v>
      </c>
      <c r="J467">
        <v>18585</v>
      </c>
      <c r="K467">
        <v>226818</v>
      </c>
      <c r="L467">
        <v>320.39999999999998</v>
      </c>
      <c r="M467">
        <v>129.30000000000001</v>
      </c>
      <c r="N467">
        <v>1602</v>
      </c>
      <c r="O467">
        <v>0</v>
      </c>
      <c r="P467">
        <v>42553</v>
      </c>
      <c r="Q467">
        <v>38406</v>
      </c>
      <c r="R467">
        <v>176.7</v>
      </c>
      <c r="S467">
        <v>22.45</v>
      </c>
      <c r="T467">
        <v>52.55</v>
      </c>
      <c r="U467">
        <v>2714</v>
      </c>
      <c r="V467">
        <v>34.909999999999997</v>
      </c>
      <c r="W467">
        <v>5.1859999999999999</v>
      </c>
      <c r="X467">
        <v>0</v>
      </c>
      <c r="Y467">
        <v>3.427</v>
      </c>
      <c r="Z467">
        <v>0</v>
      </c>
      <c r="AA467">
        <v>29.71</v>
      </c>
    </row>
    <row r="468" spans="1:27">
      <c r="A468" t="str">
        <f>VLOOKUP(B468,info!$B$2:$F$49,2,FALSE)</f>
        <v>Hyundai</v>
      </c>
      <c r="B468">
        <v>32</v>
      </c>
      <c r="C468" t="s">
        <v>365</v>
      </c>
      <c r="D468" t="s">
        <v>77</v>
      </c>
      <c r="E468" t="s">
        <v>115</v>
      </c>
      <c r="F468">
        <f>VLOOKUP(B468,info!$B$2:$I$49,8,FALSE)</f>
        <v>9602910</v>
      </c>
      <c r="G468" t="str">
        <f>VLOOKUP(B468,info!$B$2:$I$49,5,FALSE)</f>
        <v>back triangle</v>
      </c>
      <c r="H468">
        <v>75512</v>
      </c>
      <c r="I468">
        <v>30445</v>
      </c>
      <c r="J468">
        <v>16897</v>
      </c>
      <c r="K468">
        <v>216553</v>
      </c>
      <c r="L468">
        <v>273.5</v>
      </c>
      <c r="M468">
        <v>114.7</v>
      </c>
      <c r="N468">
        <v>1559</v>
      </c>
      <c r="O468">
        <v>0</v>
      </c>
      <c r="P468">
        <v>41222</v>
      </c>
      <c r="Q468">
        <v>37109</v>
      </c>
      <c r="R468">
        <v>169.7</v>
      </c>
      <c r="S468">
        <v>25.02</v>
      </c>
      <c r="T468">
        <v>51.89</v>
      </c>
      <c r="U468">
        <v>2636</v>
      </c>
      <c r="V468">
        <v>31.2</v>
      </c>
      <c r="W468">
        <v>5.8659999999999997</v>
      </c>
      <c r="X468">
        <v>0</v>
      </c>
      <c r="Y468">
        <v>3.1269999999999998</v>
      </c>
      <c r="Z468">
        <v>0</v>
      </c>
      <c r="AA468">
        <v>16.5</v>
      </c>
    </row>
    <row r="469" spans="1:27">
      <c r="A469" t="str">
        <f>VLOOKUP(B469,info!$B$2:$F$49,2,FALSE)</f>
        <v>Hyundai</v>
      </c>
      <c r="B469">
        <v>33</v>
      </c>
      <c r="C469" t="s">
        <v>365</v>
      </c>
      <c r="D469" t="s">
        <v>77</v>
      </c>
      <c r="E469" t="s">
        <v>116</v>
      </c>
      <c r="F469">
        <f>VLOOKUP(B469,info!$B$2:$I$49,8,FALSE)</f>
        <v>9602910</v>
      </c>
      <c r="G469" t="str">
        <f>VLOOKUP(B469,info!$B$2:$I$49,5,FALSE)</f>
        <v>back</v>
      </c>
      <c r="H469">
        <v>77971</v>
      </c>
      <c r="I469">
        <v>31916</v>
      </c>
      <c r="J469">
        <v>17084</v>
      </c>
      <c r="K469">
        <v>225844</v>
      </c>
      <c r="L469">
        <v>289.8</v>
      </c>
      <c r="M469">
        <v>80.260000000000005</v>
      </c>
      <c r="N469">
        <v>1670</v>
      </c>
      <c r="O469">
        <v>0</v>
      </c>
      <c r="P469">
        <v>41863</v>
      </c>
      <c r="Q469">
        <v>39650</v>
      </c>
      <c r="R469">
        <v>176.6</v>
      </c>
      <c r="S469">
        <v>24.77</v>
      </c>
      <c r="T469">
        <v>53.13</v>
      </c>
      <c r="U469">
        <v>2715</v>
      </c>
      <c r="V469">
        <v>37.14</v>
      </c>
      <c r="W469">
        <v>9.4359999999999999</v>
      </c>
      <c r="X469">
        <v>10.92</v>
      </c>
      <c r="Y469">
        <v>2.9470000000000001</v>
      </c>
      <c r="Z469">
        <v>9.3620000000000001</v>
      </c>
      <c r="AA469">
        <v>11.85</v>
      </c>
    </row>
    <row r="470" spans="1:27">
      <c r="A470" t="str">
        <f>VLOOKUP(B470,info!$B$2:$F$49,2,FALSE)</f>
        <v>Hyundai</v>
      </c>
      <c r="B470">
        <v>34</v>
      </c>
      <c r="C470" t="s">
        <v>365</v>
      </c>
      <c r="D470" t="s">
        <v>77</v>
      </c>
      <c r="E470" t="s">
        <v>117</v>
      </c>
      <c r="F470">
        <f>VLOOKUP(B470,info!$B$2:$I$49,8,FALSE)</f>
        <v>9602910</v>
      </c>
      <c r="G470" t="str">
        <f>VLOOKUP(B470,info!$B$2:$I$49,5,FALSE)</f>
        <v>back triangle</v>
      </c>
      <c r="H470">
        <v>79305</v>
      </c>
      <c r="I470">
        <v>30265</v>
      </c>
      <c r="J470">
        <v>16099</v>
      </c>
      <c r="K470">
        <v>216977</v>
      </c>
      <c r="L470">
        <v>345.3</v>
      </c>
      <c r="M470">
        <v>152.80000000000001</v>
      </c>
      <c r="N470">
        <v>1140</v>
      </c>
      <c r="O470">
        <v>0</v>
      </c>
      <c r="P470">
        <v>41065</v>
      </c>
      <c r="Q470">
        <v>37893</v>
      </c>
      <c r="R470">
        <v>160.6</v>
      </c>
      <c r="S470">
        <v>23.45</v>
      </c>
      <c r="T470">
        <v>50.62</v>
      </c>
      <c r="U470">
        <v>2592</v>
      </c>
      <c r="V470">
        <v>33.28</v>
      </c>
      <c r="W470">
        <v>8.1669999999999998</v>
      </c>
      <c r="X470">
        <v>2.8849999999999998</v>
      </c>
      <c r="Y470">
        <v>3.7029999999999998</v>
      </c>
      <c r="Z470">
        <v>8.9239999999999995</v>
      </c>
      <c r="AA470">
        <v>10.82</v>
      </c>
    </row>
    <row r="471" spans="1:27">
      <c r="A471" t="str">
        <f>VLOOKUP(B471,info!$B$2:$F$49,2,FALSE)</f>
        <v>Hyundai</v>
      </c>
      <c r="B471">
        <v>35</v>
      </c>
      <c r="C471" t="s">
        <v>365</v>
      </c>
      <c r="D471" t="s">
        <v>77</v>
      </c>
      <c r="E471" t="s">
        <v>118</v>
      </c>
      <c r="F471">
        <f>VLOOKUP(B471,info!$B$2:$I$49,8,FALSE)</f>
        <v>5826120</v>
      </c>
      <c r="G471" t="str">
        <f>VLOOKUP(B471,info!$B$2:$I$49,5,FALSE)</f>
        <v>front</v>
      </c>
      <c r="H471">
        <v>90903</v>
      </c>
      <c r="I471">
        <v>33905</v>
      </c>
      <c r="J471">
        <v>15680</v>
      </c>
      <c r="K471">
        <v>243241</v>
      </c>
      <c r="L471">
        <v>444.2</v>
      </c>
      <c r="M471">
        <v>169.3</v>
      </c>
      <c r="N471">
        <v>1040</v>
      </c>
      <c r="O471">
        <v>0</v>
      </c>
      <c r="P471">
        <v>43479</v>
      </c>
      <c r="Q471">
        <v>40044</v>
      </c>
      <c r="R471">
        <v>189.3</v>
      </c>
      <c r="S471">
        <v>26.9</v>
      </c>
      <c r="T471">
        <v>61.46</v>
      </c>
      <c r="U471">
        <v>2092</v>
      </c>
      <c r="V471">
        <v>21.3</v>
      </c>
      <c r="W471">
        <v>7.1529999999999996</v>
      </c>
      <c r="X471">
        <v>1.6220000000000001</v>
      </c>
      <c r="Y471">
        <v>6.6710000000000003</v>
      </c>
      <c r="Z471">
        <v>0</v>
      </c>
      <c r="AA471">
        <v>27.1</v>
      </c>
    </row>
    <row r="472" spans="1:27">
      <c r="A472" t="str">
        <f>VLOOKUP(B472,info!$B$2:$F$49,2,FALSE)</f>
        <v>Hyundai</v>
      </c>
      <c r="B472">
        <v>36</v>
      </c>
      <c r="C472" t="s">
        <v>365</v>
      </c>
      <c r="D472" t="s">
        <v>77</v>
      </c>
      <c r="E472" t="s">
        <v>119</v>
      </c>
      <c r="F472">
        <f>VLOOKUP(B472,info!$B$2:$I$49,8,FALSE)</f>
        <v>5826120</v>
      </c>
      <c r="G472" t="str">
        <f>VLOOKUP(B472,info!$B$2:$I$49,5,FALSE)</f>
        <v>back</v>
      </c>
      <c r="H472">
        <v>77552</v>
      </c>
      <c r="I472">
        <v>36964</v>
      </c>
      <c r="J472">
        <v>23658</v>
      </c>
      <c r="K472">
        <v>228816</v>
      </c>
      <c r="L472">
        <v>358.3</v>
      </c>
      <c r="M472">
        <v>6.83</v>
      </c>
      <c r="N472">
        <v>3355</v>
      </c>
      <c r="O472">
        <v>0</v>
      </c>
      <c r="P472">
        <v>39353</v>
      </c>
      <c r="Q472">
        <v>36028</v>
      </c>
      <c r="R472">
        <v>253.4</v>
      </c>
      <c r="S472">
        <v>24.71</v>
      </c>
      <c r="T472">
        <v>137.9</v>
      </c>
      <c r="U472">
        <v>2659</v>
      </c>
      <c r="V472">
        <v>31.77</v>
      </c>
      <c r="W472">
        <v>8.6199999999999992</v>
      </c>
      <c r="X472">
        <v>14.73</v>
      </c>
      <c r="Y472">
        <v>14.1</v>
      </c>
      <c r="Z472">
        <v>0</v>
      </c>
      <c r="AA472">
        <v>22.3</v>
      </c>
    </row>
    <row r="473" spans="1:27">
      <c r="A473" t="str">
        <f>VLOOKUP(B473,info!$B$2:$F$49,2,FALSE)</f>
        <v>Ford</v>
      </c>
      <c r="B473">
        <v>37</v>
      </c>
      <c r="C473" t="s">
        <v>365</v>
      </c>
      <c r="D473" t="s">
        <v>77</v>
      </c>
      <c r="E473" t="s">
        <v>120</v>
      </c>
      <c r="F473">
        <f>VLOOKUP(B473,info!$B$2:$I$49,8,FALSE)</f>
        <v>6917835</v>
      </c>
      <c r="G473" t="str">
        <f>VLOOKUP(B473,info!$B$2:$I$49,5,FALSE)</f>
        <v>front</v>
      </c>
      <c r="H473">
        <v>92954</v>
      </c>
      <c r="I473">
        <v>38403</v>
      </c>
      <c r="J473">
        <v>21118</v>
      </c>
      <c r="K473">
        <v>223543</v>
      </c>
      <c r="L473">
        <v>240.8</v>
      </c>
      <c r="M473">
        <v>60.29</v>
      </c>
      <c r="N473">
        <v>823.1</v>
      </c>
      <c r="O473">
        <v>0</v>
      </c>
      <c r="P473">
        <v>37730</v>
      </c>
      <c r="Q473">
        <v>34452</v>
      </c>
      <c r="R473">
        <v>150.69999999999999</v>
      </c>
      <c r="S473">
        <v>28.48</v>
      </c>
      <c r="T473">
        <v>26.77</v>
      </c>
      <c r="U473">
        <v>5666</v>
      </c>
      <c r="V473">
        <v>55.75</v>
      </c>
      <c r="W473">
        <v>8.0229999999999997</v>
      </c>
      <c r="X473">
        <v>2.3860000000000001</v>
      </c>
      <c r="Y473">
        <v>3.7269999999999999</v>
      </c>
      <c r="Z473">
        <v>8.3879999999999999</v>
      </c>
      <c r="AA473">
        <v>67.510000000000005</v>
      </c>
    </row>
    <row r="474" spans="1:27">
      <c r="A474" t="str">
        <f>VLOOKUP(B474,info!$B$2:$F$49,2,FALSE)</f>
        <v>Hyundai</v>
      </c>
      <c r="B474">
        <v>38</v>
      </c>
      <c r="C474" t="s">
        <v>365</v>
      </c>
      <c r="D474" t="s">
        <v>77</v>
      </c>
      <c r="E474" t="s">
        <v>363</v>
      </c>
      <c r="F474">
        <f>VLOOKUP(B474,info!$B$2:$I$49,8,FALSE)</f>
        <v>5826120</v>
      </c>
      <c r="G474" t="str">
        <f>VLOOKUP(B474,info!$B$2:$I$49,5,FALSE)</f>
        <v>back</v>
      </c>
      <c r="H474">
        <v>80654</v>
      </c>
      <c r="I474">
        <v>30536</v>
      </c>
      <c r="J474">
        <v>14933</v>
      </c>
      <c r="K474">
        <v>224049</v>
      </c>
      <c r="L474">
        <v>391</v>
      </c>
      <c r="M474">
        <v>175</v>
      </c>
      <c r="N474">
        <v>888.2</v>
      </c>
      <c r="O474">
        <v>0</v>
      </c>
      <c r="P474">
        <v>42588</v>
      </c>
      <c r="Q474">
        <v>38835</v>
      </c>
      <c r="R474">
        <v>173.1</v>
      </c>
      <c r="S474">
        <v>25.8</v>
      </c>
      <c r="T474">
        <v>67.63</v>
      </c>
      <c r="U474">
        <v>2099</v>
      </c>
      <c r="V474">
        <v>24.12</v>
      </c>
      <c r="W474">
        <v>4.8079999999999998</v>
      </c>
      <c r="X474">
        <v>13.18</v>
      </c>
      <c r="Y474">
        <v>0.63939999999999997</v>
      </c>
      <c r="Z474">
        <v>0</v>
      </c>
      <c r="AA474">
        <v>17.78</v>
      </c>
    </row>
    <row r="475" spans="1:27">
      <c r="A475" t="str">
        <f>VLOOKUP(B475,info!$B$2:$F$49,2,FALSE)</f>
        <v>Renault</v>
      </c>
      <c r="B475">
        <v>39</v>
      </c>
      <c r="C475" t="s">
        <v>365</v>
      </c>
      <c r="D475" t="s">
        <v>77</v>
      </c>
      <c r="E475" t="s">
        <v>121</v>
      </c>
      <c r="F475">
        <f>VLOOKUP(B475,info!$B$2:$I$49,8,FALSE)</f>
        <v>1147816</v>
      </c>
      <c r="G475" t="str">
        <f>VLOOKUP(B475,info!$B$2:$I$49,5,FALSE)</f>
        <v>back triangle</v>
      </c>
      <c r="H475">
        <v>91028</v>
      </c>
      <c r="I475">
        <v>36865</v>
      </c>
      <c r="J475">
        <v>18074</v>
      </c>
      <c r="K475">
        <v>230624</v>
      </c>
      <c r="L475">
        <v>192.4</v>
      </c>
      <c r="M475">
        <v>21.79</v>
      </c>
      <c r="N475">
        <v>604.20000000000005</v>
      </c>
      <c r="O475">
        <v>0</v>
      </c>
      <c r="P475">
        <v>35393</v>
      </c>
      <c r="Q475">
        <v>35218</v>
      </c>
      <c r="R475">
        <v>231.4</v>
      </c>
      <c r="S475">
        <v>25.66</v>
      </c>
      <c r="T475">
        <v>137.5</v>
      </c>
      <c r="U475">
        <v>3046</v>
      </c>
      <c r="V475">
        <v>35.25</v>
      </c>
      <c r="W475">
        <v>7.4649999999999999</v>
      </c>
      <c r="X475">
        <v>3.3730000000000002</v>
      </c>
      <c r="Y475">
        <v>9.1359999999999992</v>
      </c>
      <c r="Z475">
        <v>6.1340000000000003</v>
      </c>
      <c r="AA475">
        <v>35.58</v>
      </c>
    </row>
    <row r="476" spans="1:27">
      <c r="A476" t="str">
        <f>VLOOKUP(B476,info!$B$2:$F$49,2,FALSE)</f>
        <v>Subaru</v>
      </c>
      <c r="B476">
        <v>40</v>
      </c>
      <c r="C476" t="s">
        <v>365</v>
      </c>
      <c r="D476" t="s">
        <v>77</v>
      </c>
      <c r="E476" t="s">
        <v>122</v>
      </c>
      <c r="F476">
        <f>VLOOKUP(B476,info!$B$2:$I$49,8,FALSE)</f>
        <v>2675308</v>
      </c>
      <c r="G476" t="str">
        <f>VLOOKUP(B476,info!$B$2:$I$49,5,FALSE)</f>
        <v>back</v>
      </c>
      <c r="H476">
        <v>81787</v>
      </c>
      <c r="I476">
        <v>31854</v>
      </c>
      <c r="J476">
        <v>18895</v>
      </c>
      <c r="K476">
        <v>239035</v>
      </c>
      <c r="L476">
        <v>348.9</v>
      </c>
      <c r="M476">
        <v>61.45</v>
      </c>
      <c r="N476">
        <v>2865</v>
      </c>
      <c r="O476">
        <v>0</v>
      </c>
      <c r="P476">
        <v>39013</v>
      </c>
      <c r="Q476">
        <v>36694</v>
      </c>
      <c r="R476">
        <v>152.6</v>
      </c>
      <c r="S476">
        <v>18.77</v>
      </c>
      <c r="T476">
        <v>39.46</v>
      </c>
      <c r="U476">
        <v>1754</v>
      </c>
      <c r="V476">
        <v>34.44</v>
      </c>
      <c r="W476">
        <v>3.694</v>
      </c>
      <c r="X476">
        <v>8.7989999999999995</v>
      </c>
      <c r="Y476">
        <v>4.375</v>
      </c>
      <c r="Z476">
        <v>0</v>
      </c>
      <c r="AA476">
        <v>8.0909999999999993</v>
      </c>
    </row>
    <row r="477" spans="1:27">
      <c r="A477" t="str">
        <f>VLOOKUP(B477,info!$B$2:$F$49,2,FALSE)</f>
        <v>Fiat</v>
      </c>
      <c r="B477">
        <v>41</v>
      </c>
      <c r="C477" t="s">
        <v>365</v>
      </c>
      <c r="D477" t="s">
        <v>77</v>
      </c>
      <c r="E477" t="s">
        <v>123</v>
      </c>
      <c r="F477">
        <f>VLOOKUP(B477,info!$B$2:$I$49,8,FALSE)</f>
        <v>5751910</v>
      </c>
      <c r="G477" t="str">
        <f>VLOOKUP(B477,info!$B$2:$I$49,5,FALSE)</f>
        <v>back</v>
      </c>
      <c r="H477">
        <v>91418</v>
      </c>
      <c r="I477">
        <v>35680</v>
      </c>
      <c r="J477">
        <v>19056</v>
      </c>
      <c r="K477">
        <v>225844</v>
      </c>
      <c r="L477">
        <v>293.39999999999998</v>
      </c>
      <c r="M477">
        <v>136.5</v>
      </c>
      <c r="N477">
        <v>71.459999999999994</v>
      </c>
      <c r="O477">
        <v>0</v>
      </c>
      <c r="P477">
        <v>35917</v>
      </c>
      <c r="Q477">
        <v>35101</v>
      </c>
      <c r="R477">
        <v>108.2</v>
      </c>
      <c r="S477">
        <v>26.19</v>
      </c>
      <c r="T477">
        <v>99.53</v>
      </c>
      <c r="U477">
        <v>4882</v>
      </c>
      <c r="V477">
        <v>48.95</v>
      </c>
      <c r="W477">
        <v>4.867</v>
      </c>
      <c r="X477">
        <v>0</v>
      </c>
      <c r="Y477">
        <v>11.7</v>
      </c>
      <c r="Z477">
        <v>18.25</v>
      </c>
      <c r="AA477">
        <v>30.75</v>
      </c>
    </row>
    <row r="478" spans="1:27">
      <c r="A478" t="str">
        <f>VLOOKUP(B478,info!$B$2:$F$49,2,FALSE)</f>
        <v>Renault</v>
      </c>
      <c r="B478">
        <v>42</v>
      </c>
      <c r="C478" t="s">
        <v>365</v>
      </c>
      <c r="D478" t="s">
        <v>77</v>
      </c>
      <c r="E478" t="s">
        <v>124</v>
      </c>
      <c r="F478">
        <f>VLOOKUP(B478,info!$B$2:$I$49,8,FALSE)</f>
        <v>1147816</v>
      </c>
      <c r="G478" t="str">
        <f>VLOOKUP(B478,info!$B$2:$I$49,5,FALSE)</f>
        <v>back</v>
      </c>
      <c r="H478">
        <v>87663</v>
      </c>
      <c r="I478">
        <v>38561</v>
      </c>
      <c r="J478">
        <v>26527</v>
      </c>
      <c r="K478">
        <v>232428</v>
      </c>
      <c r="L478">
        <v>280.7</v>
      </c>
      <c r="M478">
        <v>116</v>
      </c>
      <c r="N478">
        <v>3700</v>
      </c>
      <c r="O478">
        <v>0</v>
      </c>
      <c r="P478">
        <v>40326</v>
      </c>
      <c r="Q478">
        <v>35512</v>
      </c>
      <c r="R478">
        <v>167.2</v>
      </c>
      <c r="S478">
        <v>42.94</v>
      </c>
      <c r="T478">
        <v>39.69</v>
      </c>
      <c r="U478">
        <v>3998</v>
      </c>
      <c r="V478">
        <v>45.02</v>
      </c>
      <c r="W478">
        <v>9.5640000000000001</v>
      </c>
      <c r="X478">
        <v>0</v>
      </c>
      <c r="Y478">
        <v>8.3859999999999992</v>
      </c>
      <c r="Z478">
        <v>10.14</v>
      </c>
      <c r="AA478">
        <v>25.47</v>
      </c>
    </row>
    <row r="479" spans="1:27">
      <c r="A479" t="str">
        <f>VLOOKUP(B479,info!$B$2:$F$49,2,FALSE)</f>
        <v>Fiat</v>
      </c>
      <c r="B479">
        <v>43</v>
      </c>
      <c r="C479" t="s">
        <v>365</v>
      </c>
      <c r="D479" t="s">
        <v>77</v>
      </c>
      <c r="E479" t="s">
        <v>125</v>
      </c>
      <c r="F479">
        <f>VLOOKUP(B479,info!$B$2:$I$49,8,FALSE)</f>
        <v>5751910</v>
      </c>
      <c r="G479" t="str">
        <f>VLOOKUP(B479,info!$B$2:$I$49,5,FALSE)</f>
        <v>front</v>
      </c>
      <c r="H479">
        <v>93020</v>
      </c>
      <c r="I479">
        <v>35878</v>
      </c>
      <c r="J479">
        <v>18649</v>
      </c>
      <c r="K479">
        <v>235295</v>
      </c>
      <c r="L479">
        <v>303.39999999999998</v>
      </c>
      <c r="M479">
        <v>99.4</v>
      </c>
      <c r="N479">
        <v>112.5</v>
      </c>
      <c r="O479">
        <v>0</v>
      </c>
      <c r="P479">
        <v>37055</v>
      </c>
      <c r="Q479">
        <v>36117</v>
      </c>
      <c r="R479">
        <v>112.8</v>
      </c>
      <c r="S479">
        <v>42.93</v>
      </c>
      <c r="T479">
        <v>96.34</v>
      </c>
      <c r="U479">
        <v>4812</v>
      </c>
      <c r="V479">
        <v>50.72</v>
      </c>
      <c r="W479">
        <v>10.76</v>
      </c>
      <c r="X479">
        <v>12.46</v>
      </c>
      <c r="Y479">
        <v>10.41</v>
      </c>
      <c r="Z479">
        <v>4.91</v>
      </c>
      <c r="AA479">
        <v>20.29</v>
      </c>
    </row>
    <row r="480" spans="1:27">
      <c r="A480" t="str">
        <f>VLOOKUP(B480,info!$B$2:$F$49,2,FALSE)</f>
        <v>Hyundai</v>
      </c>
      <c r="B480">
        <v>44</v>
      </c>
      <c r="C480" t="s">
        <v>365</v>
      </c>
      <c r="D480" t="s">
        <v>77</v>
      </c>
      <c r="E480" t="s">
        <v>126</v>
      </c>
      <c r="F480">
        <f>VLOOKUP(B480,info!$B$2:$I$49,8,FALSE)</f>
        <v>9602910</v>
      </c>
      <c r="G480" t="str">
        <f>VLOOKUP(B480,info!$B$2:$I$49,5,FALSE)</f>
        <v>front</v>
      </c>
      <c r="H480">
        <v>82114</v>
      </c>
      <c r="I480">
        <v>32958</v>
      </c>
      <c r="J480">
        <v>17535</v>
      </c>
      <c r="K480">
        <v>231195</v>
      </c>
      <c r="L480">
        <v>383.5</v>
      </c>
      <c r="M480">
        <v>56.81</v>
      </c>
      <c r="N480">
        <v>1706</v>
      </c>
      <c r="O480">
        <v>0</v>
      </c>
      <c r="P480">
        <v>43618</v>
      </c>
      <c r="Q480">
        <v>40344</v>
      </c>
      <c r="R480">
        <v>198.1</v>
      </c>
      <c r="S480">
        <v>42.17</v>
      </c>
      <c r="T480">
        <v>49.48</v>
      </c>
      <c r="U480">
        <v>2666</v>
      </c>
      <c r="V480">
        <v>30.57</v>
      </c>
      <c r="W480">
        <v>8.4740000000000002</v>
      </c>
      <c r="X480">
        <v>2.2000000000000002</v>
      </c>
      <c r="Y480">
        <v>4.4560000000000004</v>
      </c>
      <c r="Z480">
        <v>3.4119999999999999</v>
      </c>
      <c r="AA480">
        <v>15.02</v>
      </c>
    </row>
    <row r="481" spans="1:30">
      <c r="A481" t="str">
        <f>VLOOKUP(B481,info!$B$2:$F$49,2,FALSE)</f>
        <v>Subaru</v>
      </c>
      <c r="B481">
        <v>45</v>
      </c>
      <c r="C481" t="s">
        <v>365</v>
      </c>
      <c r="D481" t="s">
        <v>77</v>
      </c>
      <c r="E481" t="s">
        <v>364</v>
      </c>
      <c r="F481">
        <f>VLOOKUP(B481,info!$B$2:$I$49,8,FALSE)</f>
        <v>2675308</v>
      </c>
      <c r="G481" t="str">
        <f>VLOOKUP(B481,info!$B$2:$I$49,5,FALSE)</f>
        <v>back</v>
      </c>
      <c r="H481">
        <v>87913</v>
      </c>
      <c r="I481">
        <v>33909</v>
      </c>
      <c r="J481">
        <v>21259</v>
      </c>
      <c r="K481">
        <v>225394</v>
      </c>
      <c r="L481">
        <v>415.1</v>
      </c>
      <c r="M481">
        <v>113.5</v>
      </c>
      <c r="N481">
        <v>2597</v>
      </c>
      <c r="O481">
        <v>0</v>
      </c>
      <c r="P481">
        <v>40445</v>
      </c>
      <c r="Q481">
        <v>37040</v>
      </c>
      <c r="R481">
        <v>131.69999999999999</v>
      </c>
      <c r="S481">
        <v>30.12</v>
      </c>
      <c r="T481">
        <v>46.42</v>
      </c>
      <c r="U481">
        <v>1866</v>
      </c>
      <c r="V481">
        <v>30.51</v>
      </c>
      <c r="W481">
        <v>7.5720000000000001</v>
      </c>
      <c r="X481">
        <v>3.1349999999999998</v>
      </c>
      <c r="Y481">
        <v>13.67</v>
      </c>
      <c r="Z481">
        <v>15.81</v>
      </c>
      <c r="AA481">
        <v>31.49</v>
      </c>
    </row>
    <row r="482" spans="1:30">
      <c r="A482" t="str">
        <f>VLOOKUP(B482,info!$B$2:$F$49,2,FALSE)</f>
        <v>Mazda</v>
      </c>
      <c r="B482" s="34">
        <v>1</v>
      </c>
      <c r="C482" t="s">
        <v>368</v>
      </c>
      <c r="D482" s="34" t="s">
        <v>30</v>
      </c>
      <c r="F482">
        <f>VLOOKUP(B482,info!$B$2:$I$49,8,FALSE)</f>
        <v>3550828</v>
      </c>
      <c r="G482" t="str">
        <f>VLOOKUP(B482,info!$B$2:$I$49,5,FALSE)</f>
        <v>front</v>
      </c>
      <c r="J482" s="35">
        <v>5519.4482586613303</v>
      </c>
      <c r="K482" s="35">
        <v>325557.06200342899</v>
      </c>
      <c r="N482" s="35">
        <v>6953.2813169915598</v>
      </c>
      <c r="P482" s="35">
        <v>59112.0315358968</v>
      </c>
      <c r="R482" s="35">
        <v>168.04323592450501</v>
      </c>
      <c r="U482" s="35">
        <v>2108.6861562392</v>
      </c>
      <c r="AD482" s="36">
        <v>57200</v>
      </c>
    </row>
    <row r="483" spans="1:30">
      <c r="A483" t="str">
        <f>VLOOKUP(B483,info!$B$2:$F$49,2,FALSE)</f>
        <v>Mazda</v>
      </c>
      <c r="B483" s="34">
        <v>2</v>
      </c>
      <c r="C483" t="s">
        <v>368</v>
      </c>
      <c r="D483" s="34" t="s">
        <v>30</v>
      </c>
      <c r="F483">
        <f>VLOOKUP(B483,info!$B$2:$I$49,8,FALSE)</f>
        <v>3550828</v>
      </c>
      <c r="G483" t="str">
        <f>VLOOKUP(B483,info!$B$2:$I$49,5,FALSE)</f>
        <v>back</v>
      </c>
      <c r="J483" s="35">
        <v>5216.37400170413</v>
      </c>
      <c r="K483" s="35">
        <v>317660.53332086501</v>
      </c>
      <c r="N483" s="35">
        <v>6515.9224489946901</v>
      </c>
      <c r="P483" s="35">
        <v>58935.673610006997</v>
      </c>
      <c r="R483" s="35">
        <v>170.94442669650499</v>
      </c>
      <c r="U483" s="35">
        <v>2888.16547467175</v>
      </c>
      <c r="AD483" s="36">
        <v>92500</v>
      </c>
    </row>
    <row r="484" spans="1:30">
      <c r="A484" t="str">
        <f>VLOOKUP(B484,info!$B$2:$F$49,2,FALSE)</f>
        <v>Mazda</v>
      </c>
      <c r="B484" s="34">
        <v>3</v>
      </c>
      <c r="C484" t="s">
        <v>368</v>
      </c>
      <c r="D484" s="34" t="s">
        <v>30</v>
      </c>
      <c r="F484">
        <f>VLOOKUP(B484,info!$B$2:$I$49,8,FALSE)</f>
        <v>3550828</v>
      </c>
      <c r="G484" t="str">
        <f>VLOOKUP(B484,info!$B$2:$I$49,5,FALSE)</f>
        <v>back</v>
      </c>
      <c r="J484" s="35">
        <v>5523.4914627718599</v>
      </c>
      <c r="K484" s="35">
        <v>318841.01972444402</v>
      </c>
      <c r="N484" s="35">
        <v>6487.3163316760301</v>
      </c>
      <c r="P484" s="35">
        <v>58364.064690451298</v>
      </c>
      <c r="R484" s="35">
        <v>139.68846626484401</v>
      </c>
      <c r="U484" s="35">
        <v>2811.0525149344999</v>
      </c>
      <c r="AD484" s="36">
        <v>93900</v>
      </c>
    </row>
    <row r="485" spans="1:30">
      <c r="A485" t="str">
        <f>VLOOKUP(B485,info!$B$2:$F$49,2,FALSE)</f>
        <v>Peugeot</v>
      </c>
      <c r="B485" s="34">
        <v>4</v>
      </c>
      <c r="C485" t="s">
        <v>368</v>
      </c>
      <c r="D485" s="34" t="s">
        <v>30</v>
      </c>
      <c r="F485">
        <f>VLOOKUP(B485,info!$B$2:$I$49,8,FALSE)</f>
        <v>9367324</v>
      </c>
      <c r="G485" t="str">
        <f>VLOOKUP(B485,info!$B$2:$I$49,5,FALSE)</f>
        <v>front</v>
      </c>
      <c r="J485" s="35">
        <v>2607.0089957765599</v>
      </c>
      <c r="K485" s="35">
        <v>322177.86827746802</v>
      </c>
      <c r="N485" s="35">
        <v>1344.7338939444801</v>
      </c>
      <c r="P485" s="35">
        <v>60781.003212719203</v>
      </c>
      <c r="R485" s="35">
        <v>158.666620881059</v>
      </c>
      <c r="U485" s="35">
        <v>4713.6251565433804</v>
      </c>
      <c r="AD485" s="36">
        <v>110000</v>
      </c>
    </row>
    <row r="486" spans="1:30">
      <c r="A486" t="str">
        <f>VLOOKUP(B486,info!$B$2:$F$49,2,FALSE)</f>
        <v>Peugeot</v>
      </c>
      <c r="B486" s="34">
        <v>5</v>
      </c>
      <c r="C486" t="s">
        <v>368</v>
      </c>
      <c r="D486" s="34" t="s">
        <v>30</v>
      </c>
      <c r="F486">
        <f>VLOOKUP(B486,info!$B$2:$I$49,8,FALSE)</f>
        <v>9367324</v>
      </c>
      <c r="G486" t="str">
        <f>VLOOKUP(B486,info!$B$2:$I$49,5,FALSE)</f>
        <v>front</v>
      </c>
      <c r="J486" s="35">
        <v>1350.50950345359</v>
      </c>
      <c r="K486" s="35">
        <v>326717.38827613002</v>
      </c>
      <c r="N486" s="35">
        <v>350.10217981851002</v>
      </c>
      <c r="P486" s="35">
        <v>61538.828955949699</v>
      </c>
      <c r="R486" s="35">
        <v>18.677379144359801</v>
      </c>
      <c r="U486" s="35">
        <v>4936.0852931645904</v>
      </c>
      <c r="AD486" s="36">
        <v>103000</v>
      </c>
    </row>
    <row r="487" spans="1:30">
      <c r="A487" t="str">
        <f>VLOOKUP(B487,info!$B$2:$F$49,2,FALSE)</f>
        <v>Mazda</v>
      </c>
      <c r="B487" s="34">
        <v>6</v>
      </c>
      <c r="C487" t="s">
        <v>368</v>
      </c>
      <c r="D487" s="34" t="s">
        <v>30</v>
      </c>
      <c r="F487">
        <f>VLOOKUP(B487,info!$B$2:$I$49,8,FALSE)</f>
        <v>3550828</v>
      </c>
      <c r="G487" t="str">
        <f>VLOOKUP(B487,info!$B$2:$I$49,5,FALSE)</f>
        <v>front</v>
      </c>
      <c r="J487" s="35">
        <v>5607.6563039561997</v>
      </c>
      <c r="K487" s="35">
        <v>322601.41542203299</v>
      </c>
      <c r="N487" s="35">
        <v>6994.5485356683403</v>
      </c>
      <c r="P487" s="35">
        <v>58478.155512361503</v>
      </c>
      <c r="R487" s="35">
        <v>162.095942601872</v>
      </c>
      <c r="U487" s="35">
        <v>2805.3225573107202</v>
      </c>
      <c r="AD487" s="36">
        <v>105000</v>
      </c>
    </row>
    <row r="488" spans="1:30">
      <c r="A488" t="str">
        <f>VLOOKUP(B488,info!$B$2:$F$49,2,FALSE)</f>
        <v>Hyundai</v>
      </c>
      <c r="B488" s="34">
        <v>7</v>
      </c>
      <c r="C488" t="s">
        <v>368</v>
      </c>
      <c r="D488" s="34" t="s">
        <v>30</v>
      </c>
      <c r="F488">
        <f>VLOOKUP(B488,info!$B$2:$I$49,8,FALSE)</f>
        <v>9540217</v>
      </c>
      <c r="G488" t="str">
        <f>VLOOKUP(B488,info!$B$2:$I$49,5,FALSE)</f>
        <v>back</v>
      </c>
      <c r="J488" s="35">
        <v>4109.1337639124804</v>
      </c>
      <c r="K488" s="35">
        <v>309313.76587060699</v>
      </c>
      <c r="N488" s="35">
        <v>3124.5309023532</v>
      </c>
      <c r="P488" s="35">
        <v>64448.136141452</v>
      </c>
      <c r="R488" s="35">
        <v>192.35708356198199</v>
      </c>
      <c r="U488" s="35">
        <v>2703.59345506619</v>
      </c>
      <c r="AD488" s="36">
        <v>62100</v>
      </c>
    </row>
    <row r="489" spans="1:30">
      <c r="A489" t="str">
        <f>VLOOKUP(B489,info!$B$2:$F$49,2,FALSE)</f>
        <v>Honda</v>
      </c>
      <c r="B489" s="34">
        <v>8</v>
      </c>
      <c r="C489" t="s">
        <v>368</v>
      </c>
      <c r="D489" s="34" t="s">
        <v>30</v>
      </c>
      <c r="F489">
        <f>VLOOKUP(B489,info!$B$2:$I$49,8,FALSE)</f>
        <v>8096906</v>
      </c>
      <c r="G489" t="str">
        <f>VLOOKUP(B489,info!$B$2:$I$49,5,FALSE)</f>
        <v>front</v>
      </c>
      <c r="J489" s="35">
        <v>1627.49542096603</v>
      </c>
      <c r="K489" s="35">
        <v>343501.90078849602</v>
      </c>
      <c r="N489" s="35">
        <v>189.336593380972</v>
      </c>
      <c r="P489" s="35">
        <v>61568.462142563403</v>
      </c>
      <c r="R489" s="35">
        <v>20.818376734887401</v>
      </c>
      <c r="U489" s="35">
        <v>3125.2830227292602</v>
      </c>
      <c r="AD489" s="36">
        <v>63800</v>
      </c>
    </row>
    <row r="490" spans="1:30">
      <c r="A490" t="str">
        <f>VLOOKUP(B490,info!$B$2:$F$49,2,FALSE)</f>
        <v>Honda</v>
      </c>
      <c r="B490" s="34">
        <v>9</v>
      </c>
      <c r="C490" t="s">
        <v>368</v>
      </c>
      <c r="D490" s="34" t="s">
        <v>30</v>
      </c>
      <c r="F490">
        <f>VLOOKUP(B490,info!$B$2:$I$49,8,FALSE)</f>
        <v>8096906</v>
      </c>
      <c r="G490" t="str">
        <f>VLOOKUP(B490,info!$B$2:$I$49,5,FALSE)</f>
        <v>back</v>
      </c>
      <c r="J490" s="35">
        <v>1529.4837897320001</v>
      </c>
      <c r="K490" s="35">
        <v>342805.00023471197</v>
      </c>
      <c r="N490" s="35">
        <v>153.114069948918</v>
      </c>
      <c r="P490" s="35">
        <v>61575.670831106501</v>
      </c>
      <c r="R490" s="35">
        <v>17.048733931168499</v>
      </c>
      <c r="U490" s="35">
        <v>2831.3078710642799</v>
      </c>
      <c r="AD490" s="36">
        <v>78300</v>
      </c>
    </row>
    <row r="491" spans="1:30">
      <c r="A491" t="str">
        <f>VLOOKUP(B491,info!$B$2:$F$49,2,FALSE)</f>
        <v>Ford</v>
      </c>
      <c r="B491" s="34">
        <v>10</v>
      </c>
      <c r="C491" t="s">
        <v>368</v>
      </c>
      <c r="D491" s="34" t="s">
        <v>30</v>
      </c>
      <c r="F491">
        <f>VLOOKUP(B491,info!$B$2:$I$49,8,FALSE)</f>
        <v>6917835</v>
      </c>
      <c r="G491" t="str">
        <f>VLOOKUP(B491,info!$B$2:$I$49,5,FALSE)</f>
        <v>front</v>
      </c>
      <c r="J491" s="35">
        <v>3232.8240791461999</v>
      </c>
      <c r="K491" s="35">
        <v>321915.03949632501</v>
      </c>
      <c r="N491" s="35">
        <v>2578.1667931751599</v>
      </c>
      <c r="P491" s="35">
        <v>59122.113103476302</v>
      </c>
      <c r="R491" s="35">
        <v>212.86588338646399</v>
      </c>
      <c r="U491" s="35">
        <v>6020.4672917344997</v>
      </c>
      <c r="AD491" s="36">
        <v>80100</v>
      </c>
    </row>
    <row r="492" spans="1:30">
      <c r="A492" t="str">
        <f>VLOOKUP(B492,info!$B$2:$F$49,2,FALSE)</f>
        <v>Honda</v>
      </c>
      <c r="B492" s="34">
        <v>11</v>
      </c>
      <c r="C492" t="s">
        <v>368</v>
      </c>
      <c r="D492" s="34" t="s">
        <v>30</v>
      </c>
      <c r="F492">
        <f>VLOOKUP(B492,info!$B$2:$I$49,8,FALSE)</f>
        <v>8096906</v>
      </c>
      <c r="G492" t="str">
        <f>VLOOKUP(B492,info!$B$2:$I$49,5,FALSE)</f>
        <v>back</v>
      </c>
      <c r="J492" s="35">
        <v>1278.52433795549</v>
      </c>
      <c r="K492" s="35">
        <v>343902.31562225299</v>
      </c>
      <c r="N492" s="35">
        <v>223.29501258473101</v>
      </c>
      <c r="P492" s="35">
        <v>61827.432672520801</v>
      </c>
      <c r="R492" s="35">
        <v>23.4778922057221</v>
      </c>
      <c r="U492" s="35">
        <v>2947.61923289893</v>
      </c>
      <c r="AD492" s="36">
        <v>69800</v>
      </c>
    </row>
    <row r="493" spans="1:30">
      <c r="A493" t="str">
        <f>VLOOKUP(B493,info!$B$2:$F$49,2,FALSE)</f>
        <v>Daewoo</v>
      </c>
      <c r="B493" s="34">
        <v>12</v>
      </c>
      <c r="C493" t="s">
        <v>368</v>
      </c>
      <c r="D493" s="34" t="s">
        <v>30</v>
      </c>
      <c r="F493">
        <f>VLOOKUP(B493,info!$B$2:$I$49,8,FALSE)</f>
        <v>8501017</v>
      </c>
      <c r="G493" t="str">
        <f>VLOOKUP(B493,info!$B$2:$I$49,5,FALSE)</f>
        <v>back</v>
      </c>
      <c r="J493" s="35">
        <v>4597.1056767560003</v>
      </c>
      <c r="K493" s="35">
        <v>337016.43453772902</v>
      </c>
      <c r="N493" s="35">
        <v>5104.9490369389796</v>
      </c>
      <c r="P493" s="35">
        <v>58218.921072213503</v>
      </c>
      <c r="R493" s="35">
        <v>180.75303017994801</v>
      </c>
      <c r="U493" s="35">
        <v>3084.21524943639</v>
      </c>
      <c r="AD493" s="36">
        <v>75400</v>
      </c>
    </row>
    <row r="494" spans="1:30">
      <c r="A494" t="str">
        <f>VLOOKUP(B494,info!$B$2:$F$49,2,FALSE)</f>
        <v>Hyundai</v>
      </c>
      <c r="B494" s="34">
        <v>13</v>
      </c>
      <c r="C494" t="s">
        <v>368</v>
      </c>
      <c r="D494" s="34" t="s">
        <v>30</v>
      </c>
      <c r="F494">
        <f>VLOOKUP(B494,info!$B$2:$I$49,8,FALSE)</f>
        <v>9540217</v>
      </c>
      <c r="G494" t="str">
        <f>VLOOKUP(B494,info!$B$2:$I$49,5,FALSE)</f>
        <v>back</v>
      </c>
      <c r="J494" s="35">
        <v>3979.7078091774101</v>
      </c>
      <c r="K494" s="35">
        <v>303027.04272437003</v>
      </c>
      <c r="N494" s="35">
        <v>3056.0671702978202</v>
      </c>
      <c r="P494" s="35">
        <v>63732.513545191199</v>
      </c>
      <c r="R494" s="35">
        <v>235.67121311990601</v>
      </c>
      <c r="U494" s="35">
        <v>2658.4715554040299</v>
      </c>
      <c r="AD494" s="36">
        <v>75000</v>
      </c>
    </row>
    <row r="495" spans="1:30">
      <c r="A495" t="str">
        <f>VLOOKUP(B495,info!$B$2:$F$49,2,FALSE)</f>
        <v>Peugeot</v>
      </c>
      <c r="B495" s="34">
        <v>14</v>
      </c>
      <c r="C495" t="s">
        <v>368</v>
      </c>
      <c r="D495" s="34" t="s">
        <v>30</v>
      </c>
      <c r="F495">
        <f>VLOOKUP(B495,info!$B$2:$I$49,8,FALSE)</f>
        <v>9367324</v>
      </c>
      <c r="G495" t="str">
        <f>VLOOKUP(B495,info!$B$2:$I$49,5,FALSE)</f>
        <v>back</v>
      </c>
      <c r="J495" s="35">
        <v>3824.7653930615502</v>
      </c>
      <c r="K495" s="35">
        <v>304417.14548558299</v>
      </c>
      <c r="N495" s="35">
        <v>3012.5597176855599</v>
      </c>
      <c r="P495" s="35">
        <v>64313.817076413397</v>
      </c>
      <c r="R495" s="35">
        <v>223.56904983681301</v>
      </c>
      <c r="U495" s="35">
        <v>2617.55120722831</v>
      </c>
      <c r="AD495" s="36">
        <v>72700</v>
      </c>
    </row>
    <row r="496" spans="1:30">
      <c r="A496" t="str">
        <f>VLOOKUP(B496,info!$B$2:$F$49,2,FALSE)</f>
        <v>Ford</v>
      </c>
      <c r="B496" s="34">
        <v>15</v>
      </c>
      <c r="C496" t="s">
        <v>368</v>
      </c>
      <c r="D496" s="34" t="s">
        <v>30</v>
      </c>
      <c r="F496">
        <f>VLOOKUP(B496,info!$B$2:$I$49,8,FALSE)</f>
        <v>6917835</v>
      </c>
      <c r="G496" t="str">
        <f>VLOOKUP(B496,info!$B$2:$I$49,5,FALSE)</f>
        <v>back</v>
      </c>
      <c r="J496" s="35">
        <v>3573.2528618946899</v>
      </c>
      <c r="K496" s="35">
        <v>326524.10087815899</v>
      </c>
      <c r="N496" s="35">
        <v>2487.7393570143299</v>
      </c>
      <c r="P496" s="35">
        <v>59048.293142750998</v>
      </c>
      <c r="R496" s="35">
        <v>204.92084460503301</v>
      </c>
      <c r="U496" s="35">
        <v>6565.0425740423898</v>
      </c>
      <c r="AD496" s="36">
        <v>71000</v>
      </c>
    </row>
    <row r="497" spans="1:30">
      <c r="A497" t="str">
        <f>VLOOKUP(B497,info!$B$2:$F$49,2,FALSE)</f>
        <v>Hyundai</v>
      </c>
      <c r="B497" s="34">
        <v>16</v>
      </c>
      <c r="C497" t="s">
        <v>368</v>
      </c>
      <c r="D497" s="34" t="s">
        <v>30</v>
      </c>
      <c r="F497">
        <f>VLOOKUP(B497,info!$B$2:$I$49,8,FALSE)</f>
        <v>6316720</v>
      </c>
      <c r="G497" t="str">
        <f>VLOOKUP(B497,info!$B$2:$I$49,5,FALSE)</f>
        <v>back</v>
      </c>
      <c r="J497" s="35">
        <v>3702.2798985979698</v>
      </c>
      <c r="K497" s="35">
        <v>305641.11837254802</v>
      </c>
      <c r="N497" s="35">
        <v>2988.4432426929302</v>
      </c>
      <c r="P497" s="35">
        <v>64363.013370563298</v>
      </c>
      <c r="R497" s="35">
        <v>170.80159938345301</v>
      </c>
      <c r="U497" s="35">
        <v>2832.56283504982</v>
      </c>
      <c r="AD497" s="36">
        <v>62700</v>
      </c>
    </row>
    <row r="498" spans="1:30">
      <c r="A498" t="str">
        <f>VLOOKUP(B498,info!$B$2:$F$49,2,FALSE)</f>
        <v>Hyundai</v>
      </c>
      <c r="B498" s="34">
        <v>17</v>
      </c>
      <c r="C498" t="s">
        <v>368</v>
      </c>
      <c r="D498" s="34" t="s">
        <v>30</v>
      </c>
      <c r="F498">
        <f>VLOOKUP(B498,info!$B$2:$I$49,8,FALSE)</f>
        <v>6316720</v>
      </c>
      <c r="G498" t="str">
        <f>VLOOKUP(B498,info!$B$2:$I$49,5,FALSE)</f>
        <v>back</v>
      </c>
      <c r="J498" s="35">
        <v>5652.8040184985803</v>
      </c>
      <c r="K498" s="35">
        <v>313950.77028581698</v>
      </c>
      <c r="N498" s="35">
        <v>3266.8843230444299</v>
      </c>
      <c r="P498" s="35">
        <v>62849.5256151422</v>
      </c>
      <c r="R498" s="35">
        <v>170.93768562174699</v>
      </c>
      <c r="U498" s="35">
        <v>2691.74241515624</v>
      </c>
      <c r="AD498" s="36">
        <v>17600</v>
      </c>
    </row>
    <row r="499" spans="1:30">
      <c r="A499" t="str">
        <f>VLOOKUP(B499,info!$B$2:$F$49,2,FALSE)</f>
        <v>Honda</v>
      </c>
      <c r="B499" s="34">
        <v>18</v>
      </c>
      <c r="C499" t="s">
        <v>368</v>
      </c>
      <c r="D499" s="34" t="s">
        <v>30</v>
      </c>
      <c r="F499">
        <f>VLOOKUP(B499,info!$B$2:$I$49,8,FALSE)</f>
        <v>8096906</v>
      </c>
      <c r="G499" t="str">
        <f>VLOOKUP(B499,info!$B$2:$I$49,5,FALSE)</f>
        <v>front</v>
      </c>
      <c r="J499" s="35">
        <v>3211.51392237543</v>
      </c>
      <c r="K499" s="35">
        <v>352173.93600507599</v>
      </c>
      <c r="N499" s="35">
        <v>406.418555627214</v>
      </c>
      <c r="P499" s="35">
        <v>59925.0219824058</v>
      </c>
      <c r="R499" s="35">
        <v>13.8608052372263</v>
      </c>
      <c r="U499" s="35">
        <v>2892.0377541933899</v>
      </c>
      <c r="AD499" s="36">
        <v>21000</v>
      </c>
    </row>
    <row r="500" spans="1:30">
      <c r="A500" t="str">
        <f>VLOOKUP(B500,info!$B$2:$F$49,2,FALSE)</f>
        <v>Hyundai</v>
      </c>
      <c r="B500" s="34">
        <v>19</v>
      </c>
      <c r="C500" t="s">
        <v>368</v>
      </c>
      <c r="D500" s="34" t="s">
        <v>30</v>
      </c>
      <c r="F500">
        <f>VLOOKUP(B500,info!$B$2:$I$49,8,FALSE)</f>
        <v>6316720</v>
      </c>
      <c r="G500" t="str">
        <f>VLOOKUP(B500,info!$B$2:$I$49,5,FALSE)</f>
        <v>front</v>
      </c>
      <c r="J500" s="35">
        <v>5905.9751897401002</v>
      </c>
      <c r="K500" s="35">
        <v>315249.795609358</v>
      </c>
      <c r="N500" s="35">
        <v>3122.1377608975199</v>
      </c>
      <c r="P500" s="35">
        <v>62721.633193630703</v>
      </c>
      <c r="R500" s="35">
        <v>206.223787561693</v>
      </c>
      <c r="U500" s="35">
        <v>2569.1414312992001</v>
      </c>
      <c r="AD500" s="36">
        <v>30500</v>
      </c>
    </row>
    <row r="501" spans="1:30">
      <c r="A501" t="str">
        <f>VLOOKUP(B501,info!$B$2:$F$49,2,FALSE)</f>
        <v>Fiat</v>
      </c>
      <c r="B501" s="34">
        <v>20</v>
      </c>
      <c r="C501" t="s">
        <v>368</v>
      </c>
      <c r="D501" s="34" t="s">
        <v>30</v>
      </c>
      <c r="F501">
        <f>VLOOKUP(B501,info!$B$2:$I$49,8,FALSE)</f>
        <v>5751910</v>
      </c>
      <c r="G501" t="str">
        <f>VLOOKUP(B501,info!$B$2:$I$49,5,FALSE)</f>
        <v>back</v>
      </c>
      <c r="J501" s="35">
        <v>4637.6178858617895</v>
      </c>
      <c r="K501" s="35">
        <v>344382.40256918099</v>
      </c>
      <c r="N501" s="35">
        <v>3212.6287692760102</v>
      </c>
      <c r="P501" s="35">
        <v>55738.708071946698</v>
      </c>
      <c r="R501" s="35">
        <v>237.592441746124</v>
      </c>
      <c r="U501" s="35">
        <v>5468.0519331924197</v>
      </c>
      <c r="AD501" s="36">
        <v>17700</v>
      </c>
    </row>
    <row r="502" spans="1:30">
      <c r="A502" t="str">
        <f>VLOOKUP(B502,info!$B$2:$F$49,2,FALSE)</f>
        <v>Hyundai</v>
      </c>
      <c r="B502" s="34">
        <v>21</v>
      </c>
      <c r="C502" t="s">
        <v>368</v>
      </c>
      <c r="D502" s="34" t="s">
        <v>30</v>
      </c>
      <c r="F502">
        <f>VLOOKUP(B502,info!$B$2:$I$49,8,FALSE)</f>
        <v>5826120</v>
      </c>
      <c r="G502" t="str">
        <f>VLOOKUP(B502,info!$B$2:$I$49,5,FALSE)</f>
        <v>back triangle</v>
      </c>
      <c r="J502" s="35">
        <v>5832.2211671220002</v>
      </c>
      <c r="K502" s="35">
        <v>313097.196431647</v>
      </c>
      <c r="N502" s="35">
        <v>2428.32749777662</v>
      </c>
      <c r="P502" s="35">
        <v>62689.499943832299</v>
      </c>
      <c r="R502" s="35">
        <v>215.61142201017401</v>
      </c>
      <c r="U502" s="35">
        <v>2662.53250966203</v>
      </c>
      <c r="AD502" s="36">
        <v>11800</v>
      </c>
    </row>
    <row r="503" spans="1:30">
      <c r="A503" t="str">
        <f>VLOOKUP(B503,info!$B$2:$F$49,2,FALSE)</f>
        <v>Daewoo</v>
      </c>
      <c r="B503" s="34">
        <v>22</v>
      </c>
      <c r="C503" t="s">
        <v>368</v>
      </c>
      <c r="D503" s="34" t="s">
        <v>30</v>
      </c>
      <c r="F503">
        <f>VLOOKUP(B503,info!$B$2:$I$49,8,FALSE)</f>
        <v>8501017</v>
      </c>
      <c r="G503" t="str">
        <f>VLOOKUP(B503,info!$B$2:$I$49,5,FALSE)</f>
        <v>front</v>
      </c>
      <c r="J503" s="35">
        <v>6907.3178447833898</v>
      </c>
      <c r="K503" s="35">
        <v>343454.177093387</v>
      </c>
      <c r="N503" s="35">
        <v>5176.61584264882</v>
      </c>
      <c r="P503" s="35">
        <v>55632.892801977301</v>
      </c>
      <c r="R503" s="35">
        <v>166.12568069802001</v>
      </c>
      <c r="U503" s="35">
        <v>2755.6345118402701</v>
      </c>
      <c r="AD503" s="36">
        <v>20600</v>
      </c>
    </row>
    <row r="504" spans="1:30">
      <c r="A504" t="str">
        <f>VLOOKUP(B504,info!$B$2:$F$49,2,FALSE)</f>
        <v>Daewoo</v>
      </c>
      <c r="B504" s="34">
        <v>23</v>
      </c>
      <c r="C504" t="s">
        <v>368</v>
      </c>
      <c r="D504" s="34" t="s">
        <v>30</v>
      </c>
      <c r="F504">
        <f>VLOOKUP(B504,info!$B$2:$I$49,8,FALSE)</f>
        <v>8501017</v>
      </c>
      <c r="G504" t="str">
        <f>VLOOKUP(B504,info!$B$2:$I$49,5,FALSE)</f>
        <v>back</v>
      </c>
      <c r="J504" s="35">
        <v>7317.0644026005903</v>
      </c>
      <c r="K504" s="35">
        <v>343740.02828594099</v>
      </c>
      <c r="N504" s="35">
        <v>5247.1048458371397</v>
      </c>
      <c r="P504" s="35">
        <v>56265.083865381603</v>
      </c>
      <c r="R504" s="35">
        <v>192.09925068526101</v>
      </c>
      <c r="U504" s="35">
        <v>3000.8673634612801</v>
      </c>
      <c r="AD504" s="36">
        <v>57700</v>
      </c>
    </row>
    <row r="505" spans="1:30">
      <c r="A505" t="str">
        <f>VLOOKUP(B505,info!$B$2:$F$49,2,FALSE)</f>
        <v>Mitsubishi</v>
      </c>
      <c r="B505" s="34">
        <v>24</v>
      </c>
      <c r="C505" t="s">
        <v>368</v>
      </c>
      <c r="D505" s="34" t="s">
        <v>30</v>
      </c>
      <c r="F505">
        <f>VLOOKUP(B505,info!$B$2:$I$49,8,FALSE)</f>
        <v>7027220</v>
      </c>
      <c r="G505" t="str">
        <f>VLOOKUP(B505,info!$B$2:$I$49,5,FALSE)</f>
        <v>front</v>
      </c>
      <c r="J505" s="35">
        <v>9113.47850268818</v>
      </c>
      <c r="K505" s="35">
        <v>336567.03289003699</v>
      </c>
      <c r="N505" s="35">
        <v>2567.2165485634</v>
      </c>
      <c r="P505" s="35">
        <v>59404.073706024799</v>
      </c>
      <c r="R505" s="35">
        <v>337.82079109686498</v>
      </c>
      <c r="U505" s="35">
        <v>2376.2472349591299</v>
      </c>
      <c r="AD505" s="36">
        <v>12000</v>
      </c>
    </row>
    <row r="506" spans="1:30">
      <c r="A506" t="str">
        <f>VLOOKUP(B506,info!$B$2:$F$49,2,FALSE)</f>
        <v>Subaru</v>
      </c>
      <c r="B506" s="34">
        <v>25</v>
      </c>
      <c r="C506" t="s">
        <v>368</v>
      </c>
      <c r="D506" s="34" t="s">
        <v>30</v>
      </c>
      <c r="F506">
        <f>VLOOKUP(B506,info!$B$2:$I$49,8,FALSE)</f>
        <v>2675308</v>
      </c>
      <c r="G506" t="str">
        <f>VLOOKUP(B506,info!$B$2:$I$49,5,FALSE)</f>
        <v>front</v>
      </c>
      <c r="J506" s="35">
        <v>8681.4815146587007</v>
      </c>
      <c r="K506" s="35">
        <v>334640.21426713199</v>
      </c>
      <c r="N506" s="35">
        <v>5827.4550208225901</v>
      </c>
      <c r="P506" s="35">
        <v>58634.156736708399</v>
      </c>
      <c r="R506" s="35">
        <v>180.19526579624599</v>
      </c>
      <c r="U506" s="35">
        <v>2075.3911793143502</v>
      </c>
      <c r="AD506" s="36">
        <v>25200</v>
      </c>
    </row>
    <row r="507" spans="1:30">
      <c r="A507" t="str">
        <f>VLOOKUP(B507,info!$B$2:$F$49,2,FALSE)</f>
        <v>Mitsubishi</v>
      </c>
      <c r="B507" s="34">
        <v>26</v>
      </c>
      <c r="C507" t="s">
        <v>368</v>
      </c>
      <c r="D507" s="34" t="s">
        <v>30</v>
      </c>
      <c r="F507">
        <f>VLOOKUP(B507,info!$B$2:$I$49,8,FALSE)</f>
        <v>7027220</v>
      </c>
      <c r="G507" t="str">
        <f>VLOOKUP(B507,info!$B$2:$I$49,5,FALSE)</f>
        <v>back</v>
      </c>
      <c r="J507" s="35">
        <v>8368.5194975026607</v>
      </c>
      <c r="K507" s="35">
        <v>340100.45292366901</v>
      </c>
      <c r="N507" s="35">
        <v>4921.8936176709603</v>
      </c>
      <c r="P507" s="35">
        <v>56633.556732249497</v>
      </c>
      <c r="R507" s="35">
        <v>518.89909642787302</v>
      </c>
      <c r="U507" s="35">
        <v>2210.56579863041</v>
      </c>
      <c r="AD507" s="36">
        <v>32700</v>
      </c>
    </row>
    <row r="508" spans="1:30">
      <c r="A508" t="str">
        <f>VLOOKUP(B508,info!$B$2:$F$49,2,FALSE)</f>
        <v>Fiat</v>
      </c>
      <c r="B508" s="34">
        <v>27</v>
      </c>
      <c r="C508" t="s">
        <v>368</v>
      </c>
      <c r="D508" s="34" t="s">
        <v>30</v>
      </c>
      <c r="F508">
        <f>VLOOKUP(B508,info!$B$2:$I$49,8,FALSE)</f>
        <v>5751910</v>
      </c>
      <c r="G508" t="str">
        <f>VLOOKUP(B508,info!$B$2:$I$49,5,FALSE)</f>
        <v>front</v>
      </c>
      <c r="J508" s="35">
        <v>5003.9923412212302</v>
      </c>
      <c r="K508" s="35">
        <v>347073.25685108203</v>
      </c>
      <c r="N508" s="35">
        <v>2849.13854233449</v>
      </c>
      <c r="P508" s="35">
        <v>55944.366403845299</v>
      </c>
      <c r="R508" s="35">
        <v>248.69391378474899</v>
      </c>
      <c r="U508" s="35">
        <v>5194.3509127821299</v>
      </c>
      <c r="AD508" s="36">
        <v>35200</v>
      </c>
    </row>
    <row r="509" spans="1:30">
      <c r="A509" t="str">
        <f>VLOOKUP(B509,info!$B$2:$F$49,2,FALSE)</f>
        <v>Subaru</v>
      </c>
      <c r="B509" s="34">
        <v>28</v>
      </c>
      <c r="C509" t="s">
        <v>368</v>
      </c>
      <c r="D509" s="34" t="s">
        <v>30</v>
      </c>
      <c r="F509">
        <f>VLOOKUP(B509,info!$B$2:$I$49,8,FALSE)</f>
        <v>2675308</v>
      </c>
      <c r="G509" t="str">
        <f>VLOOKUP(B509,info!$B$2:$I$49,5,FALSE)</f>
        <v>front</v>
      </c>
      <c r="J509" s="35">
        <v>8477.3144266004401</v>
      </c>
      <c r="K509" s="35">
        <v>330000.397677926</v>
      </c>
      <c r="N509" s="35">
        <v>5712.70589138182</v>
      </c>
      <c r="P509" s="35">
        <v>58563.893131520002</v>
      </c>
      <c r="R509" s="35">
        <v>153.52964317112799</v>
      </c>
      <c r="U509" s="35">
        <v>1942.4586461941601</v>
      </c>
      <c r="AD509" s="36">
        <v>42900</v>
      </c>
    </row>
    <row r="510" spans="1:30">
      <c r="A510" t="str">
        <f>VLOOKUP(B510,info!$B$2:$F$49,2,FALSE)</f>
        <v>Renault</v>
      </c>
      <c r="B510" s="34">
        <v>29</v>
      </c>
      <c r="C510" t="s">
        <v>368</v>
      </c>
      <c r="D510" s="34" t="s">
        <v>30</v>
      </c>
      <c r="F510">
        <f>VLOOKUP(B510,info!$B$2:$I$49,8,FALSE)</f>
        <v>1147816</v>
      </c>
      <c r="G510" t="str">
        <f>VLOOKUP(B510,info!$B$2:$I$49,5,FALSE)</f>
        <v>back triangle</v>
      </c>
      <c r="J510" s="35">
        <v>5397.6423248367801</v>
      </c>
      <c r="K510" s="35">
        <v>346390.397822086</v>
      </c>
      <c r="N510" s="35">
        <v>1193.70075049041</v>
      </c>
      <c r="P510" s="35">
        <v>58271.583743056901</v>
      </c>
      <c r="R510" s="35">
        <v>290.21791704359799</v>
      </c>
      <c r="U510" s="35">
        <v>3259.2757844238899</v>
      </c>
      <c r="AD510" s="36">
        <v>19100</v>
      </c>
    </row>
    <row r="511" spans="1:30">
      <c r="A511" t="str">
        <f>VLOOKUP(B511,info!$B$2:$F$49,2,FALSE)</f>
        <v>Ford</v>
      </c>
      <c r="B511" s="34">
        <v>30</v>
      </c>
      <c r="C511" t="s">
        <v>368</v>
      </c>
      <c r="D511" s="34" t="s">
        <v>30</v>
      </c>
      <c r="F511">
        <f>VLOOKUP(B511,info!$B$2:$I$49,8,FALSE)</f>
        <v>6917835</v>
      </c>
      <c r="G511" t="str">
        <f>VLOOKUP(B511,info!$B$2:$I$49,5,FALSE)</f>
        <v>back</v>
      </c>
      <c r="J511" s="35">
        <v>6282.3396498559596</v>
      </c>
      <c r="K511" s="35">
        <v>333577.34244708502</v>
      </c>
      <c r="N511" s="35">
        <v>2745.9841591941699</v>
      </c>
      <c r="P511" s="35">
        <v>57280.593049542702</v>
      </c>
      <c r="R511" s="35">
        <v>217.35155742037901</v>
      </c>
      <c r="U511" s="35">
        <v>5961.7443370010797</v>
      </c>
      <c r="AD511" s="36">
        <v>24000</v>
      </c>
    </row>
    <row r="512" spans="1:30">
      <c r="A512" t="str">
        <f>VLOOKUP(B512,info!$B$2:$F$49,2,FALSE)</f>
        <v>Hyundai</v>
      </c>
      <c r="B512" s="34">
        <v>31</v>
      </c>
      <c r="C512" t="s">
        <v>368</v>
      </c>
      <c r="D512" s="34" t="s">
        <v>30</v>
      </c>
      <c r="F512">
        <f>VLOOKUP(B512,info!$B$2:$I$49,8,FALSE)</f>
        <v>9602910</v>
      </c>
      <c r="G512" t="str">
        <f>VLOOKUP(B512,info!$B$2:$I$49,5,FALSE)</f>
        <v>back triangle</v>
      </c>
      <c r="J512" s="35">
        <v>6184.0758019598097</v>
      </c>
      <c r="K512" s="35">
        <v>308609.52899952099</v>
      </c>
      <c r="N512" s="35">
        <v>3528.4318106702799</v>
      </c>
      <c r="P512" s="35">
        <v>60204.463008599698</v>
      </c>
      <c r="R512" s="35">
        <v>203.645299137818</v>
      </c>
      <c r="U512" s="35">
        <v>2672.7608166034101</v>
      </c>
      <c r="AD512" s="36">
        <v>51500</v>
      </c>
    </row>
    <row r="513" spans="1:30">
      <c r="A513" t="str">
        <f>VLOOKUP(B513,info!$B$2:$F$49,2,FALSE)</f>
        <v>Hyundai</v>
      </c>
      <c r="B513" s="34">
        <v>32</v>
      </c>
      <c r="C513" t="s">
        <v>368</v>
      </c>
      <c r="D513" s="34" t="s">
        <v>30</v>
      </c>
      <c r="F513">
        <f>VLOOKUP(B513,info!$B$2:$I$49,8,FALSE)</f>
        <v>9602910</v>
      </c>
      <c r="G513" t="str">
        <f>VLOOKUP(B513,info!$B$2:$I$49,5,FALSE)</f>
        <v>back triangle</v>
      </c>
      <c r="J513" s="35">
        <v>6252.7415176159502</v>
      </c>
      <c r="K513" s="35">
        <v>314815.87420689297</v>
      </c>
      <c r="N513" s="35">
        <v>3865.8616541456699</v>
      </c>
      <c r="P513" s="35">
        <v>61737.707589979596</v>
      </c>
      <c r="R513" s="35">
        <v>244.548420798286</v>
      </c>
      <c r="U513" s="35">
        <v>2746.3014259288002</v>
      </c>
      <c r="AD513" s="36">
        <v>31000</v>
      </c>
    </row>
    <row r="514" spans="1:30">
      <c r="A514" t="str">
        <f>VLOOKUP(B514,info!$B$2:$F$49,2,FALSE)</f>
        <v>Hyundai</v>
      </c>
      <c r="B514" s="34">
        <v>33</v>
      </c>
      <c r="C514" t="s">
        <v>368</v>
      </c>
      <c r="D514" s="34" t="s">
        <v>30</v>
      </c>
      <c r="F514">
        <f>VLOOKUP(B514,info!$B$2:$I$49,8,FALSE)</f>
        <v>9602910</v>
      </c>
      <c r="G514" t="str">
        <f>VLOOKUP(B514,info!$B$2:$I$49,5,FALSE)</f>
        <v>back</v>
      </c>
      <c r="J514" s="35">
        <v>6225.1766571133903</v>
      </c>
      <c r="K514" s="35">
        <v>338523.45212745498</v>
      </c>
      <c r="N514" s="35">
        <v>3376.1850974937001</v>
      </c>
      <c r="P514" s="35">
        <v>61345.864826587902</v>
      </c>
      <c r="R514" s="35">
        <v>188.421014633971</v>
      </c>
      <c r="U514" s="35">
        <v>2570.19616319036</v>
      </c>
      <c r="AD514" s="36">
        <v>27100</v>
      </c>
    </row>
    <row r="515" spans="1:30">
      <c r="A515" t="str">
        <f>VLOOKUP(B515,info!$B$2:$F$49,2,FALSE)</f>
        <v>Hyundai</v>
      </c>
      <c r="B515" s="34">
        <v>34</v>
      </c>
      <c r="C515" t="s">
        <v>368</v>
      </c>
      <c r="D515" s="34" t="s">
        <v>30</v>
      </c>
      <c r="F515">
        <f>VLOOKUP(B515,info!$B$2:$I$49,8,FALSE)</f>
        <v>9602910</v>
      </c>
      <c r="G515" t="str">
        <f>VLOOKUP(B515,info!$B$2:$I$49,5,FALSE)</f>
        <v>back triangle</v>
      </c>
      <c r="J515" s="35">
        <v>4224.3552242570504</v>
      </c>
      <c r="K515" s="35">
        <v>309497.09700318199</v>
      </c>
      <c r="N515" s="35">
        <v>3106.5654045819301</v>
      </c>
      <c r="P515" s="35">
        <v>63517.588694541002</v>
      </c>
      <c r="R515" s="35">
        <v>204.20649048908399</v>
      </c>
      <c r="U515" s="35">
        <v>2932.8922732075698</v>
      </c>
      <c r="AD515" s="36">
        <v>35800</v>
      </c>
    </row>
    <row r="516" spans="1:30">
      <c r="A516" t="str">
        <f>VLOOKUP(B516,info!$B$2:$F$49,2,FALSE)</f>
        <v>Hyundai</v>
      </c>
      <c r="B516" s="34">
        <v>35</v>
      </c>
      <c r="C516" t="s">
        <v>368</v>
      </c>
      <c r="D516" s="34" t="s">
        <v>30</v>
      </c>
      <c r="F516">
        <f>VLOOKUP(B516,info!$B$2:$I$49,8,FALSE)</f>
        <v>5826120</v>
      </c>
      <c r="G516" t="str">
        <f>VLOOKUP(B516,info!$B$2:$I$49,5,FALSE)</f>
        <v>front</v>
      </c>
      <c r="J516" s="35">
        <v>3903.6997329435799</v>
      </c>
      <c r="K516" s="35">
        <v>308212.978101563</v>
      </c>
      <c r="N516" s="35">
        <v>2573.1247227276799</v>
      </c>
      <c r="P516" s="35">
        <v>63935.229053977098</v>
      </c>
      <c r="R516" s="35">
        <v>249.89056257377499</v>
      </c>
      <c r="U516" s="35">
        <v>2869.6680695094601</v>
      </c>
      <c r="AD516" s="36">
        <v>36000</v>
      </c>
    </row>
    <row r="517" spans="1:30">
      <c r="A517" t="str">
        <f>VLOOKUP(B517,info!$B$2:$F$49,2,FALSE)</f>
        <v>Hyundai</v>
      </c>
      <c r="B517" s="34">
        <v>36</v>
      </c>
      <c r="C517" t="s">
        <v>368</v>
      </c>
      <c r="D517" s="34" t="s">
        <v>30</v>
      </c>
      <c r="F517">
        <f>VLOOKUP(B517,info!$B$2:$I$49,8,FALSE)</f>
        <v>5826120</v>
      </c>
      <c r="G517" t="str">
        <f>VLOOKUP(B517,info!$B$2:$I$49,5,FALSE)</f>
        <v>back</v>
      </c>
      <c r="J517" s="35">
        <v>9803.3518355147407</v>
      </c>
      <c r="K517" s="35">
        <v>347082.41923911998</v>
      </c>
      <c r="N517" s="35">
        <v>6887.3929946817498</v>
      </c>
      <c r="P517" s="35">
        <v>56873.621368418302</v>
      </c>
      <c r="R517" s="35">
        <v>268.30372420054903</v>
      </c>
      <c r="U517" s="35">
        <v>2588.7106758006498</v>
      </c>
      <c r="AD517" s="36">
        <v>26200</v>
      </c>
    </row>
    <row r="518" spans="1:30">
      <c r="A518" t="str">
        <f>VLOOKUP(B518,info!$B$2:$F$49,2,FALSE)</f>
        <v>Ford</v>
      </c>
      <c r="B518" s="34">
        <v>37</v>
      </c>
      <c r="C518" t="s">
        <v>368</v>
      </c>
      <c r="D518" s="34" t="s">
        <v>30</v>
      </c>
      <c r="F518">
        <f>VLOOKUP(B518,info!$B$2:$I$49,8,FALSE)</f>
        <v>6917835</v>
      </c>
      <c r="G518" t="str">
        <f>VLOOKUP(B518,info!$B$2:$I$49,5,FALSE)</f>
        <v>front</v>
      </c>
      <c r="J518" s="35">
        <v>7470.5564712634396</v>
      </c>
      <c r="K518" s="35">
        <v>357024.919425637</v>
      </c>
      <c r="N518" s="35">
        <v>2946.3606305477401</v>
      </c>
      <c r="P518" s="35">
        <v>56361.841826916498</v>
      </c>
      <c r="R518" s="35">
        <v>184.05486559965701</v>
      </c>
      <c r="U518" s="35">
        <v>5709.5855003708402</v>
      </c>
      <c r="AD518" s="36">
        <v>25300</v>
      </c>
    </row>
    <row r="519" spans="1:30">
      <c r="A519" t="str">
        <f>VLOOKUP(B519,info!$B$2:$F$49,2,FALSE)</f>
        <v>Hyundai</v>
      </c>
      <c r="B519" s="34">
        <v>38</v>
      </c>
      <c r="C519" t="s">
        <v>368</v>
      </c>
      <c r="D519" s="34" t="s">
        <v>30</v>
      </c>
      <c r="F519">
        <f>VLOOKUP(B519,info!$B$2:$I$49,8,FALSE)</f>
        <v>5826120</v>
      </c>
      <c r="G519" t="str">
        <f>VLOOKUP(B519,info!$B$2:$I$49,5,FALSE)</f>
        <v>back</v>
      </c>
      <c r="J519" s="35">
        <v>4361.61305434521</v>
      </c>
      <c r="K519" s="35">
        <v>309407.70882302301</v>
      </c>
      <c r="N519" s="35">
        <v>2385.7093416575099</v>
      </c>
      <c r="P519" s="35">
        <v>64326.648586763396</v>
      </c>
      <c r="R519" s="35">
        <v>257.13005560634701</v>
      </c>
      <c r="U519" s="35">
        <v>2897.6176249453401</v>
      </c>
      <c r="AD519" s="36">
        <v>32400</v>
      </c>
    </row>
    <row r="520" spans="1:30">
      <c r="A520" t="str">
        <f>VLOOKUP(B520,info!$B$2:$F$49,2,FALSE)</f>
        <v>Renault</v>
      </c>
      <c r="B520" s="34">
        <v>39</v>
      </c>
      <c r="C520" t="s">
        <v>368</v>
      </c>
      <c r="D520" s="34" t="s">
        <v>30</v>
      </c>
      <c r="F520">
        <f>VLOOKUP(B520,info!$B$2:$I$49,8,FALSE)</f>
        <v>1147816</v>
      </c>
      <c r="G520" t="str">
        <f>VLOOKUP(B520,info!$B$2:$I$49,5,FALSE)</f>
        <v>back triangle</v>
      </c>
      <c r="J520" s="35">
        <v>3993.76636510449</v>
      </c>
      <c r="K520" s="35">
        <v>334831.439621431</v>
      </c>
      <c r="N520" s="35">
        <v>1001.8650193634001</v>
      </c>
      <c r="P520" s="35">
        <v>57969.736951146202</v>
      </c>
      <c r="R520" s="35">
        <v>211.69733278565201</v>
      </c>
      <c r="U520" s="35">
        <v>3570.7432202105001</v>
      </c>
      <c r="AD520" s="36">
        <v>40900</v>
      </c>
    </row>
    <row r="521" spans="1:30">
      <c r="A521" t="str">
        <f>VLOOKUP(B521,info!$B$2:$F$49,2,FALSE)</f>
        <v>Subaru</v>
      </c>
      <c r="B521" s="34">
        <v>40</v>
      </c>
      <c r="C521" t="s">
        <v>368</v>
      </c>
      <c r="D521" s="34" t="s">
        <v>30</v>
      </c>
      <c r="F521">
        <f>VLOOKUP(B521,info!$B$2:$I$49,8,FALSE)</f>
        <v>2675308</v>
      </c>
      <c r="G521" t="str">
        <f>VLOOKUP(B521,info!$B$2:$I$49,5,FALSE)</f>
        <v>back</v>
      </c>
      <c r="J521" s="35">
        <v>5901.2581648367504</v>
      </c>
      <c r="K521" s="35">
        <v>302527.60752303799</v>
      </c>
      <c r="N521" s="35">
        <v>5481.3657017179703</v>
      </c>
      <c r="P521" s="35">
        <v>60485.365458003696</v>
      </c>
      <c r="R521" s="35">
        <v>161.75523199013301</v>
      </c>
      <c r="U521" s="35">
        <v>2500.9055347120402</v>
      </c>
      <c r="AD521" s="36">
        <v>32000</v>
      </c>
    </row>
    <row r="522" spans="1:30">
      <c r="A522" t="str">
        <f>VLOOKUP(B522,info!$B$2:$F$49,2,FALSE)</f>
        <v>Fiat</v>
      </c>
      <c r="B522" s="34">
        <v>41</v>
      </c>
      <c r="C522" t="s">
        <v>368</v>
      </c>
      <c r="D522" s="34" t="s">
        <v>30</v>
      </c>
      <c r="F522">
        <f>VLOOKUP(B522,info!$B$2:$I$49,8,FALSE)</f>
        <v>5751910</v>
      </c>
      <c r="G522" t="str">
        <f>VLOOKUP(B522,info!$B$2:$I$49,5,FALSE)</f>
        <v>back</v>
      </c>
      <c r="J522" s="35">
        <v>2952.5925449788101</v>
      </c>
      <c r="K522" s="35">
        <v>335414.28405831801</v>
      </c>
      <c r="N522" s="35">
        <v>729.45977836224699</v>
      </c>
      <c r="P522" s="35">
        <v>59470.2000452672</v>
      </c>
      <c r="R522" s="35">
        <v>142.747056805429</v>
      </c>
      <c r="U522" s="35">
        <v>5418.9283305829304</v>
      </c>
      <c r="AD522" s="36">
        <v>26900</v>
      </c>
    </row>
    <row r="523" spans="1:30">
      <c r="A523" t="str">
        <f>VLOOKUP(B523,info!$B$2:$F$49,2,FALSE)</f>
        <v>Renault</v>
      </c>
      <c r="B523" s="34">
        <v>42</v>
      </c>
      <c r="C523" t="s">
        <v>368</v>
      </c>
      <c r="D523" s="34" t="s">
        <v>30</v>
      </c>
      <c r="F523">
        <f>VLOOKUP(B523,info!$B$2:$I$49,8,FALSE)</f>
        <v>1147816</v>
      </c>
      <c r="G523" t="str">
        <f>VLOOKUP(B523,info!$B$2:$I$49,5,FALSE)</f>
        <v>back</v>
      </c>
      <c r="J523" s="35">
        <v>8074.4519018518904</v>
      </c>
      <c r="K523" s="35">
        <v>340129.60807167902</v>
      </c>
      <c r="N523" s="35">
        <v>8718.4870656444109</v>
      </c>
      <c r="P523" s="35">
        <v>55863.312645165803</v>
      </c>
      <c r="R523" s="35">
        <v>205.82323830788599</v>
      </c>
      <c r="U523" s="35">
        <v>3982.8261772406699</v>
      </c>
      <c r="AD523" s="36">
        <v>28700</v>
      </c>
    </row>
    <row r="524" spans="1:30">
      <c r="A524" t="str">
        <f>VLOOKUP(B524,info!$B$2:$F$49,2,FALSE)</f>
        <v>Fiat</v>
      </c>
      <c r="B524" s="34">
        <v>43</v>
      </c>
      <c r="C524" t="s">
        <v>368</v>
      </c>
      <c r="D524" s="34" t="s">
        <v>30</v>
      </c>
      <c r="F524">
        <f>VLOOKUP(B524,info!$B$2:$I$49,8,FALSE)</f>
        <v>5751910</v>
      </c>
      <c r="G524" t="str">
        <f>VLOOKUP(B524,info!$B$2:$I$49,5,FALSE)</f>
        <v>front</v>
      </c>
      <c r="J524" s="35">
        <v>5644.8498937595496</v>
      </c>
      <c r="K524" s="35">
        <v>363341.640467074</v>
      </c>
      <c r="N524" s="35">
        <v>1022.9935312405501</v>
      </c>
      <c r="P524" s="35">
        <v>57830.197001455701</v>
      </c>
      <c r="R524" s="35">
        <v>168.86105154467501</v>
      </c>
      <c r="U524" s="35">
        <v>4472.2551679525104</v>
      </c>
      <c r="AD524" s="36">
        <v>29000</v>
      </c>
    </row>
    <row r="525" spans="1:30">
      <c r="A525" t="str">
        <f>VLOOKUP(B525,info!$B$2:$F$49,2,FALSE)</f>
        <v>Hyundai</v>
      </c>
      <c r="B525" s="34">
        <v>44</v>
      </c>
      <c r="C525" t="s">
        <v>368</v>
      </c>
      <c r="D525" s="34" t="s">
        <v>30</v>
      </c>
      <c r="F525">
        <f>VLOOKUP(B525,info!$B$2:$I$49,8,FALSE)</f>
        <v>9602910</v>
      </c>
      <c r="G525" t="str">
        <f>VLOOKUP(B525,info!$B$2:$I$49,5,FALSE)</f>
        <v>front</v>
      </c>
      <c r="J525" s="35">
        <v>5885.2097708770498</v>
      </c>
      <c r="K525" s="35">
        <v>335064.83430583001</v>
      </c>
      <c r="N525" s="35">
        <v>3168.1513317732802</v>
      </c>
      <c r="P525" s="35">
        <v>61899.427652572798</v>
      </c>
      <c r="R525" s="35">
        <v>233.394220594237</v>
      </c>
      <c r="U525" s="35">
        <v>2530.15617548613</v>
      </c>
      <c r="AD525" s="36">
        <v>29300</v>
      </c>
    </row>
    <row r="526" spans="1:30">
      <c r="A526" t="str">
        <f>VLOOKUP(B526,info!$B$2:$F$49,2,FALSE)</f>
        <v>Subaru</v>
      </c>
      <c r="B526" s="34">
        <v>45</v>
      </c>
      <c r="C526" t="s">
        <v>368</v>
      </c>
      <c r="D526" s="34" t="s">
        <v>30</v>
      </c>
      <c r="F526">
        <f>VLOOKUP(B526,info!$B$2:$I$49,8,FALSE)</f>
        <v>2675308</v>
      </c>
      <c r="G526" t="str">
        <f>VLOOKUP(B526,info!$B$2:$I$49,5,FALSE)</f>
        <v>back</v>
      </c>
      <c r="J526" s="35">
        <v>5884.8940601139802</v>
      </c>
      <c r="K526" s="35">
        <v>306272.91367557697</v>
      </c>
      <c r="N526" s="35">
        <v>5205.9972746247304</v>
      </c>
      <c r="P526" s="35">
        <v>58626.534054549396</v>
      </c>
      <c r="R526" s="35">
        <v>131.24822715392401</v>
      </c>
      <c r="U526" s="35">
        <v>2677.8093140187698</v>
      </c>
      <c r="AD526" s="36">
        <v>29600</v>
      </c>
    </row>
    <row r="527" spans="1:30">
      <c r="A527" t="str">
        <f>VLOOKUP(B527,info!$B$2:$F$49,2,FALSE)</f>
        <v>Renault</v>
      </c>
      <c r="B527" s="34">
        <v>46</v>
      </c>
      <c r="C527" t="s">
        <v>368</v>
      </c>
      <c r="D527" s="34" t="s">
        <v>30</v>
      </c>
      <c r="F527">
        <f>VLOOKUP(B527,info!$B$2:$I$49,8,FALSE)</f>
        <v>1147816</v>
      </c>
      <c r="G527" t="str">
        <f>VLOOKUP(B527,info!$B$2:$I$49,5,FALSE)</f>
        <v>back</v>
      </c>
      <c r="J527" s="35">
        <v>3614.52597573204</v>
      </c>
      <c r="K527" s="35">
        <v>340746.79514663602</v>
      </c>
      <c r="N527" s="35">
        <v>1838.01711028974</v>
      </c>
      <c r="P527" s="35">
        <v>59003.405107142302</v>
      </c>
      <c r="R527" s="35">
        <v>150.37377053787799</v>
      </c>
      <c r="U527" s="35">
        <v>5277.1365726516897</v>
      </c>
      <c r="AD527" s="36">
        <v>29700</v>
      </c>
    </row>
    <row r="528" spans="1:30">
      <c r="A528" t="str">
        <f>VLOOKUP(B528,info!$B$2:$F$49,2,FALSE)</f>
        <v>Renault</v>
      </c>
      <c r="B528" s="34">
        <v>47</v>
      </c>
      <c r="C528" t="s">
        <v>368</v>
      </c>
      <c r="D528" s="34" t="s">
        <v>30</v>
      </c>
      <c r="F528">
        <f>VLOOKUP(B528,info!$B$2:$I$49,8,FALSE)</f>
        <v>1147816</v>
      </c>
      <c r="G528" t="str">
        <f>VLOOKUP(B528,info!$B$2:$I$49,5,FALSE)</f>
        <v>front</v>
      </c>
      <c r="J528" s="35">
        <v>3599.2220885281399</v>
      </c>
      <c r="K528" s="35">
        <v>337425.791953184</v>
      </c>
      <c r="N528" s="35">
        <v>1939.1167102878301</v>
      </c>
      <c r="P528" s="35">
        <v>59204.958610426002</v>
      </c>
      <c r="R528" s="35">
        <v>178.55434137906701</v>
      </c>
      <c r="U528" s="35">
        <v>5415.7769049797898</v>
      </c>
      <c r="AD528" s="36">
        <v>27300</v>
      </c>
    </row>
    <row r="529" spans="1:30">
      <c r="A529" t="str">
        <f>VLOOKUP(B529,info!$B$2:$F$49,2,FALSE)</f>
        <v>Hyundai</v>
      </c>
      <c r="B529" s="34">
        <v>48</v>
      </c>
      <c r="C529" t="s">
        <v>368</v>
      </c>
      <c r="D529" s="34" t="s">
        <v>30</v>
      </c>
      <c r="F529">
        <f>VLOOKUP(B529,info!$B$2:$I$49,8,FALSE)</f>
        <v>5826120</v>
      </c>
      <c r="G529" t="str">
        <f>VLOOKUP(B529,info!$B$2:$I$49,5,FALSE)</f>
        <v>back triangle</v>
      </c>
      <c r="J529" s="35">
        <v>4478.8910138957399</v>
      </c>
      <c r="K529" s="35">
        <v>309846.46471310803</v>
      </c>
      <c r="N529" s="35">
        <v>2397.5643963704701</v>
      </c>
      <c r="P529" s="35">
        <v>64360.908828340398</v>
      </c>
      <c r="R529" s="35">
        <v>233.751115010756</v>
      </c>
      <c r="U529" s="35">
        <v>2918.1510324752198</v>
      </c>
      <c r="AD529" s="36">
        <v>28800</v>
      </c>
    </row>
    <row r="530" spans="1:30">
      <c r="A530" t="str">
        <f>VLOOKUP(B530,info!$B$2:$F$49,2,FALSE)</f>
        <v>Mazda</v>
      </c>
      <c r="B530" s="34">
        <v>1</v>
      </c>
      <c r="C530" t="s">
        <v>368</v>
      </c>
      <c r="D530" s="34" t="s">
        <v>77</v>
      </c>
      <c r="F530">
        <f>VLOOKUP(B530,info!$B$2:$I$49,8,FALSE)</f>
        <v>3550828</v>
      </c>
      <c r="G530" t="str">
        <f>VLOOKUP(B530,info!$B$2:$I$49,5,FALSE)</f>
        <v>front</v>
      </c>
      <c r="J530" s="35">
        <v>6132.0783156285697</v>
      </c>
      <c r="K530" s="35">
        <v>303757.52838352299</v>
      </c>
      <c r="N530" s="35">
        <v>7786.0263658079202</v>
      </c>
      <c r="P530" s="35">
        <v>68308.315332241706</v>
      </c>
      <c r="R530" s="35">
        <v>205.15906697737799</v>
      </c>
      <c r="U530" s="35">
        <v>3074.0017852191399</v>
      </c>
      <c r="AD530" s="36">
        <v>97200</v>
      </c>
    </row>
    <row r="531" spans="1:30">
      <c r="A531" t="str">
        <f>VLOOKUP(B531,info!$B$2:$F$49,2,FALSE)</f>
        <v>Mazda</v>
      </c>
      <c r="B531" s="34">
        <v>2</v>
      </c>
      <c r="C531" t="s">
        <v>368</v>
      </c>
      <c r="D531" s="34" t="s">
        <v>77</v>
      </c>
      <c r="F531">
        <f>VLOOKUP(B531,info!$B$2:$I$49,8,FALSE)</f>
        <v>3550828</v>
      </c>
      <c r="G531" t="str">
        <f>VLOOKUP(B531,info!$B$2:$I$49,5,FALSE)</f>
        <v>back</v>
      </c>
      <c r="J531" s="35">
        <v>6814.6763752716997</v>
      </c>
      <c r="K531" s="35">
        <v>307531.04985108</v>
      </c>
      <c r="N531" s="35">
        <v>7224.2314727022103</v>
      </c>
      <c r="P531" s="35">
        <v>68302.535279976204</v>
      </c>
      <c r="R531" s="35">
        <v>166.64403906531501</v>
      </c>
      <c r="U531" s="35">
        <v>3222.3195405698598</v>
      </c>
      <c r="AD531" s="36">
        <v>67900</v>
      </c>
    </row>
    <row r="532" spans="1:30">
      <c r="A532" t="str">
        <f>VLOOKUP(B532,info!$B$2:$F$49,2,FALSE)</f>
        <v>Mazda</v>
      </c>
      <c r="B532" s="34">
        <v>3</v>
      </c>
      <c r="C532" t="s">
        <v>368</v>
      </c>
      <c r="D532" s="34" t="s">
        <v>77</v>
      </c>
      <c r="F532">
        <f>VLOOKUP(B532,info!$B$2:$I$49,8,FALSE)</f>
        <v>3550828</v>
      </c>
      <c r="G532" t="str">
        <f>VLOOKUP(B532,info!$B$2:$I$49,5,FALSE)</f>
        <v>back</v>
      </c>
      <c r="J532" s="35">
        <v>5397.4436374680099</v>
      </c>
      <c r="K532" s="35">
        <v>250239.70886737001</v>
      </c>
      <c r="N532" s="35">
        <v>8420.4599562281201</v>
      </c>
      <c r="P532" s="35">
        <v>73965.774259798796</v>
      </c>
      <c r="R532" s="35">
        <v>235.78741113304599</v>
      </c>
      <c r="U532" s="35">
        <v>3651.2302163970398</v>
      </c>
      <c r="AD532" s="36">
        <v>74400</v>
      </c>
    </row>
    <row r="533" spans="1:30">
      <c r="A533" t="str">
        <f>VLOOKUP(B533,info!$B$2:$F$49,2,FALSE)</f>
        <v>Peugeot</v>
      </c>
      <c r="B533" s="34">
        <v>4</v>
      </c>
      <c r="C533" t="s">
        <v>368</v>
      </c>
      <c r="D533" s="34" t="s">
        <v>77</v>
      </c>
      <c r="F533">
        <f>VLOOKUP(B533,info!$B$2:$I$49,8,FALSE)</f>
        <v>9367324</v>
      </c>
      <c r="G533" t="str">
        <f>VLOOKUP(B533,info!$B$2:$I$49,5,FALSE)</f>
        <v>front</v>
      </c>
      <c r="J533" s="35">
        <v>3595.80747292257</v>
      </c>
      <c r="K533" s="35">
        <v>308786.08440771099</v>
      </c>
      <c r="N533" s="35">
        <v>1491.5111340313599</v>
      </c>
      <c r="P533" s="35">
        <v>70014.888664177299</v>
      </c>
      <c r="R533" s="35">
        <v>213.012770661807</v>
      </c>
      <c r="U533" s="35">
        <v>6301.7371222253496</v>
      </c>
      <c r="AD533" s="36">
        <v>91700</v>
      </c>
    </row>
    <row r="534" spans="1:30">
      <c r="A534" t="str">
        <f>VLOOKUP(B534,info!$B$2:$F$49,2,FALSE)</f>
        <v>Peugeot</v>
      </c>
      <c r="B534" s="34">
        <v>5</v>
      </c>
      <c r="C534" t="s">
        <v>368</v>
      </c>
      <c r="D534" s="34" t="s">
        <v>77</v>
      </c>
      <c r="F534">
        <f>VLOOKUP(B534,info!$B$2:$I$49,8,FALSE)</f>
        <v>9367324</v>
      </c>
      <c r="G534" t="str">
        <f>VLOOKUP(B534,info!$B$2:$I$49,5,FALSE)</f>
        <v>front</v>
      </c>
      <c r="J534" s="35">
        <v>2837.7474877414802</v>
      </c>
      <c r="K534" s="35">
        <v>307955.93885782</v>
      </c>
      <c r="N534" s="35">
        <v>479.61736092685601</v>
      </c>
      <c r="P534" s="35">
        <v>70560.527669001502</v>
      </c>
      <c r="R534" s="35">
        <v>44.6413759034251</v>
      </c>
      <c r="U534" s="35">
        <v>6327.8869168648998</v>
      </c>
      <c r="AD534" s="36">
        <v>95600</v>
      </c>
    </row>
    <row r="535" spans="1:30">
      <c r="A535" t="str">
        <f>VLOOKUP(B535,info!$B$2:$F$49,2,FALSE)</f>
        <v>Mazda</v>
      </c>
      <c r="B535" s="34">
        <v>6</v>
      </c>
      <c r="C535" t="s">
        <v>368</v>
      </c>
      <c r="D535" s="34" t="s">
        <v>77</v>
      </c>
      <c r="F535">
        <f>VLOOKUP(B535,info!$B$2:$I$49,8,FALSE)</f>
        <v>3550828</v>
      </c>
      <c r="G535" t="str">
        <f>VLOOKUP(B535,info!$B$2:$I$49,5,FALSE)</f>
        <v>front</v>
      </c>
      <c r="J535" s="35">
        <v>6161.2768062451796</v>
      </c>
      <c r="K535" s="35">
        <v>307825.64315674099</v>
      </c>
      <c r="N535" s="35">
        <v>7652.9731938373898</v>
      </c>
      <c r="P535" s="35">
        <v>67941.512717586593</v>
      </c>
      <c r="R535" s="35">
        <v>208.100027390457</v>
      </c>
      <c r="U535" s="35">
        <v>3334.8444933729702</v>
      </c>
      <c r="AD535" s="36">
        <v>72000</v>
      </c>
    </row>
    <row r="536" spans="1:30">
      <c r="A536" t="str">
        <f>VLOOKUP(B536,info!$B$2:$F$49,2,FALSE)</f>
        <v>Hyundai</v>
      </c>
      <c r="B536" s="34">
        <v>7</v>
      </c>
      <c r="C536" t="s">
        <v>368</v>
      </c>
      <c r="D536" s="34" t="s">
        <v>77</v>
      </c>
      <c r="F536">
        <f>VLOOKUP(B536,info!$B$2:$I$49,8,FALSE)</f>
        <v>9540217</v>
      </c>
      <c r="G536" t="str">
        <f>VLOOKUP(B536,info!$B$2:$I$49,5,FALSE)</f>
        <v>back</v>
      </c>
      <c r="J536" s="35">
        <v>5226.5268363148798</v>
      </c>
      <c r="K536" s="35">
        <v>281241.62532200298</v>
      </c>
      <c r="N536" s="35">
        <v>3440.9059581056899</v>
      </c>
      <c r="P536" s="35">
        <v>74896.0368481685</v>
      </c>
      <c r="R536" s="35">
        <v>265.429668185195</v>
      </c>
      <c r="U536" s="35">
        <v>3189.6617756595701</v>
      </c>
      <c r="AD536" s="36">
        <v>97300</v>
      </c>
    </row>
    <row r="537" spans="1:30">
      <c r="A537" t="str">
        <f>VLOOKUP(B537,info!$B$2:$F$49,2,FALSE)</f>
        <v>Honda</v>
      </c>
      <c r="B537" s="34">
        <v>8</v>
      </c>
      <c r="C537" t="s">
        <v>368</v>
      </c>
      <c r="D537" s="34" t="s">
        <v>77</v>
      </c>
      <c r="F537">
        <f>VLOOKUP(B537,info!$B$2:$I$49,8,FALSE)</f>
        <v>8096906</v>
      </c>
      <c r="G537" t="str">
        <f>VLOOKUP(B537,info!$B$2:$I$49,5,FALSE)</f>
        <v>front</v>
      </c>
      <c r="J537" s="35">
        <v>2570.5556825059698</v>
      </c>
      <c r="K537" s="35">
        <v>379132.35244124598</v>
      </c>
      <c r="N537" s="35">
        <v>174.827069315709</v>
      </c>
      <c r="P537" s="35">
        <v>71457.093182282697</v>
      </c>
      <c r="R537" s="35">
        <v>9.1259252157903994</v>
      </c>
      <c r="U537" s="35">
        <v>3052.7717789804401</v>
      </c>
      <c r="AD537" s="36">
        <v>83800</v>
      </c>
    </row>
    <row r="538" spans="1:30">
      <c r="A538" t="str">
        <f>VLOOKUP(B538,info!$B$2:$F$49,2,FALSE)</f>
        <v>Honda</v>
      </c>
      <c r="B538" s="34">
        <v>9</v>
      </c>
      <c r="C538" t="s">
        <v>368</v>
      </c>
      <c r="D538" s="34" t="s">
        <v>77</v>
      </c>
      <c r="F538">
        <f>VLOOKUP(B538,info!$B$2:$I$49,8,FALSE)</f>
        <v>8096906</v>
      </c>
      <c r="G538" t="str">
        <f>VLOOKUP(B538,info!$B$2:$I$49,5,FALSE)</f>
        <v>back</v>
      </c>
      <c r="J538" s="35">
        <v>2540.5644332442998</v>
      </c>
      <c r="K538" s="35">
        <v>371204.27434745501</v>
      </c>
      <c r="N538" s="35">
        <v>439.817462582247</v>
      </c>
      <c r="P538" s="35">
        <v>71779.772232769596</v>
      </c>
      <c r="R538" s="35">
        <v>67.816616352478107</v>
      </c>
      <c r="U538" s="35">
        <v>3709.1933274684502</v>
      </c>
      <c r="AD538" s="36">
        <v>65700</v>
      </c>
    </row>
    <row r="539" spans="1:30">
      <c r="A539" t="str">
        <f>VLOOKUP(B539,info!$B$2:$F$49,2,FALSE)</f>
        <v>Ford</v>
      </c>
      <c r="B539" s="34">
        <v>10</v>
      </c>
      <c r="C539" t="s">
        <v>368</v>
      </c>
      <c r="D539" s="34" t="s">
        <v>77</v>
      </c>
      <c r="F539">
        <f>VLOOKUP(B539,info!$B$2:$I$49,8,FALSE)</f>
        <v>6917835</v>
      </c>
      <c r="G539" t="str">
        <f>VLOOKUP(B539,info!$B$2:$I$49,5,FALSE)</f>
        <v>front</v>
      </c>
      <c r="J539" s="35">
        <v>9056.9565924932594</v>
      </c>
      <c r="K539" s="35">
        <v>297981.42019448202</v>
      </c>
      <c r="N539" s="35">
        <v>3606.43257491451</v>
      </c>
      <c r="P539" s="35">
        <v>68107.860460349199</v>
      </c>
      <c r="R539" s="35">
        <v>292.490738360188</v>
      </c>
      <c r="U539" s="35">
        <v>7418.1356360406098</v>
      </c>
      <c r="AD539" s="36">
        <v>58100</v>
      </c>
    </row>
    <row r="540" spans="1:30">
      <c r="A540" t="str">
        <f>VLOOKUP(B540,info!$B$2:$F$49,2,FALSE)</f>
        <v>Honda</v>
      </c>
      <c r="B540" s="34">
        <v>11</v>
      </c>
      <c r="C540" t="s">
        <v>368</v>
      </c>
      <c r="D540" s="34" t="s">
        <v>77</v>
      </c>
      <c r="F540">
        <f>VLOOKUP(B540,info!$B$2:$I$49,8,FALSE)</f>
        <v>8096906</v>
      </c>
      <c r="G540" t="str">
        <f>VLOOKUP(B540,info!$B$2:$I$49,5,FALSE)</f>
        <v>back</v>
      </c>
      <c r="J540" s="35">
        <v>1894.8807200056101</v>
      </c>
      <c r="K540" s="35">
        <v>315894.96285572299</v>
      </c>
      <c r="N540" s="35">
        <v>21.223595622385101</v>
      </c>
      <c r="P540" s="35">
        <v>72245.734224822794</v>
      </c>
      <c r="R540" s="35">
        <v>24.828997567326599</v>
      </c>
      <c r="U540" s="35">
        <v>3592.1008001119699</v>
      </c>
      <c r="AD540" s="36">
        <v>79400</v>
      </c>
    </row>
    <row r="541" spans="1:30">
      <c r="A541" t="str">
        <f>VLOOKUP(B541,info!$B$2:$F$49,2,FALSE)</f>
        <v>Daewoo</v>
      </c>
      <c r="B541" s="34">
        <v>12</v>
      </c>
      <c r="C541" t="s">
        <v>368</v>
      </c>
      <c r="D541" s="34" t="s">
        <v>77</v>
      </c>
      <c r="F541">
        <f>VLOOKUP(B541,info!$B$2:$I$49,8,FALSE)</f>
        <v>8501017</v>
      </c>
      <c r="G541" t="str">
        <f>VLOOKUP(B541,info!$B$2:$I$49,5,FALSE)</f>
        <v>back</v>
      </c>
      <c r="J541" s="35">
        <v>5243.8802363464902</v>
      </c>
      <c r="K541" s="35">
        <v>314498.692697105</v>
      </c>
      <c r="N541" s="35">
        <v>5816.8027020210902</v>
      </c>
      <c r="P541" s="35">
        <v>67823.153262669497</v>
      </c>
      <c r="R541" s="35">
        <v>221.326418088005</v>
      </c>
      <c r="U541" s="35">
        <v>3395.3232501376001</v>
      </c>
      <c r="AD541" s="36">
        <v>75800</v>
      </c>
    </row>
    <row r="542" spans="1:30">
      <c r="A542" t="str">
        <f>VLOOKUP(B542,info!$B$2:$F$49,2,FALSE)</f>
        <v>Hyundai</v>
      </c>
      <c r="B542" s="34">
        <v>13</v>
      </c>
      <c r="C542" t="s">
        <v>368</v>
      </c>
      <c r="D542" s="34" t="s">
        <v>77</v>
      </c>
      <c r="F542">
        <f>VLOOKUP(B542,info!$B$2:$I$49,8,FALSE)</f>
        <v>9540217</v>
      </c>
      <c r="G542" t="str">
        <f>VLOOKUP(B542,info!$B$2:$I$49,5,FALSE)</f>
        <v>back</v>
      </c>
      <c r="J542" s="35">
        <v>4580.5668658610603</v>
      </c>
      <c r="K542" s="35">
        <v>286852.86865125498</v>
      </c>
      <c r="N542" s="35">
        <v>3312.56414595868</v>
      </c>
      <c r="P542" s="35">
        <v>74288.740372567903</v>
      </c>
      <c r="R542" s="35">
        <v>246.22270243097199</v>
      </c>
      <c r="U542" s="35">
        <v>3299.8711117551202</v>
      </c>
      <c r="AD542" s="36">
        <v>64000</v>
      </c>
    </row>
    <row r="543" spans="1:30">
      <c r="A543" t="str">
        <f>VLOOKUP(B543,info!$B$2:$F$49,2,FALSE)</f>
        <v>Peugeot</v>
      </c>
      <c r="B543" s="34">
        <v>14</v>
      </c>
      <c r="C543" t="s">
        <v>368</v>
      </c>
      <c r="D543" s="34" t="s">
        <v>77</v>
      </c>
      <c r="F543">
        <f>VLOOKUP(B543,info!$B$2:$I$49,8,FALSE)</f>
        <v>9367324</v>
      </c>
      <c r="G543" t="str">
        <f>VLOOKUP(B543,info!$B$2:$I$49,5,FALSE)</f>
        <v>back</v>
      </c>
      <c r="J543" s="35">
        <v>4208.1224104021603</v>
      </c>
      <c r="K543" s="35">
        <v>284231.86705291999</v>
      </c>
      <c r="N543" s="35">
        <v>3337.9498347625199</v>
      </c>
      <c r="P543" s="35">
        <v>74349.902413574498</v>
      </c>
      <c r="R543" s="35">
        <v>267.47235971360999</v>
      </c>
      <c r="U543" s="35">
        <v>3516.08508809553</v>
      </c>
      <c r="AD543" s="36">
        <v>62700</v>
      </c>
    </row>
    <row r="544" spans="1:30">
      <c r="A544" t="str">
        <f>VLOOKUP(B544,info!$B$2:$F$49,2,FALSE)</f>
        <v>Ford</v>
      </c>
      <c r="B544" s="34">
        <v>15</v>
      </c>
      <c r="C544" t="s">
        <v>368</v>
      </c>
      <c r="D544" s="34" t="s">
        <v>77</v>
      </c>
      <c r="F544">
        <f>VLOOKUP(B544,info!$B$2:$I$49,8,FALSE)</f>
        <v>6917835</v>
      </c>
      <c r="G544" t="str">
        <f>VLOOKUP(B544,info!$B$2:$I$49,5,FALSE)</f>
        <v>back</v>
      </c>
      <c r="J544" s="35">
        <v>4442.0844073015296</v>
      </c>
      <c r="K544" s="35">
        <v>300921.80257953203</v>
      </c>
      <c r="N544" s="35">
        <v>2885.6201431316499</v>
      </c>
      <c r="P544" s="35">
        <v>68857.591882930501</v>
      </c>
      <c r="R544" s="35">
        <v>255.68476889412801</v>
      </c>
      <c r="U544" s="35">
        <v>6524.55479488333</v>
      </c>
      <c r="AD544" s="36">
        <v>75300</v>
      </c>
    </row>
    <row r="545" spans="1:30">
      <c r="A545" t="str">
        <f>VLOOKUP(B545,info!$B$2:$F$49,2,FALSE)</f>
        <v>Hyundai</v>
      </c>
      <c r="B545" s="34">
        <v>16</v>
      </c>
      <c r="C545" t="s">
        <v>368</v>
      </c>
      <c r="D545" s="34" t="s">
        <v>77</v>
      </c>
      <c r="F545">
        <f>VLOOKUP(B545,info!$B$2:$I$49,8,FALSE)</f>
        <v>6316720</v>
      </c>
      <c r="G545" t="str">
        <f>VLOOKUP(B545,info!$B$2:$I$49,5,FALSE)</f>
        <v>back</v>
      </c>
      <c r="J545" s="35">
        <v>4368.1029448295503</v>
      </c>
      <c r="K545" s="35">
        <v>289778.342019531</v>
      </c>
      <c r="N545" s="35">
        <v>3496.4631316907598</v>
      </c>
      <c r="P545" s="35">
        <v>74224.055645211396</v>
      </c>
      <c r="R545" s="35">
        <v>239.68745942161499</v>
      </c>
      <c r="U545" s="35">
        <v>2826.0123066091501</v>
      </c>
      <c r="AD545" s="36">
        <v>71700</v>
      </c>
    </row>
    <row r="546" spans="1:30">
      <c r="A546" t="str">
        <f>VLOOKUP(B546,info!$B$2:$F$49,2,FALSE)</f>
        <v>Hyundai</v>
      </c>
      <c r="B546" s="34">
        <v>17</v>
      </c>
      <c r="C546" t="s">
        <v>368</v>
      </c>
      <c r="D546" s="34" t="s">
        <v>77</v>
      </c>
      <c r="F546">
        <f>VLOOKUP(B546,info!$B$2:$I$49,8,FALSE)</f>
        <v>6316720</v>
      </c>
      <c r="G546" t="str">
        <f>VLOOKUP(B546,info!$B$2:$I$49,5,FALSE)</f>
        <v>back</v>
      </c>
      <c r="J546" s="35">
        <v>7127.6085018901904</v>
      </c>
      <c r="K546" s="35">
        <v>298824.17265743099</v>
      </c>
      <c r="N546" s="35">
        <v>3481.6235818857099</v>
      </c>
      <c r="P546" s="35">
        <v>72393.325391615595</v>
      </c>
      <c r="R546" s="35">
        <v>209.557504475625</v>
      </c>
      <c r="U546" s="35">
        <v>3031.7044061808601</v>
      </c>
      <c r="AD546" s="36">
        <v>19500</v>
      </c>
    </row>
    <row r="547" spans="1:30">
      <c r="A547" t="str">
        <f>VLOOKUP(B547,info!$B$2:$F$49,2,FALSE)</f>
        <v>Honda</v>
      </c>
      <c r="B547" s="34">
        <v>18</v>
      </c>
      <c r="C547" t="s">
        <v>368</v>
      </c>
      <c r="D547" s="34" t="s">
        <v>77</v>
      </c>
      <c r="F547">
        <f>VLOOKUP(B547,info!$B$2:$I$49,8,FALSE)</f>
        <v>8096906</v>
      </c>
      <c r="G547" t="str">
        <f>VLOOKUP(B547,info!$B$2:$I$49,5,FALSE)</f>
        <v>front</v>
      </c>
      <c r="J547" s="35">
        <v>3796.6435438032499</v>
      </c>
      <c r="K547" s="35">
        <v>325781.21495137102</v>
      </c>
      <c r="N547" s="35">
        <v>333.44918324423202</v>
      </c>
      <c r="P547" s="35">
        <v>69556.118519211494</v>
      </c>
      <c r="R547" s="35">
        <v>71.6099335770312</v>
      </c>
      <c r="U547" s="35">
        <v>3371.9648310218699</v>
      </c>
      <c r="AD547" s="36">
        <v>24200</v>
      </c>
    </row>
    <row r="548" spans="1:30">
      <c r="A548" t="str">
        <f>VLOOKUP(B548,info!$B$2:$F$49,2,FALSE)</f>
        <v>Hyundai</v>
      </c>
      <c r="B548" s="34">
        <v>19</v>
      </c>
      <c r="C548" t="s">
        <v>368</v>
      </c>
      <c r="D548" s="34" t="s">
        <v>77</v>
      </c>
      <c r="F548">
        <f>VLOOKUP(B548,info!$B$2:$I$49,8,FALSE)</f>
        <v>6316720</v>
      </c>
      <c r="G548" t="str">
        <f>VLOOKUP(B548,info!$B$2:$I$49,5,FALSE)</f>
        <v>front</v>
      </c>
      <c r="J548" s="35">
        <v>7034.97976284164</v>
      </c>
      <c r="K548" s="35">
        <v>300562.60432791099</v>
      </c>
      <c r="N548" s="35">
        <v>3508.0804164790302</v>
      </c>
      <c r="P548" s="35">
        <v>72343.705108969705</v>
      </c>
      <c r="R548" s="35">
        <v>236.134211845641</v>
      </c>
      <c r="U548" s="35">
        <v>2778.44999487427</v>
      </c>
      <c r="AD548" s="36">
        <v>28400</v>
      </c>
    </row>
    <row r="549" spans="1:30">
      <c r="A549" t="str">
        <f>VLOOKUP(B549,info!$B$2:$F$49,2,FALSE)</f>
        <v>Fiat</v>
      </c>
      <c r="B549" s="34">
        <v>20</v>
      </c>
      <c r="C549" t="s">
        <v>368</v>
      </c>
      <c r="D549" s="34" t="s">
        <v>77</v>
      </c>
      <c r="F549">
        <f>VLOOKUP(B549,info!$B$2:$I$49,8,FALSE)</f>
        <v>5751910</v>
      </c>
      <c r="G549" t="str">
        <f>VLOOKUP(B549,info!$B$2:$I$49,5,FALSE)</f>
        <v>back</v>
      </c>
      <c r="J549" s="35">
        <v>6229.2066100367101</v>
      </c>
      <c r="K549" s="35">
        <v>329602.716003371</v>
      </c>
      <c r="N549" s="35">
        <v>3172.2115536583501</v>
      </c>
      <c r="P549" s="35">
        <v>64966.564445532204</v>
      </c>
      <c r="R549" s="35">
        <v>294.52839414580598</v>
      </c>
      <c r="U549" s="35">
        <v>5797.4514139221601</v>
      </c>
      <c r="AD549" s="36">
        <v>32600</v>
      </c>
    </row>
    <row r="550" spans="1:30">
      <c r="A550" t="str">
        <f>VLOOKUP(B550,info!$B$2:$F$49,2,FALSE)</f>
        <v>Hyundai</v>
      </c>
      <c r="B550" s="34">
        <v>21</v>
      </c>
      <c r="C550" t="s">
        <v>368</v>
      </c>
      <c r="D550" s="34" t="s">
        <v>77</v>
      </c>
      <c r="F550">
        <f>VLOOKUP(B550,info!$B$2:$I$49,8,FALSE)</f>
        <v>5826120</v>
      </c>
      <c r="G550" t="str">
        <f>VLOOKUP(B550,info!$B$2:$I$49,5,FALSE)</f>
        <v>back triangle</v>
      </c>
      <c r="J550" s="35">
        <v>5562.4568943678596</v>
      </c>
      <c r="K550" s="35">
        <v>317743.10819524899</v>
      </c>
      <c r="N550" s="35">
        <v>2499.92669818596</v>
      </c>
      <c r="P550" s="35">
        <v>70153.822586736904</v>
      </c>
      <c r="R550" s="35">
        <v>285.87681170826897</v>
      </c>
      <c r="U550" s="35">
        <v>2378.7967875259801</v>
      </c>
      <c r="AD550" s="36">
        <v>54300</v>
      </c>
    </row>
    <row r="551" spans="1:30">
      <c r="A551" t="str">
        <f>VLOOKUP(B551,info!$B$2:$F$49,2,FALSE)</f>
        <v>Daewoo</v>
      </c>
      <c r="B551" s="34">
        <v>22</v>
      </c>
      <c r="C551" t="s">
        <v>368</v>
      </c>
      <c r="D551" s="34" t="s">
        <v>77</v>
      </c>
      <c r="F551">
        <f>VLOOKUP(B551,info!$B$2:$I$49,8,FALSE)</f>
        <v>8501017</v>
      </c>
      <c r="G551" t="str">
        <f>VLOOKUP(B551,info!$B$2:$I$49,5,FALSE)</f>
        <v>front</v>
      </c>
      <c r="J551" s="35">
        <v>8336.4644521622704</v>
      </c>
      <c r="K551" s="35">
        <v>334523.08023906499</v>
      </c>
      <c r="N551" s="35">
        <v>5886.9497869860998</v>
      </c>
      <c r="P551" s="35">
        <v>65017.944029111197</v>
      </c>
      <c r="R551" s="35">
        <v>222.34818482025901</v>
      </c>
      <c r="U551" s="35">
        <v>3275.4792537058202</v>
      </c>
      <c r="AD551" s="36">
        <v>57000</v>
      </c>
    </row>
    <row r="552" spans="1:30">
      <c r="A552" t="str">
        <f>VLOOKUP(B552,info!$B$2:$F$49,2,FALSE)</f>
        <v>Daewoo</v>
      </c>
      <c r="B552" s="34">
        <v>23</v>
      </c>
      <c r="C552" t="s">
        <v>368</v>
      </c>
      <c r="D552" s="34" t="s">
        <v>77</v>
      </c>
      <c r="F552">
        <f>VLOOKUP(B552,info!$B$2:$I$49,8,FALSE)</f>
        <v>8501017</v>
      </c>
      <c r="G552" t="str">
        <f>VLOOKUP(B552,info!$B$2:$I$49,5,FALSE)</f>
        <v>back</v>
      </c>
      <c r="J552" s="35">
        <v>7707.8595031631003</v>
      </c>
      <c r="K552" s="35">
        <v>326005.69641592703</v>
      </c>
      <c r="N552" s="35">
        <v>5761.1404903204102</v>
      </c>
      <c r="P552" s="35">
        <v>65648.437218984007</v>
      </c>
      <c r="R552" s="35">
        <v>244.185819731149</v>
      </c>
      <c r="U552" s="35">
        <v>3494.49151736781</v>
      </c>
      <c r="AD552" s="36">
        <v>21500</v>
      </c>
    </row>
    <row r="553" spans="1:30">
      <c r="A553" t="str">
        <f>VLOOKUP(B553,info!$B$2:$F$49,2,FALSE)</f>
        <v>Mitsubishi</v>
      </c>
      <c r="B553" s="34">
        <v>24</v>
      </c>
      <c r="C553" t="s">
        <v>368</v>
      </c>
      <c r="D553" s="34" t="s">
        <v>77</v>
      </c>
      <c r="F553">
        <f>VLOOKUP(B553,info!$B$2:$I$49,8,FALSE)</f>
        <v>7027220</v>
      </c>
      <c r="G553" t="str">
        <f>VLOOKUP(B553,info!$B$2:$I$49,5,FALSE)</f>
        <v>front</v>
      </c>
      <c r="J553" s="35">
        <v>10325.662231119401</v>
      </c>
      <c r="K553" s="35">
        <v>336098.88515923801</v>
      </c>
      <c r="N553" s="35">
        <v>2928.8470271832998</v>
      </c>
      <c r="P553" s="35">
        <v>68495.927494156407</v>
      </c>
      <c r="R553" s="35">
        <v>333.67764257107899</v>
      </c>
      <c r="U553" s="35">
        <v>2702.0365693143599</v>
      </c>
      <c r="AD553" s="36">
        <v>16700</v>
      </c>
    </row>
    <row r="554" spans="1:30">
      <c r="A554" t="str">
        <f>VLOOKUP(B554,info!$B$2:$F$49,2,FALSE)</f>
        <v>Subaru</v>
      </c>
      <c r="B554" s="34">
        <v>25</v>
      </c>
      <c r="C554" t="s">
        <v>368</v>
      </c>
      <c r="D554" s="34" t="s">
        <v>77</v>
      </c>
      <c r="F554">
        <f>VLOOKUP(B554,info!$B$2:$I$49,8,FALSE)</f>
        <v>2675308</v>
      </c>
      <c r="G554" t="str">
        <f>VLOOKUP(B554,info!$B$2:$I$49,5,FALSE)</f>
        <v>front</v>
      </c>
      <c r="J554" s="35">
        <v>4567.1830692720496</v>
      </c>
      <c r="K554" s="35">
        <v>318469.18130449299</v>
      </c>
      <c r="N554" s="35">
        <v>6715.4422004140697</v>
      </c>
      <c r="P554" s="35">
        <v>68229.331959260293</v>
      </c>
      <c r="R554" s="35">
        <v>236.023829728355</v>
      </c>
      <c r="U554" s="35">
        <v>1948.0205465464401</v>
      </c>
      <c r="AD554" s="36">
        <v>16900</v>
      </c>
    </row>
    <row r="555" spans="1:30">
      <c r="A555" t="str">
        <f>VLOOKUP(B555,info!$B$2:$F$49,2,FALSE)</f>
        <v>Mitsubishi</v>
      </c>
      <c r="B555" s="34">
        <v>26</v>
      </c>
      <c r="C555" t="s">
        <v>368</v>
      </c>
      <c r="D555" s="34" t="s">
        <v>77</v>
      </c>
      <c r="F555">
        <f>VLOOKUP(B555,info!$B$2:$I$49,8,FALSE)</f>
        <v>7027220</v>
      </c>
      <c r="G555" t="str">
        <f>VLOOKUP(B555,info!$B$2:$I$49,5,FALSE)</f>
        <v>back</v>
      </c>
      <c r="J555" s="35">
        <v>8744.8514837028997</v>
      </c>
      <c r="K555" s="35">
        <v>331733.42744807201</v>
      </c>
      <c r="N555" s="35">
        <v>5771.2079484803498</v>
      </c>
      <c r="P555" s="35">
        <v>65853.642705759907</v>
      </c>
      <c r="R555" s="35">
        <v>611.57179683496304</v>
      </c>
      <c r="U555" s="35">
        <v>1951.4940086230699</v>
      </c>
      <c r="AD555" s="36">
        <v>10800</v>
      </c>
    </row>
    <row r="556" spans="1:30">
      <c r="A556" t="str">
        <f>VLOOKUP(B556,info!$B$2:$F$49,2,FALSE)</f>
        <v>Fiat</v>
      </c>
      <c r="B556" s="34">
        <v>27</v>
      </c>
      <c r="C556" t="s">
        <v>368</v>
      </c>
      <c r="D556" s="34" t="s">
        <v>77</v>
      </c>
      <c r="F556">
        <f>VLOOKUP(B556,info!$B$2:$I$49,8,FALSE)</f>
        <v>5751910</v>
      </c>
      <c r="G556" t="str">
        <f>VLOOKUP(B556,info!$B$2:$I$49,5,FALSE)</f>
        <v>front</v>
      </c>
      <c r="J556" s="35">
        <v>7625.6821649351596</v>
      </c>
      <c r="K556" s="35">
        <v>332709.66207100899</v>
      </c>
      <c r="N556" s="35">
        <v>3464.0481842935601</v>
      </c>
      <c r="P556" s="35">
        <v>64684.570385188497</v>
      </c>
      <c r="R556" s="35">
        <v>258.40685762087799</v>
      </c>
      <c r="U556" s="35">
        <v>5609.9970927943996</v>
      </c>
      <c r="AD556" s="36">
        <v>33200</v>
      </c>
    </row>
    <row r="557" spans="1:30">
      <c r="A557" t="str">
        <f>VLOOKUP(B557,info!$B$2:$F$49,2,FALSE)</f>
        <v>Subaru</v>
      </c>
      <c r="B557" s="34">
        <v>28</v>
      </c>
      <c r="C557" t="s">
        <v>368</v>
      </c>
      <c r="D557" s="34" t="s">
        <v>77</v>
      </c>
      <c r="F557">
        <f>VLOOKUP(B557,info!$B$2:$I$49,8,FALSE)</f>
        <v>2675308</v>
      </c>
      <c r="G557" t="str">
        <f>VLOOKUP(B557,info!$B$2:$I$49,5,FALSE)</f>
        <v>front</v>
      </c>
      <c r="J557" s="35">
        <v>12539.797213195299</v>
      </c>
      <c r="K557" s="35">
        <v>348169.12080455897</v>
      </c>
      <c r="N557" s="35">
        <v>6176.9384799958598</v>
      </c>
      <c r="P557" s="35">
        <v>63064.983454413901</v>
      </c>
      <c r="R557" s="35">
        <v>204.06252393352401</v>
      </c>
      <c r="U557" s="35">
        <v>1779.13205455006</v>
      </c>
      <c r="AD557" s="36">
        <v>41600</v>
      </c>
    </row>
    <row r="558" spans="1:30">
      <c r="A558" t="str">
        <f>VLOOKUP(B558,info!$B$2:$F$49,2,FALSE)</f>
        <v>Renault</v>
      </c>
      <c r="B558" s="34">
        <v>29</v>
      </c>
      <c r="C558" t="s">
        <v>368</v>
      </c>
      <c r="D558" s="34" t="s">
        <v>77</v>
      </c>
      <c r="F558">
        <f>VLOOKUP(B558,info!$B$2:$I$49,8,FALSE)</f>
        <v>1147816</v>
      </c>
      <c r="G558" t="str">
        <f>VLOOKUP(B558,info!$B$2:$I$49,5,FALSE)</f>
        <v>back triangle</v>
      </c>
      <c r="J558" s="35">
        <v>6888.2401307609998</v>
      </c>
      <c r="K558" s="35">
        <v>321561.99427877797</v>
      </c>
      <c r="N558" s="35">
        <v>1386.30252610765</v>
      </c>
      <c r="P558" s="35">
        <v>68784.446209423899</v>
      </c>
      <c r="R558" s="35">
        <v>322.367392223884</v>
      </c>
      <c r="U558" s="35">
        <v>3838.98096004841</v>
      </c>
      <c r="AD558" s="36">
        <v>29900</v>
      </c>
    </row>
    <row r="559" spans="1:30">
      <c r="A559" t="str">
        <f>VLOOKUP(B559,info!$B$2:$F$49,2,FALSE)</f>
        <v>Ford</v>
      </c>
      <c r="B559" s="34">
        <v>30</v>
      </c>
      <c r="C559" t="s">
        <v>368</v>
      </c>
      <c r="D559" s="34" t="s">
        <v>77</v>
      </c>
      <c r="F559">
        <f>VLOOKUP(B559,info!$B$2:$I$49,8,FALSE)</f>
        <v>6917835</v>
      </c>
      <c r="G559" t="str">
        <f>VLOOKUP(B559,info!$B$2:$I$49,5,FALSE)</f>
        <v>back</v>
      </c>
      <c r="J559" s="35">
        <v>6738.1571008547999</v>
      </c>
      <c r="K559" s="35">
        <v>290192.55270505598</v>
      </c>
      <c r="N559" s="35">
        <v>2735.6402776868299</v>
      </c>
      <c r="P559" s="35">
        <v>67561.067957203501</v>
      </c>
      <c r="R559" s="35">
        <v>265.53138107486501</v>
      </c>
      <c r="U559" s="35">
        <v>7158.4461325695802</v>
      </c>
      <c r="AD559" s="36">
        <v>70300</v>
      </c>
    </row>
    <row r="560" spans="1:30">
      <c r="A560" t="str">
        <f>VLOOKUP(B560,info!$B$2:$F$49,2,FALSE)</f>
        <v>Hyundai</v>
      </c>
      <c r="B560" s="34">
        <v>31</v>
      </c>
      <c r="C560" t="s">
        <v>368</v>
      </c>
      <c r="D560" s="34" t="s">
        <v>77</v>
      </c>
      <c r="F560">
        <f>VLOOKUP(B560,info!$B$2:$I$49,8,FALSE)</f>
        <v>9602910</v>
      </c>
      <c r="G560" t="str">
        <f>VLOOKUP(B560,info!$B$2:$I$49,5,FALSE)</f>
        <v>back triangle</v>
      </c>
      <c r="J560" s="35">
        <v>7618.5901071115704</v>
      </c>
      <c r="K560" s="35">
        <v>301676.70519579202</v>
      </c>
      <c r="N560" s="35">
        <v>4226.5619560553196</v>
      </c>
      <c r="P560" s="35">
        <v>71496.159126098399</v>
      </c>
      <c r="R560" s="35">
        <v>277.83845124682</v>
      </c>
      <c r="U560" s="35">
        <v>3144.9787168738299</v>
      </c>
      <c r="AD560" s="36">
        <v>26500</v>
      </c>
    </row>
    <row r="561" spans="1:30">
      <c r="A561" t="str">
        <f>VLOOKUP(B561,info!$B$2:$F$49,2,FALSE)</f>
        <v>Hyundai</v>
      </c>
      <c r="B561" s="34">
        <v>32</v>
      </c>
      <c r="C561" t="s">
        <v>368</v>
      </c>
      <c r="D561" s="34" t="s">
        <v>77</v>
      </c>
      <c r="F561">
        <f>VLOOKUP(B561,info!$B$2:$I$49,8,FALSE)</f>
        <v>9602910</v>
      </c>
      <c r="G561" t="str">
        <f>VLOOKUP(B561,info!$B$2:$I$49,5,FALSE)</f>
        <v>back triangle</v>
      </c>
      <c r="J561" s="35">
        <v>6480.9128221546598</v>
      </c>
      <c r="K561" s="35">
        <v>298463.68185559101</v>
      </c>
      <c r="N561" s="35">
        <v>4312.3326003962602</v>
      </c>
      <c r="P561" s="35">
        <v>71949.023952670206</v>
      </c>
      <c r="R561" s="35">
        <v>256.26991855595298</v>
      </c>
      <c r="U561" s="35">
        <v>3107.83848104552</v>
      </c>
      <c r="AD561" s="36">
        <v>45500</v>
      </c>
    </row>
    <row r="562" spans="1:30">
      <c r="A562" t="str">
        <f>VLOOKUP(B562,info!$B$2:$F$49,2,FALSE)</f>
        <v>Hyundai</v>
      </c>
      <c r="B562" s="34">
        <v>33</v>
      </c>
      <c r="C562" t="s">
        <v>368</v>
      </c>
      <c r="D562" s="34" t="s">
        <v>77</v>
      </c>
      <c r="F562">
        <f>VLOOKUP(B562,info!$B$2:$I$49,8,FALSE)</f>
        <v>9602910</v>
      </c>
      <c r="G562" t="str">
        <f>VLOOKUP(B562,info!$B$2:$I$49,5,FALSE)</f>
        <v>back</v>
      </c>
      <c r="J562" s="35">
        <v>5265.43255687088</v>
      </c>
      <c r="K562" s="35">
        <v>287082.63087736903</v>
      </c>
      <c r="N562" s="35">
        <v>3507.97340566713</v>
      </c>
      <c r="P562" s="35">
        <v>72256.555187794307</v>
      </c>
      <c r="R562" s="35">
        <v>212.032409495118</v>
      </c>
      <c r="U562" s="35">
        <v>3102.7545582486</v>
      </c>
      <c r="AD562" s="36">
        <v>46000</v>
      </c>
    </row>
    <row r="563" spans="1:30">
      <c r="A563" t="str">
        <f>VLOOKUP(B563,info!$B$2:$F$49,2,FALSE)</f>
        <v>Hyundai</v>
      </c>
      <c r="B563" s="34">
        <v>34</v>
      </c>
      <c r="C563" t="s">
        <v>368</v>
      </c>
      <c r="D563" s="34" t="s">
        <v>77</v>
      </c>
      <c r="F563">
        <f>VLOOKUP(B563,info!$B$2:$I$49,8,FALSE)</f>
        <v>9602910</v>
      </c>
      <c r="G563" t="str">
        <f>VLOOKUP(B563,info!$B$2:$I$49,5,FALSE)</f>
        <v>back triangle</v>
      </c>
      <c r="J563" s="35">
        <v>7268.1197471485702</v>
      </c>
      <c r="K563" s="35">
        <v>323528.46025463397</v>
      </c>
      <c r="N563" s="35">
        <v>3671.6823488486498</v>
      </c>
      <c r="P563" s="35">
        <v>69582.795575299795</v>
      </c>
      <c r="R563" s="35">
        <v>242.73311436494299</v>
      </c>
      <c r="U563" s="35">
        <v>2657.9097933840999</v>
      </c>
      <c r="AD563" s="36">
        <v>29100</v>
      </c>
    </row>
    <row r="564" spans="1:30">
      <c r="A564" t="str">
        <f>VLOOKUP(B564,info!$B$2:$F$49,2,FALSE)</f>
        <v>Hyundai</v>
      </c>
      <c r="B564" s="34">
        <v>35</v>
      </c>
      <c r="C564" t="s">
        <v>368</v>
      </c>
      <c r="D564" s="34" t="s">
        <v>77</v>
      </c>
      <c r="F564">
        <f>VLOOKUP(B564,info!$B$2:$I$49,8,FALSE)</f>
        <v>5826120</v>
      </c>
      <c r="G564" t="str">
        <f>VLOOKUP(B564,info!$B$2:$I$49,5,FALSE)</f>
        <v>front</v>
      </c>
      <c r="J564" s="35">
        <v>8069.8436555983399</v>
      </c>
      <c r="K564" s="35">
        <v>325046.88281738001</v>
      </c>
      <c r="N564" s="35">
        <v>2960.3890420144498</v>
      </c>
      <c r="P564" s="35">
        <v>70374.938259576797</v>
      </c>
      <c r="R564" s="35">
        <v>275.68352827633498</v>
      </c>
      <c r="U564" s="35">
        <v>2219.3124799960601</v>
      </c>
      <c r="AD564" s="36">
        <v>25300</v>
      </c>
    </row>
    <row r="565" spans="1:30">
      <c r="A565" t="str">
        <f>VLOOKUP(B565,info!$B$2:$F$49,2,FALSE)</f>
        <v>Hyundai</v>
      </c>
      <c r="B565" s="34">
        <v>36</v>
      </c>
      <c r="C565" t="s">
        <v>368</v>
      </c>
      <c r="D565" s="34" t="s">
        <v>77</v>
      </c>
      <c r="F565">
        <f>VLOOKUP(B565,info!$B$2:$I$49,8,FALSE)</f>
        <v>5826120</v>
      </c>
      <c r="G565" t="str">
        <f>VLOOKUP(B565,info!$B$2:$I$49,5,FALSE)</f>
        <v>back</v>
      </c>
      <c r="J565" s="35">
        <v>4309.95522822357</v>
      </c>
      <c r="K565" s="35">
        <v>306323.71454029297</v>
      </c>
      <c r="N565" s="35">
        <v>7726.3499682398897</v>
      </c>
      <c r="P565" s="35">
        <v>68012.9667582986</v>
      </c>
      <c r="R565" s="35">
        <v>378.141157128298</v>
      </c>
      <c r="U565" s="35">
        <v>3376.6459588840298</v>
      </c>
      <c r="AD565" s="36">
        <v>34500</v>
      </c>
    </row>
    <row r="566" spans="1:30">
      <c r="A566" t="str">
        <f>VLOOKUP(B566,info!$B$2:$F$49,2,FALSE)</f>
        <v>Ford</v>
      </c>
      <c r="B566" s="34">
        <v>37</v>
      </c>
      <c r="C566" t="s">
        <v>368</v>
      </c>
      <c r="D566" s="34" t="s">
        <v>77</v>
      </c>
      <c r="F566">
        <f>VLOOKUP(B566,info!$B$2:$I$49,8,FALSE)</f>
        <v>6917835</v>
      </c>
      <c r="G566" t="str">
        <f>VLOOKUP(B566,info!$B$2:$I$49,5,FALSE)</f>
        <v>front</v>
      </c>
      <c r="J566" s="35">
        <v>7197.2483060222003</v>
      </c>
      <c r="K566" s="35">
        <v>300500.81200702902</v>
      </c>
      <c r="N566" s="35">
        <v>3164.1134878543498</v>
      </c>
      <c r="P566" s="35">
        <v>68141.731058752004</v>
      </c>
      <c r="R566" s="35">
        <v>299.23399082792298</v>
      </c>
      <c r="U566" s="35">
        <v>7141.5357507547797</v>
      </c>
      <c r="AD566" s="36">
        <v>36000</v>
      </c>
    </row>
    <row r="567" spans="1:30">
      <c r="A567" t="str">
        <f>VLOOKUP(B567,info!$B$2:$F$49,2,FALSE)</f>
        <v>Hyundai</v>
      </c>
      <c r="B567" s="34">
        <v>38</v>
      </c>
      <c r="C567" t="s">
        <v>368</v>
      </c>
      <c r="D567" s="34" t="s">
        <v>77</v>
      </c>
      <c r="F567">
        <f>VLOOKUP(B567,info!$B$2:$I$49,8,FALSE)</f>
        <v>5826120</v>
      </c>
      <c r="G567" t="str">
        <f>VLOOKUP(B567,info!$B$2:$I$49,5,FALSE)</f>
        <v>back</v>
      </c>
      <c r="J567" s="35">
        <v>7035.8215162592596</v>
      </c>
      <c r="K567" s="35">
        <v>315857.17842748499</v>
      </c>
      <c r="N567" s="35">
        <v>2914.0578282073998</v>
      </c>
      <c r="P567" s="35">
        <v>71337.649373853797</v>
      </c>
      <c r="R567" s="35">
        <v>263.583673759107</v>
      </c>
      <c r="U567" s="35">
        <v>2358.9420416223502</v>
      </c>
      <c r="AD567" s="36">
        <v>25500</v>
      </c>
    </row>
    <row r="568" spans="1:30">
      <c r="A568" t="str">
        <f>VLOOKUP(B568,info!$B$2:$F$49,2,FALSE)</f>
        <v>Renault</v>
      </c>
      <c r="B568" s="34">
        <v>39</v>
      </c>
      <c r="C568" t="s">
        <v>368</v>
      </c>
      <c r="D568" s="34" t="s">
        <v>77</v>
      </c>
      <c r="F568">
        <f>VLOOKUP(B568,info!$B$2:$I$49,8,FALSE)</f>
        <v>1147816</v>
      </c>
      <c r="G568" t="str">
        <f>VLOOKUP(B568,info!$B$2:$I$49,5,FALSE)</f>
        <v>back triangle</v>
      </c>
      <c r="J568" s="35">
        <v>7040</v>
      </c>
      <c r="K568" s="35">
        <v>351609.48357265798</v>
      </c>
      <c r="N568" s="35">
        <v>1448.4979086676001</v>
      </c>
      <c r="P568" s="35">
        <v>65730.5819532225</v>
      </c>
      <c r="R568" s="35">
        <v>320.321169459788</v>
      </c>
      <c r="U568" s="35">
        <v>3229.59110173825</v>
      </c>
      <c r="AD568" s="36">
        <v>24900</v>
      </c>
    </row>
    <row r="569" spans="1:30">
      <c r="A569" t="str">
        <f>VLOOKUP(B569,info!$B$2:$F$49,2,FALSE)</f>
        <v>Subaru</v>
      </c>
      <c r="B569" s="34">
        <v>40</v>
      </c>
      <c r="C569" t="s">
        <v>368</v>
      </c>
      <c r="D569" s="34" t="s">
        <v>77</v>
      </c>
      <c r="F569">
        <f>VLOOKUP(B569,info!$B$2:$I$49,8,FALSE)</f>
        <v>2675308</v>
      </c>
      <c r="G569" t="str">
        <f>VLOOKUP(B569,info!$B$2:$I$49,5,FALSE)</f>
        <v>back</v>
      </c>
      <c r="J569" s="35">
        <v>9439.2718758929805</v>
      </c>
      <c r="K569" s="35">
        <v>350369.18580827297</v>
      </c>
      <c r="N569" s="35">
        <v>6515.6833924749099</v>
      </c>
      <c r="P569" s="35">
        <v>56337.531210166999</v>
      </c>
      <c r="R569" s="35">
        <v>209.83235220770899</v>
      </c>
      <c r="U569" s="35">
        <v>1711.1809639022999</v>
      </c>
      <c r="AD569" s="36">
        <v>19800</v>
      </c>
    </row>
    <row r="570" spans="1:30">
      <c r="A570" t="str">
        <f>VLOOKUP(B570,info!$B$2:$F$49,2,FALSE)</f>
        <v>Fiat</v>
      </c>
      <c r="B570" s="34">
        <v>41</v>
      </c>
      <c r="C570" t="s">
        <v>368</v>
      </c>
      <c r="D570" s="34" t="s">
        <v>77</v>
      </c>
      <c r="F570">
        <f>VLOOKUP(B570,info!$B$2:$I$49,8,FALSE)</f>
        <v>5751910</v>
      </c>
      <c r="G570" t="str">
        <f>VLOOKUP(B570,info!$B$2:$I$49,5,FALSE)</f>
        <v>back</v>
      </c>
      <c r="J570" s="35">
        <v>5703.9605739294102</v>
      </c>
      <c r="K570" s="35">
        <v>343525.98916394799</v>
      </c>
      <c r="N570" s="35">
        <v>923.72613041387297</v>
      </c>
      <c r="P570" s="35">
        <v>56117.022779829102</v>
      </c>
      <c r="R570" s="35">
        <v>181.17101263779</v>
      </c>
      <c r="U570" s="35">
        <v>5270.8917318031599</v>
      </c>
      <c r="AD570" s="36">
        <v>34400</v>
      </c>
    </row>
    <row r="571" spans="1:30">
      <c r="A571" t="str">
        <f>VLOOKUP(B571,info!$B$2:$F$49,2,FALSE)</f>
        <v>Renault</v>
      </c>
      <c r="B571" s="34">
        <v>42</v>
      </c>
      <c r="C571" t="s">
        <v>368</v>
      </c>
      <c r="D571" s="34" t="s">
        <v>77</v>
      </c>
      <c r="F571">
        <f>VLOOKUP(B571,info!$B$2:$I$49,8,FALSE)</f>
        <v>1147816</v>
      </c>
      <c r="G571" t="str">
        <f>VLOOKUP(B571,info!$B$2:$I$49,5,FALSE)</f>
        <v>back</v>
      </c>
      <c r="J571" s="35">
        <v>6771.1183807375301</v>
      </c>
      <c r="K571" s="35">
        <v>295445.19431593898</v>
      </c>
      <c r="N571" s="35">
        <v>9735.9654565286201</v>
      </c>
      <c r="P571" s="35">
        <v>56640.481263787697</v>
      </c>
      <c r="R571" s="35">
        <v>278.86104793684001</v>
      </c>
      <c r="U571" s="35">
        <v>4940.9701508057597</v>
      </c>
      <c r="AD571" s="36">
        <v>32700</v>
      </c>
    </row>
    <row r="572" spans="1:30">
      <c r="A572" t="str">
        <f>VLOOKUP(B572,info!$B$2:$F$49,2,FALSE)</f>
        <v>Fiat</v>
      </c>
      <c r="B572" s="34">
        <v>43</v>
      </c>
      <c r="C572" t="s">
        <v>368</v>
      </c>
      <c r="D572" s="34" t="s">
        <v>77</v>
      </c>
      <c r="F572">
        <f>VLOOKUP(B572,info!$B$2:$I$49,8,FALSE)</f>
        <v>5751910</v>
      </c>
      <c r="G572" t="str">
        <f>VLOOKUP(B572,info!$B$2:$I$49,5,FALSE)</f>
        <v>front</v>
      </c>
      <c r="J572" s="35">
        <v>4040.5262994218101</v>
      </c>
      <c r="K572" s="35">
        <v>315421.95623261499</v>
      </c>
      <c r="N572" s="35">
        <v>864.24802859561203</v>
      </c>
      <c r="P572" s="35">
        <v>58298.986879093798</v>
      </c>
      <c r="R572" s="35">
        <v>169.49884644987901</v>
      </c>
      <c r="U572" s="35">
        <v>6341.1518415938599</v>
      </c>
      <c r="AD572" s="36">
        <v>31400</v>
      </c>
    </row>
    <row r="573" spans="1:30">
      <c r="A573" t="str">
        <f>VLOOKUP(B573,info!$B$2:$F$49,2,FALSE)</f>
        <v>Hyundai</v>
      </c>
      <c r="B573" s="34">
        <v>44</v>
      </c>
      <c r="C573" t="s">
        <v>368</v>
      </c>
      <c r="D573" s="34" t="s">
        <v>77</v>
      </c>
      <c r="F573">
        <f>VLOOKUP(B573,info!$B$2:$I$49,8,FALSE)</f>
        <v>9602910</v>
      </c>
      <c r="G573" t="str">
        <f>VLOOKUP(B573,info!$B$2:$I$49,5,FALSE)</f>
        <v>front</v>
      </c>
      <c r="J573" s="35">
        <v>4717.4770228780599</v>
      </c>
      <c r="K573" s="35">
        <v>289283.39131048502</v>
      </c>
      <c r="N573" s="35">
        <v>3480.9740809190598</v>
      </c>
      <c r="P573" s="35">
        <v>73482.572755942194</v>
      </c>
      <c r="R573" s="35">
        <v>287.38059769606002</v>
      </c>
      <c r="U573" s="35">
        <v>3427.4202002013899</v>
      </c>
      <c r="AD573" s="36">
        <v>31400</v>
      </c>
    </row>
    <row r="574" spans="1:30">
      <c r="A574" t="str">
        <f>VLOOKUP(B574,info!$B$2:$F$49,2,FALSE)</f>
        <v>Subaru</v>
      </c>
      <c r="B574" s="34">
        <v>45</v>
      </c>
      <c r="C574" t="s">
        <v>368</v>
      </c>
      <c r="D574" s="34" t="s">
        <v>77</v>
      </c>
      <c r="F574">
        <f>VLOOKUP(B574,info!$B$2:$I$49,8,FALSE)</f>
        <v>2675308</v>
      </c>
      <c r="G574" t="str">
        <f>VLOOKUP(B574,info!$B$2:$I$49,5,FALSE)</f>
        <v>back</v>
      </c>
      <c r="J574" s="35">
        <v>8166.1958019988697</v>
      </c>
      <c r="K574" s="35">
        <v>336219.68929738499</v>
      </c>
      <c r="N574" s="35">
        <v>6312.09492138726</v>
      </c>
      <c r="P574" s="35">
        <v>65940.203210110602</v>
      </c>
      <c r="R574" s="35">
        <v>179.762704002807</v>
      </c>
      <c r="U574" s="35">
        <v>1820.3670080705799</v>
      </c>
      <c r="AD574" s="36">
        <v>28800</v>
      </c>
    </row>
    <row r="575" spans="1:30">
      <c r="A575" t="str">
        <f>VLOOKUP(B575,info!$B$2:$F$49,2,FALSE)</f>
        <v>Renault</v>
      </c>
      <c r="B575" s="34">
        <v>46</v>
      </c>
      <c r="C575" t="s">
        <v>368</v>
      </c>
      <c r="D575" s="34" t="s">
        <v>77</v>
      </c>
      <c r="F575">
        <f>VLOOKUP(B575,info!$B$2:$I$49,8,FALSE)</f>
        <v>1147816</v>
      </c>
      <c r="G575" t="str">
        <f>VLOOKUP(B575,info!$B$2:$I$49,5,FALSE)</f>
        <v>back</v>
      </c>
      <c r="J575" s="35">
        <v>5161.1940942928804</v>
      </c>
      <c r="K575" s="35">
        <v>346876.69833171502</v>
      </c>
      <c r="N575" s="35">
        <v>2207.4224350589502</v>
      </c>
      <c r="P575" s="35">
        <v>65375.078291830403</v>
      </c>
      <c r="R575" s="35">
        <v>165.56094546423799</v>
      </c>
      <c r="U575" s="35">
        <v>4951.8248423508403</v>
      </c>
      <c r="AD575" s="36">
        <v>27600</v>
      </c>
    </row>
    <row r="576" spans="1:30">
      <c r="A576" t="str">
        <f>VLOOKUP(B576,info!$B$2:$F$49,2,FALSE)</f>
        <v>Renault</v>
      </c>
      <c r="B576" s="34">
        <v>47</v>
      </c>
      <c r="C576" t="s">
        <v>368</v>
      </c>
      <c r="D576" s="34" t="s">
        <v>77</v>
      </c>
      <c r="F576">
        <f>VLOOKUP(B576,info!$B$2:$I$49,8,FALSE)</f>
        <v>1147816</v>
      </c>
      <c r="G576" t="str">
        <f>VLOOKUP(B576,info!$B$2:$I$49,5,FALSE)</f>
        <v>front</v>
      </c>
      <c r="J576" s="35">
        <v>6064.1325105801998</v>
      </c>
      <c r="K576" s="35">
        <v>348063.97581097099</v>
      </c>
      <c r="N576" s="35">
        <v>2400.4721761092401</v>
      </c>
      <c r="P576" s="35">
        <v>65342.366427525798</v>
      </c>
      <c r="R576" s="35">
        <v>183.19503627447901</v>
      </c>
      <c r="U576" s="35">
        <v>4795.1160685519098</v>
      </c>
      <c r="AD576" s="36">
        <v>28300</v>
      </c>
    </row>
    <row r="577" spans="1:30">
      <c r="A577" t="str">
        <f>VLOOKUP(B577,info!$B$2:$F$49,2,FALSE)</f>
        <v>Hyundai</v>
      </c>
      <c r="B577" s="34">
        <v>48</v>
      </c>
      <c r="C577" t="s">
        <v>368</v>
      </c>
      <c r="D577" s="34" t="s">
        <v>77</v>
      </c>
      <c r="F577">
        <f>VLOOKUP(B577,info!$B$2:$I$49,8,FALSE)</f>
        <v>5826120</v>
      </c>
      <c r="G577" t="str">
        <f>VLOOKUP(B577,info!$B$2:$I$49,5,FALSE)</f>
        <v>back triangle</v>
      </c>
      <c r="J577" s="35">
        <v>5801.5277162880202</v>
      </c>
      <c r="K577" s="35">
        <v>318105.31449243397</v>
      </c>
      <c r="N577" s="35">
        <v>2792.3968081113899</v>
      </c>
      <c r="P577" s="35">
        <v>71198.359602790501</v>
      </c>
      <c r="R577" s="35">
        <v>255.17691866970799</v>
      </c>
      <c r="U577" s="35">
        <v>2435.5420707161202</v>
      </c>
      <c r="AD577" s="36">
        <v>23500</v>
      </c>
    </row>
    <row r="578" spans="1:30">
      <c r="A578" t="str">
        <f>VLOOKUP(B578,info!$B$2:$F$49,2,FALSE)</f>
        <v>Mazda</v>
      </c>
      <c r="B578">
        <v>1</v>
      </c>
      <c r="C578" t="s">
        <v>372</v>
      </c>
      <c r="D578" t="s">
        <v>77</v>
      </c>
      <c r="F578">
        <f>VLOOKUP(B578,info!$B$2:$I$49,8,FALSE)</f>
        <v>3550828</v>
      </c>
      <c r="H578">
        <v>8540</v>
      </c>
      <c r="I578">
        <v>2340</v>
      </c>
      <c r="J578">
        <v>770</v>
      </c>
      <c r="K578">
        <v>34760</v>
      </c>
      <c r="N578">
        <v>660</v>
      </c>
      <c r="P578">
        <v>5800</v>
      </c>
      <c r="U578">
        <v>400</v>
      </c>
      <c r="AB578">
        <v>1670</v>
      </c>
    </row>
    <row r="579" spans="1:30">
      <c r="A579" t="str">
        <f>VLOOKUP(B579,info!$B$2:$F$49,2,FALSE)</f>
        <v>Mazda</v>
      </c>
      <c r="B579">
        <v>1</v>
      </c>
      <c r="C579" t="s">
        <v>372</v>
      </c>
      <c r="D579" t="s">
        <v>30</v>
      </c>
      <c r="F579">
        <f>VLOOKUP(B579,info!$B$2:$I$49,8,FALSE)</f>
        <v>3550828</v>
      </c>
      <c r="H579">
        <v>8090</v>
      </c>
      <c r="I579">
        <v>2280</v>
      </c>
      <c r="J579">
        <v>690</v>
      </c>
      <c r="K579">
        <v>35960</v>
      </c>
      <c r="N579">
        <v>640</v>
      </c>
      <c r="P579">
        <v>5650</v>
      </c>
      <c r="U579">
        <v>0</v>
      </c>
      <c r="AB579">
        <v>0</v>
      </c>
    </row>
    <row r="580" spans="1:30">
      <c r="A580" t="str">
        <f>VLOOKUP(B580,info!$B$2:$F$49,2,FALSE)</f>
        <v>Ford</v>
      </c>
      <c r="B580">
        <v>10</v>
      </c>
      <c r="C580" t="s">
        <v>372</v>
      </c>
      <c r="D580" t="s">
        <v>30</v>
      </c>
      <c r="F580">
        <f>VLOOKUP(B580,info!$B$2:$I$49,8,FALSE)</f>
        <v>6917835</v>
      </c>
      <c r="H580">
        <v>8119.9999999999991</v>
      </c>
      <c r="I580">
        <v>2380</v>
      </c>
      <c r="J580">
        <v>390</v>
      </c>
      <c r="K580">
        <v>35870</v>
      </c>
      <c r="N580">
        <v>230</v>
      </c>
      <c r="P580">
        <v>5740</v>
      </c>
      <c r="U580">
        <v>440</v>
      </c>
      <c r="AB580">
        <v>0</v>
      </c>
    </row>
    <row r="581" spans="1:30">
      <c r="A581" t="str">
        <f>VLOOKUP(B581,info!$B$2:$F$49,2,FALSE)</f>
        <v>Ford</v>
      </c>
      <c r="B581">
        <v>10</v>
      </c>
      <c r="C581" t="s">
        <v>372</v>
      </c>
      <c r="D581" t="s">
        <v>77</v>
      </c>
      <c r="F581">
        <f>VLOOKUP(B581,info!$B$2:$I$49,8,FALSE)</f>
        <v>6917835</v>
      </c>
      <c r="H581">
        <v>8160</v>
      </c>
      <c r="I581">
        <v>2200</v>
      </c>
      <c r="J581">
        <v>650</v>
      </c>
      <c r="K581">
        <v>34700</v>
      </c>
      <c r="N581">
        <v>0</v>
      </c>
      <c r="P581">
        <v>5800</v>
      </c>
      <c r="U581">
        <v>1030</v>
      </c>
      <c r="AB581">
        <v>2060</v>
      </c>
    </row>
    <row r="582" spans="1:30">
      <c r="A582" t="str">
        <f>VLOOKUP(B582,info!$B$2:$F$49,2,FALSE)</f>
        <v>Honda</v>
      </c>
      <c r="B582">
        <v>11</v>
      </c>
      <c r="C582" t="s">
        <v>372</v>
      </c>
      <c r="D582" t="s">
        <v>77</v>
      </c>
      <c r="F582">
        <f>VLOOKUP(B582,info!$B$2:$I$49,8,FALSE)</f>
        <v>8096906</v>
      </c>
      <c r="H582">
        <v>8490</v>
      </c>
      <c r="I582">
        <v>2200</v>
      </c>
      <c r="J582">
        <v>0</v>
      </c>
      <c r="K582">
        <v>34620</v>
      </c>
      <c r="N582">
        <v>0</v>
      </c>
      <c r="P582">
        <v>5640</v>
      </c>
      <c r="U582">
        <v>480</v>
      </c>
      <c r="AB582">
        <v>2500</v>
      </c>
    </row>
    <row r="583" spans="1:30">
      <c r="A583" t="str">
        <f>VLOOKUP(B583,info!$B$2:$F$49,2,FALSE)</f>
        <v>Honda</v>
      </c>
      <c r="B583">
        <v>11</v>
      </c>
      <c r="C583" t="s">
        <v>372</v>
      </c>
      <c r="D583" t="s">
        <v>30</v>
      </c>
      <c r="F583">
        <f>VLOOKUP(B583,info!$B$2:$I$49,8,FALSE)</f>
        <v>8096906</v>
      </c>
      <c r="H583">
        <v>7840</v>
      </c>
      <c r="I583">
        <v>2260</v>
      </c>
      <c r="J583">
        <v>0</v>
      </c>
      <c r="K583">
        <v>35990</v>
      </c>
      <c r="N583">
        <v>0</v>
      </c>
      <c r="P583">
        <v>5690</v>
      </c>
      <c r="U583">
        <v>210</v>
      </c>
      <c r="AB583">
        <v>0</v>
      </c>
    </row>
    <row r="584" spans="1:30">
      <c r="A584" t="str">
        <f>VLOOKUP(B584,info!$B$2:$F$49,2,FALSE)</f>
        <v>Daewoo</v>
      </c>
      <c r="B584">
        <v>12</v>
      </c>
      <c r="C584" t="s">
        <v>372</v>
      </c>
      <c r="D584" t="s">
        <v>77</v>
      </c>
      <c r="F584">
        <f>VLOOKUP(B584,info!$B$2:$I$49,8,FALSE)</f>
        <v>8501017</v>
      </c>
      <c r="H584">
        <v>8360</v>
      </c>
      <c r="I584">
        <v>2270</v>
      </c>
      <c r="J584">
        <v>640</v>
      </c>
      <c r="K584">
        <v>35920</v>
      </c>
      <c r="N584">
        <v>540</v>
      </c>
      <c r="P584">
        <v>5670</v>
      </c>
      <c r="U584">
        <v>460</v>
      </c>
      <c r="AB584">
        <v>1750</v>
      </c>
    </row>
    <row r="585" spans="1:30">
      <c r="A585" t="str">
        <f>VLOOKUP(B585,info!$B$2:$F$49,2,FALSE)</f>
        <v>Daewoo</v>
      </c>
      <c r="B585">
        <v>12</v>
      </c>
      <c r="C585" t="s">
        <v>372</v>
      </c>
      <c r="D585" t="s">
        <v>30</v>
      </c>
      <c r="F585">
        <f>VLOOKUP(B585,info!$B$2:$I$49,8,FALSE)</f>
        <v>8501017</v>
      </c>
      <c r="H585">
        <v>8070</v>
      </c>
      <c r="I585">
        <v>2290</v>
      </c>
      <c r="J585">
        <v>540</v>
      </c>
      <c r="K585">
        <v>37160</v>
      </c>
      <c r="N585">
        <v>450</v>
      </c>
      <c r="P585">
        <v>5790</v>
      </c>
      <c r="U585">
        <v>250</v>
      </c>
      <c r="AB585">
        <v>0</v>
      </c>
    </row>
    <row r="586" spans="1:30">
      <c r="A586" t="str">
        <f>VLOOKUP(B586,info!$B$2:$F$49,2,FALSE)</f>
        <v>Hyundai</v>
      </c>
      <c r="B586">
        <v>13</v>
      </c>
      <c r="C586" t="s">
        <v>372</v>
      </c>
      <c r="D586" t="s">
        <v>30</v>
      </c>
      <c r="F586">
        <f>VLOOKUP(B586,info!$B$2:$I$49,8,FALSE)</f>
        <v>9540217</v>
      </c>
      <c r="H586">
        <v>8400</v>
      </c>
      <c r="I586">
        <v>2270</v>
      </c>
      <c r="J586">
        <v>600</v>
      </c>
      <c r="K586">
        <v>36360</v>
      </c>
      <c r="N586">
        <v>320</v>
      </c>
      <c r="P586">
        <v>6670</v>
      </c>
      <c r="U586">
        <v>260</v>
      </c>
      <c r="AB586">
        <v>0</v>
      </c>
    </row>
    <row r="587" spans="1:30">
      <c r="A587" t="str">
        <f>VLOOKUP(B587,info!$B$2:$F$49,2,FALSE)</f>
        <v>Hyundai</v>
      </c>
      <c r="B587">
        <v>13</v>
      </c>
      <c r="C587" t="s">
        <v>372</v>
      </c>
      <c r="D587" t="s">
        <v>77</v>
      </c>
      <c r="F587">
        <f>VLOOKUP(B587,info!$B$2:$I$49,8,FALSE)</f>
        <v>9540217</v>
      </c>
      <c r="H587">
        <v>8790</v>
      </c>
      <c r="I587">
        <v>2230</v>
      </c>
      <c r="J587">
        <v>480</v>
      </c>
      <c r="K587">
        <v>34720</v>
      </c>
      <c r="N587">
        <v>370</v>
      </c>
      <c r="P587">
        <v>6630</v>
      </c>
      <c r="U587">
        <v>440</v>
      </c>
      <c r="AB587">
        <v>1780</v>
      </c>
    </row>
    <row r="588" spans="1:30">
      <c r="A588" t="str">
        <f>VLOOKUP(B588,info!$B$2:$F$49,2,FALSE)</f>
        <v>Peugeot</v>
      </c>
      <c r="B588">
        <v>14</v>
      </c>
      <c r="C588" t="s">
        <v>372</v>
      </c>
      <c r="D588" t="s">
        <v>77</v>
      </c>
      <c r="F588">
        <f>VLOOKUP(B588,info!$B$2:$I$49,8,FALSE)</f>
        <v>9367324</v>
      </c>
      <c r="H588">
        <v>8910</v>
      </c>
      <c r="I588">
        <v>2330</v>
      </c>
      <c r="J588">
        <v>520</v>
      </c>
      <c r="K588">
        <v>36300</v>
      </c>
      <c r="N588">
        <v>380</v>
      </c>
      <c r="P588">
        <v>6810</v>
      </c>
      <c r="U588">
        <v>420</v>
      </c>
      <c r="AB588">
        <v>1900</v>
      </c>
    </row>
    <row r="589" spans="1:30">
      <c r="A589" t="str">
        <f>VLOOKUP(B589,info!$B$2:$F$49,2,FALSE)</f>
        <v>Peugeot</v>
      </c>
      <c r="B589">
        <v>14</v>
      </c>
      <c r="C589" t="s">
        <v>372</v>
      </c>
      <c r="D589" t="s">
        <v>30</v>
      </c>
      <c r="F589">
        <f>VLOOKUP(B589,info!$B$2:$I$49,8,FALSE)</f>
        <v>9367324</v>
      </c>
      <c r="H589">
        <v>8860</v>
      </c>
      <c r="I589">
        <v>2440</v>
      </c>
      <c r="J589">
        <v>560</v>
      </c>
      <c r="K589">
        <v>39090</v>
      </c>
      <c r="N589">
        <v>340</v>
      </c>
      <c r="P589">
        <v>7310</v>
      </c>
      <c r="U589">
        <v>230</v>
      </c>
      <c r="AB589">
        <v>0</v>
      </c>
    </row>
    <row r="590" spans="1:30">
      <c r="A590" t="str">
        <f>VLOOKUP(B590,info!$B$2:$F$49,2,FALSE)</f>
        <v>Ford</v>
      </c>
      <c r="B590">
        <v>15</v>
      </c>
      <c r="C590" t="s">
        <v>372</v>
      </c>
      <c r="D590" t="s">
        <v>77</v>
      </c>
      <c r="F590">
        <f>VLOOKUP(B590,info!$B$2:$I$49,8,FALSE)</f>
        <v>6917835</v>
      </c>
      <c r="H590">
        <v>8770</v>
      </c>
      <c r="I590">
        <v>2370</v>
      </c>
      <c r="J590">
        <v>470</v>
      </c>
      <c r="K590">
        <v>36290</v>
      </c>
      <c r="N590">
        <v>0</v>
      </c>
      <c r="P590">
        <v>6130</v>
      </c>
      <c r="U590">
        <v>910</v>
      </c>
      <c r="AB590">
        <v>2160</v>
      </c>
    </row>
    <row r="591" spans="1:30">
      <c r="A591" t="str">
        <f>VLOOKUP(B591,info!$B$2:$F$49,2,FALSE)</f>
        <v>Ford</v>
      </c>
      <c r="B591">
        <v>15</v>
      </c>
      <c r="C591" t="s">
        <v>372</v>
      </c>
      <c r="D591" t="s">
        <v>30</v>
      </c>
      <c r="F591">
        <f>VLOOKUP(B591,info!$B$2:$I$49,8,FALSE)</f>
        <v>6917835</v>
      </c>
      <c r="H591">
        <v>8240</v>
      </c>
      <c r="I591">
        <v>2510</v>
      </c>
      <c r="J591">
        <v>400</v>
      </c>
      <c r="K591">
        <v>37380</v>
      </c>
      <c r="N591">
        <v>250</v>
      </c>
      <c r="P591">
        <v>6110</v>
      </c>
      <c r="U591">
        <v>470</v>
      </c>
      <c r="AB591">
        <v>0</v>
      </c>
    </row>
    <row r="592" spans="1:30">
      <c r="A592" t="str">
        <f>VLOOKUP(B592,info!$B$2:$F$49,2,FALSE)</f>
        <v>Hyundai</v>
      </c>
      <c r="B592">
        <v>16</v>
      </c>
      <c r="C592" t="s">
        <v>372</v>
      </c>
      <c r="D592" t="s">
        <v>30</v>
      </c>
      <c r="F592">
        <f>VLOOKUP(B592,info!$B$2:$I$49,8,FALSE)</f>
        <v>6316720</v>
      </c>
      <c r="H592">
        <v>8300</v>
      </c>
      <c r="I592">
        <v>2270</v>
      </c>
      <c r="J592">
        <v>460</v>
      </c>
      <c r="K592">
        <v>35140</v>
      </c>
      <c r="N592">
        <v>280</v>
      </c>
      <c r="P592">
        <v>6370</v>
      </c>
      <c r="U592">
        <v>190</v>
      </c>
      <c r="AB592">
        <v>0</v>
      </c>
    </row>
    <row r="593" spans="1:28">
      <c r="A593" t="str">
        <f>VLOOKUP(B593,info!$B$2:$F$49,2,FALSE)</f>
        <v>Hyundai</v>
      </c>
      <c r="B593">
        <v>16</v>
      </c>
      <c r="C593" t="s">
        <v>372</v>
      </c>
      <c r="D593" t="s">
        <v>77</v>
      </c>
      <c r="F593">
        <f>VLOOKUP(B593,info!$B$2:$I$49,8,FALSE)</f>
        <v>6316720</v>
      </c>
      <c r="H593">
        <v>8390</v>
      </c>
      <c r="I593">
        <v>2150</v>
      </c>
      <c r="J593">
        <v>470</v>
      </c>
      <c r="K593">
        <v>33890</v>
      </c>
      <c r="N593">
        <v>340</v>
      </c>
      <c r="P593">
        <v>6290</v>
      </c>
      <c r="U593">
        <v>340</v>
      </c>
      <c r="AB593">
        <v>1410</v>
      </c>
    </row>
    <row r="594" spans="1:28">
      <c r="A594" t="str">
        <f>VLOOKUP(B594,info!$B$2:$F$49,2,FALSE)</f>
        <v>Hyundai</v>
      </c>
      <c r="B594">
        <v>17</v>
      </c>
      <c r="C594" t="s">
        <v>372</v>
      </c>
      <c r="D594" t="s">
        <v>30</v>
      </c>
      <c r="F594">
        <f>VLOOKUP(B594,info!$B$2:$I$49,8,FALSE)</f>
        <v>6316720</v>
      </c>
      <c r="H594">
        <v>8980</v>
      </c>
      <c r="I594">
        <v>2340</v>
      </c>
      <c r="J594">
        <v>470</v>
      </c>
      <c r="K594">
        <v>36970</v>
      </c>
      <c r="N594">
        <v>340</v>
      </c>
      <c r="P594">
        <v>7060</v>
      </c>
      <c r="U594">
        <v>460</v>
      </c>
      <c r="AB594">
        <v>1870</v>
      </c>
    </row>
    <row r="595" spans="1:28">
      <c r="A595" t="str">
        <f>VLOOKUP(B595,info!$B$2:$F$49,2,FALSE)</f>
        <v>Hyundai</v>
      </c>
      <c r="B595">
        <v>17</v>
      </c>
      <c r="C595" t="s">
        <v>372</v>
      </c>
      <c r="D595" t="s">
        <v>77</v>
      </c>
      <c r="F595">
        <f>VLOOKUP(B595,info!$B$2:$I$49,8,FALSE)</f>
        <v>6316720</v>
      </c>
      <c r="H595">
        <v>8930</v>
      </c>
      <c r="I595">
        <v>2310</v>
      </c>
      <c r="J595">
        <v>500</v>
      </c>
      <c r="K595">
        <v>36870</v>
      </c>
      <c r="N595">
        <v>390</v>
      </c>
      <c r="P595">
        <v>7010</v>
      </c>
      <c r="U595">
        <v>510</v>
      </c>
      <c r="AB595">
        <v>1880</v>
      </c>
    </row>
    <row r="596" spans="1:28">
      <c r="A596" t="str">
        <f>VLOOKUP(B596,info!$B$2:$F$49,2,FALSE)</f>
        <v>Honda</v>
      </c>
      <c r="B596">
        <v>18</v>
      </c>
      <c r="C596" t="s">
        <v>372</v>
      </c>
      <c r="D596" t="s">
        <v>77</v>
      </c>
      <c r="F596">
        <f>VLOOKUP(B596,info!$B$2:$I$49,8,FALSE)</f>
        <v>8096906</v>
      </c>
      <c r="H596">
        <v>8350</v>
      </c>
      <c r="I596">
        <v>2010</v>
      </c>
      <c r="J596">
        <v>0</v>
      </c>
      <c r="K596">
        <v>34450</v>
      </c>
      <c r="N596">
        <v>0</v>
      </c>
      <c r="P596">
        <v>5790</v>
      </c>
      <c r="U596">
        <v>540</v>
      </c>
      <c r="AB596">
        <v>1890</v>
      </c>
    </row>
    <row r="597" spans="1:28">
      <c r="A597" t="str">
        <f>VLOOKUP(B597,info!$B$2:$F$49,2,FALSE)</f>
        <v>Honda</v>
      </c>
      <c r="B597">
        <v>18</v>
      </c>
      <c r="C597" t="s">
        <v>372</v>
      </c>
      <c r="D597" t="s">
        <v>30</v>
      </c>
      <c r="F597">
        <f>VLOOKUP(B597,info!$B$2:$I$49,8,FALSE)</f>
        <v>8096906</v>
      </c>
      <c r="H597">
        <v>8109.9999999999991</v>
      </c>
      <c r="I597">
        <v>2290</v>
      </c>
      <c r="J597">
        <v>0</v>
      </c>
      <c r="K597">
        <v>36300</v>
      </c>
      <c r="N597">
        <v>0</v>
      </c>
      <c r="P597">
        <v>5720</v>
      </c>
      <c r="U597">
        <v>200</v>
      </c>
      <c r="AB597">
        <v>0</v>
      </c>
    </row>
    <row r="598" spans="1:28">
      <c r="A598" t="str">
        <f>VLOOKUP(B598,info!$B$2:$F$49,2,FALSE)</f>
        <v>Hyundai</v>
      </c>
      <c r="B598">
        <v>19</v>
      </c>
      <c r="C598" t="s">
        <v>372</v>
      </c>
      <c r="D598" t="s">
        <v>30</v>
      </c>
      <c r="F598">
        <f>VLOOKUP(B598,info!$B$2:$I$49,8,FALSE)</f>
        <v>6316720</v>
      </c>
      <c r="H598">
        <v>8570</v>
      </c>
      <c r="I598">
        <v>2360</v>
      </c>
      <c r="J598">
        <v>520</v>
      </c>
      <c r="K598">
        <v>37660</v>
      </c>
      <c r="N598">
        <v>310</v>
      </c>
      <c r="P598">
        <v>6940</v>
      </c>
      <c r="U598">
        <v>240</v>
      </c>
      <c r="AB598">
        <v>0</v>
      </c>
    </row>
    <row r="599" spans="1:28">
      <c r="A599" t="str">
        <f>VLOOKUP(B599,info!$B$2:$F$49,2,FALSE)</f>
        <v>Hyundai</v>
      </c>
      <c r="B599">
        <v>19</v>
      </c>
      <c r="C599" t="s">
        <v>372</v>
      </c>
      <c r="D599" t="s">
        <v>77</v>
      </c>
      <c r="F599">
        <f>VLOOKUP(B599,info!$B$2:$I$49,8,FALSE)</f>
        <v>6316720</v>
      </c>
      <c r="H599">
        <v>8690</v>
      </c>
      <c r="I599">
        <v>2330</v>
      </c>
      <c r="J599">
        <v>540</v>
      </c>
      <c r="K599">
        <v>37030</v>
      </c>
      <c r="N599">
        <v>400</v>
      </c>
      <c r="P599">
        <v>6960</v>
      </c>
      <c r="U599">
        <v>360</v>
      </c>
      <c r="AB599">
        <v>1640</v>
      </c>
    </row>
    <row r="600" spans="1:28">
      <c r="A600" t="str">
        <f>VLOOKUP(B600,info!$B$2:$F$49,2,FALSE)</f>
        <v>Mazda</v>
      </c>
      <c r="B600">
        <v>2</v>
      </c>
      <c r="C600" t="s">
        <v>372</v>
      </c>
      <c r="D600" t="s">
        <v>30</v>
      </c>
      <c r="F600">
        <f>VLOOKUP(B600,info!$B$2:$I$49,8,FALSE)</f>
        <v>3550828</v>
      </c>
      <c r="H600">
        <v>8270</v>
      </c>
      <c r="I600">
        <v>2410</v>
      </c>
      <c r="J600">
        <v>770</v>
      </c>
      <c r="K600">
        <v>36850</v>
      </c>
      <c r="N600">
        <v>590</v>
      </c>
      <c r="P600">
        <v>5750</v>
      </c>
      <c r="U600">
        <v>220</v>
      </c>
      <c r="AB600">
        <v>0</v>
      </c>
    </row>
    <row r="601" spans="1:28">
      <c r="A601" t="str">
        <f>VLOOKUP(B601,info!$B$2:$F$49,2,FALSE)</f>
        <v>Mazda</v>
      </c>
      <c r="B601">
        <v>2</v>
      </c>
      <c r="C601" t="s">
        <v>372</v>
      </c>
      <c r="D601" t="s">
        <v>77</v>
      </c>
      <c r="F601">
        <f>VLOOKUP(B601,info!$B$2:$I$49,8,FALSE)</f>
        <v>3550828</v>
      </c>
      <c r="H601">
        <v>8600</v>
      </c>
      <c r="I601">
        <v>2370</v>
      </c>
      <c r="J601">
        <v>780</v>
      </c>
      <c r="K601">
        <v>35990</v>
      </c>
      <c r="N601">
        <v>630</v>
      </c>
      <c r="P601">
        <v>6030</v>
      </c>
      <c r="U601">
        <v>380</v>
      </c>
      <c r="AB601">
        <v>1720</v>
      </c>
    </row>
    <row r="602" spans="1:28">
      <c r="A602" t="str">
        <f>VLOOKUP(B602,info!$B$2:$F$49,2,FALSE)</f>
        <v>Fiat</v>
      </c>
      <c r="B602">
        <v>20</v>
      </c>
      <c r="C602" t="s">
        <v>372</v>
      </c>
      <c r="D602" t="s">
        <v>77</v>
      </c>
      <c r="F602">
        <f>VLOOKUP(B602,info!$B$2:$I$49,8,FALSE)</f>
        <v>5751910</v>
      </c>
      <c r="H602">
        <v>8790</v>
      </c>
      <c r="I602">
        <v>2180</v>
      </c>
      <c r="J602">
        <v>310</v>
      </c>
      <c r="K602">
        <v>33650</v>
      </c>
      <c r="N602">
        <v>290</v>
      </c>
      <c r="P602">
        <v>5160</v>
      </c>
      <c r="U602">
        <v>750</v>
      </c>
      <c r="AB602">
        <v>2120</v>
      </c>
    </row>
    <row r="603" spans="1:28">
      <c r="A603" t="str">
        <f>VLOOKUP(B603,info!$B$2:$F$49,2,FALSE)</f>
        <v>Fiat</v>
      </c>
      <c r="B603">
        <v>20</v>
      </c>
      <c r="C603" t="s">
        <v>372</v>
      </c>
      <c r="D603" t="s">
        <v>30</v>
      </c>
      <c r="F603">
        <f>VLOOKUP(B603,info!$B$2:$I$49,8,FALSE)</f>
        <v>5751910</v>
      </c>
      <c r="H603">
        <v>8340</v>
      </c>
      <c r="I603">
        <v>2260</v>
      </c>
      <c r="J603">
        <v>310</v>
      </c>
      <c r="K603">
        <v>35860</v>
      </c>
      <c r="N603">
        <v>270</v>
      </c>
      <c r="P603">
        <v>5330</v>
      </c>
      <c r="U603">
        <v>370</v>
      </c>
      <c r="AB603">
        <v>0</v>
      </c>
    </row>
    <row r="604" spans="1:28">
      <c r="A604" t="str">
        <f>VLOOKUP(B604,info!$B$2:$F$49,2,FALSE)</f>
        <v>Hyundai</v>
      </c>
      <c r="B604">
        <v>21</v>
      </c>
      <c r="C604" t="s">
        <v>372</v>
      </c>
      <c r="D604" t="s">
        <v>77</v>
      </c>
      <c r="F604">
        <f>VLOOKUP(B604,info!$B$2:$I$49,8,FALSE)</f>
        <v>5826120</v>
      </c>
      <c r="H604">
        <v>8360</v>
      </c>
      <c r="I604">
        <v>2240</v>
      </c>
      <c r="J604">
        <v>530</v>
      </c>
      <c r="K604">
        <v>34990</v>
      </c>
      <c r="N604">
        <v>290</v>
      </c>
      <c r="P604">
        <v>6740</v>
      </c>
      <c r="U604">
        <v>250</v>
      </c>
      <c r="AB604">
        <v>1510</v>
      </c>
    </row>
    <row r="605" spans="1:28">
      <c r="A605" t="str">
        <f>VLOOKUP(B605,info!$B$2:$F$49,2,FALSE)</f>
        <v>Hyundai</v>
      </c>
      <c r="B605">
        <v>21</v>
      </c>
      <c r="C605" t="s">
        <v>372</v>
      </c>
      <c r="D605" t="s">
        <v>30</v>
      </c>
      <c r="F605">
        <f>VLOOKUP(B605,info!$B$2:$I$49,8,FALSE)</f>
        <v>5826120</v>
      </c>
      <c r="H605">
        <v>8370</v>
      </c>
      <c r="I605">
        <v>2360</v>
      </c>
      <c r="J605">
        <v>480</v>
      </c>
      <c r="K605">
        <v>37090</v>
      </c>
      <c r="N605">
        <v>250</v>
      </c>
      <c r="P605">
        <v>6950</v>
      </c>
      <c r="U605">
        <v>220</v>
      </c>
      <c r="AB605">
        <v>0</v>
      </c>
    </row>
    <row r="606" spans="1:28">
      <c r="A606" t="str">
        <f>VLOOKUP(B606,info!$B$2:$F$49,2,FALSE)</f>
        <v>Daewoo</v>
      </c>
      <c r="B606">
        <v>22</v>
      </c>
      <c r="C606" t="s">
        <v>372</v>
      </c>
      <c r="D606" t="s">
        <v>77</v>
      </c>
      <c r="F606">
        <f>VLOOKUP(B606,info!$B$2:$I$49,8,FALSE)</f>
        <v>8501017</v>
      </c>
      <c r="H606">
        <v>8130.0000000000009</v>
      </c>
      <c r="I606">
        <v>2200</v>
      </c>
      <c r="J606">
        <v>510</v>
      </c>
      <c r="K606">
        <v>34600</v>
      </c>
      <c r="N606">
        <v>450</v>
      </c>
      <c r="P606">
        <v>5300</v>
      </c>
      <c r="U606">
        <v>390</v>
      </c>
      <c r="AB606">
        <v>1460</v>
      </c>
    </row>
    <row r="607" spans="1:28">
      <c r="A607" t="str">
        <f>VLOOKUP(B607,info!$B$2:$F$49,2,FALSE)</f>
        <v>Daewoo</v>
      </c>
      <c r="B607">
        <v>22</v>
      </c>
      <c r="C607" t="s">
        <v>372</v>
      </c>
      <c r="D607" t="s">
        <v>30</v>
      </c>
      <c r="F607">
        <f>VLOOKUP(B607,info!$B$2:$I$49,8,FALSE)</f>
        <v>8501017</v>
      </c>
      <c r="H607">
        <v>7730</v>
      </c>
      <c r="I607">
        <v>2190</v>
      </c>
      <c r="J607">
        <v>660</v>
      </c>
      <c r="K607">
        <v>36100</v>
      </c>
      <c r="N607">
        <v>520</v>
      </c>
      <c r="P607">
        <v>5550</v>
      </c>
      <c r="U607">
        <v>260</v>
      </c>
      <c r="AB607">
        <v>0</v>
      </c>
    </row>
    <row r="608" spans="1:28">
      <c r="A608" t="str">
        <f>VLOOKUP(B608,info!$B$2:$F$49,2,FALSE)</f>
        <v>Daewoo</v>
      </c>
      <c r="B608">
        <v>23</v>
      </c>
      <c r="C608" t="s">
        <v>372</v>
      </c>
      <c r="D608" t="s">
        <v>77</v>
      </c>
      <c r="F608">
        <f>VLOOKUP(B608,info!$B$2:$I$49,8,FALSE)</f>
        <v>8501017</v>
      </c>
      <c r="H608">
        <v>8410</v>
      </c>
      <c r="I608">
        <v>2190</v>
      </c>
      <c r="J608">
        <v>920</v>
      </c>
      <c r="K608">
        <v>38600</v>
      </c>
      <c r="N608">
        <v>640</v>
      </c>
      <c r="P608">
        <v>6330</v>
      </c>
      <c r="U608">
        <v>260</v>
      </c>
      <c r="AB608">
        <v>1800</v>
      </c>
    </row>
    <row r="609" spans="1:28">
      <c r="A609" t="str">
        <f>VLOOKUP(B609,info!$B$2:$F$49,2,FALSE)</f>
        <v>Daewoo</v>
      </c>
      <c r="B609">
        <v>23</v>
      </c>
      <c r="C609" t="s">
        <v>372</v>
      </c>
      <c r="D609" t="s">
        <v>30</v>
      </c>
      <c r="F609">
        <f>VLOOKUP(B609,info!$B$2:$I$49,8,FALSE)</f>
        <v>8501017</v>
      </c>
      <c r="H609">
        <v>8330</v>
      </c>
      <c r="I609">
        <v>2250</v>
      </c>
      <c r="J609">
        <v>850</v>
      </c>
      <c r="K609">
        <v>38640</v>
      </c>
      <c r="N609">
        <v>570</v>
      </c>
      <c r="P609">
        <v>6450</v>
      </c>
      <c r="U609">
        <v>160</v>
      </c>
      <c r="AB609">
        <v>0</v>
      </c>
    </row>
    <row r="610" spans="1:28">
      <c r="A610" t="str">
        <f>VLOOKUP(B610,info!$B$2:$F$49,2,FALSE)</f>
        <v>Mitsubishi</v>
      </c>
      <c r="B610">
        <v>24</v>
      </c>
      <c r="C610" t="s">
        <v>372</v>
      </c>
      <c r="D610" t="s">
        <v>77</v>
      </c>
      <c r="F610">
        <f>VLOOKUP(B610,info!$B$2:$I$49,8,FALSE)</f>
        <v>7027220</v>
      </c>
      <c r="H610">
        <v>8300</v>
      </c>
      <c r="I610">
        <v>2250</v>
      </c>
      <c r="J610">
        <v>370</v>
      </c>
      <c r="K610">
        <v>36070</v>
      </c>
      <c r="N610">
        <v>270</v>
      </c>
      <c r="P610">
        <v>5700</v>
      </c>
      <c r="U610">
        <v>560</v>
      </c>
      <c r="AB610">
        <v>1540</v>
      </c>
    </row>
    <row r="611" spans="1:28">
      <c r="A611" t="str">
        <f>VLOOKUP(B611,info!$B$2:$F$49,2,FALSE)</f>
        <v>Mitsubishi</v>
      </c>
      <c r="B611">
        <v>24</v>
      </c>
      <c r="C611" t="s">
        <v>372</v>
      </c>
      <c r="D611" t="s">
        <v>30</v>
      </c>
      <c r="F611">
        <f>VLOOKUP(B611,info!$B$2:$I$49,8,FALSE)</f>
        <v>7027220</v>
      </c>
      <c r="H611">
        <v>8320</v>
      </c>
      <c r="I611">
        <v>2350</v>
      </c>
      <c r="J611">
        <v>340</v>
      </c>
      <c r="K611">
        <v>36950</v>
      </c>
      <c r="N611">
        <v>180</v>
      </c>
      <c r="P611">
        <v>5730</v>
      </c>
      <c r="U611">
        <v>390</v>
      </c>
      <c r="AB611">
        <v>0</v>
      </c>
    </row>
    <row r="612" spans="1:28">
      <c r="A612" t="str">
        <f>VLOOKUP(B612,info!$B$2:$F$49,2,FALSE)</f>
        <v>Subaru</v>
      </c>
      <c r="B612">
        <v>25</v>
      </c>
      <c r="C612" t="s">
        <v>372</v>
      </c>
      <c r="D612" t="s">
        <v>30</v>
      </c>
      <c r="F612">
        <f>VLOOKUP(B612,info!$B$2:$I$49,8,FALSE)</f>
        <v>2675308</v>
      </c>
      <c r="H612">
        <v>8070</v>
      </c>
      <c r="I612">
        <v>2310</v>
      </c>
      <c r="J612">
        <v>560</v>
      </c>
      <c r="K612">
        <v>35910</v>
      </c>
      <c r="N612">
        <v>260</v>
      </c>
      <c r="P612">
        <v>6710</v>
      </c>
      <c r="U612">
        <v>250</v>
      </c>
      <c r="AB612">
        <v>0</v>
      </c>
    </row>
    <row r="613" spans="1:28">
      <c r="A613" t="str">
        <f>VLOOKUP(B613,info!$B$2:$F$49,2,FALSE)</f>
        <v>Subaru</v>
      </c>
      <c r="B613">
        <v>25</v>
      </c>
      <c r="C613" t="s">
        <v>372</v>
      </c>
      <c r="D613" t="s">
        <v>77</v>
      </c>
      <c r="F613">
        <f>VLOOKUP(B613,info!$B$2:$I$49,8,FALSE)</f>
        <v>2675308</v>
      </c>
      <c r="H613">
        <v>8490</v>
      </c>
      <c r="I613">
        <v>2280</v>
      </c>
      <c r="J613">
        <v>470</v>
      </c>
      <c r="K613">
        <v>35390</v>
      </c>
      <c r="N613">
        <v>310</v>
      </c>
      <c r="P613">
        <v>6760</v>
      </c>
      <c r="U613">
        <v>320</v>
      </c>
      <c r="AB613">
        <v>1560</v>
      </c>
    </row>
    <row r="614" spans="1:28">
      <c r="A614" t="str">
        <f>VLOOKUP(B614,info!$B$2:$F$49,2,FALSE)</f>
        <v>Mitsubishi</v>
      </c>
      <c r="B614">
        <v>26</v>
      </c>
      <c r="C614" t="s">
        <v>372</v>
      </c>
      <c r="D614" t="s">
        <v>30</v>
      </c>
      <c r="F614">
        <f>VLOOKUP(B614,info!$B$2:$I$49,8,FALSE)</f>
        <v>7027220</v>
      </c>
      <c r="H614">
        <v>8200</v>
      </c>
      <c r="I614">
        <v>2490</v>
      </c>
      <c r="J614">
        <v>910</v>
      </c>
      <c r="K614">
        <v>35050</v>
      </c>
      <c r="N614">
        <v>400</v>
      </c>
      <c r="P614">
        <v>5270</v>
      </c>
      <c r="U614">
        <v>170</v>
      </c>
      <c r="AB614">
        <v>0</v>
      </c>
    </row>
    <row r="615" spans="1:28">
      <c r="A615" t="str">
        <f>VLOOKUP(B615,info!$B$2:$F$49,2,FALSE)</f>
        <v>Mitsubishi</v>
      </c>
      <c r="B615">
        <v>26</v>
      </c>
      <c r="C615" t="s">
        <v>372</v>
      </c>
      <c r="D615" t="s">
        <v>77</v>
      </c>
      <c r="F615">
        <f>VLOOKUP(B615,info!$B$2:$I$49,8,FALSE)</f>
        <v>7027220</v>
      </c>
      <c r="H615">
        <v>8530</v>
      </c>
      <c r="I615">
        <v>2430</v>
      </c>
      <c r="J615">
        <v>810</v>
      </c>
      <c r="K615">
        <v>34360</v>
      </c>
      <c r="N615">
        <v>470</v>
      </c>
      <c r="P615">
        <v>5270</v>
      </c>
      <c r="U615">
        <v>260</v>
      </c>
      <c r="AB615">
        <v>1640</v>
      </c>
    </row>
    <row r="616" spans="1:28">
      <c r="A616" t="str">
        <f>VLOOKUP(B616,info!$B$2:$F$49,2,FALSE)</f>
        <v>Fiat</v>
      </c>
      <c r="B616">
        <v>27</v>
      </c>
      <c r="C616" t="s">
        <v>372</v>
      </c>
      <c r="D616" t="s">
        <v>77</v>
      </c>
      <c r="F616">
        <f>VLOOKUP(B616,info!$B$2:$I$49,8,FALSE)</f>
        <v>5751910</v>
      </c>
      <c r="H616">
        <v>8570</v>
      </c>
      <c r="I616">
        <v>2250</v>
      </c>
      <c r="J616">
        <v>410</v>
      </c>
      <c r="K616">
        <v>36600</v>
      </c>
      <c r="N616">
        <v>360</v>
      </c>
      <c r="P616">
        <v>5560</v>
      </c>
      <c r="U616">
        <v>650</v>
      </c>
      <c r="AB616">
        <v>2070</v>
      </c>
    </row>
    <row r="617" spans="1:28">
      <c r="A617" t="str">
        <f>VLOOKUP(B617,info!$B$2:$F$49,2,FALSE)</f>
        <v>Fiat</v>
      </c>
      <c r="B617">
        <v>27</v>
      </c>
      <c r="C617" t="s">
        <v>372</v>
      </c>
      <c r="D617" t="s">
        <v>30</v>
      </c>
      <c r="F617">
        <f>VLOOKUP(B617,info!$B$2:$I$49,8,FALSE)</f>
        <v>5751910</v>
      </c>
      <c r="H617">
        <v>8460</v>
      </c>
      <c r="I617">
        <v>2210</v>
      </c>
      <c r="J617">
        <v>400</v>
      </c>
      <c r="K617">
        <v>35740</v>
      </c>
      <c r="N617">
        <v>350</v>
      </c>
      <c r="P617">
        <v>5370</v>
      </c>
      <c r="U617">
        <v>630</v>
      </c>
      <c r="AB617">
        <v>2030</v>
      </c>
    </row>
    <row r="618" spans="1:28">
      <c r="A618" t="str">
        <f>VLOOKUP(B618,info!$B$2:$F$49,2,FALSE)</f>
        <v>Subaru</v>
      </c>
      <c r="B618">
        <v>28</v>
      </c>
      <c r="C618" t="s">
        <v>372</v>
      </c>
      <c r="D618" t="s">
        <v>77</v>
      </c>
      <c r="F618">
        <f>VLOOKUP(B618,info!$B$2:$I$49,8,FALSE)</f>
        <v>2675308</v>
      </c>
      <c r="H618">
        <v>8050.0000000000009</v>
      </c>
      <c r="I618">
        <v>2110</v>
      </c>
      <c r="J618">
        <v>1060</v>
      </c>
      <c r="K618">
        <v>38810</v>
      </c>
      <c r="N618">
        <v>690</v>
      </c>
      <c r="P618">
        <v>6180</v>
      </c>
      <c r="U618">
        <v>340</v>
      </c>
      <c r="AB618">
        <v>1770</v>
      </c>
    </row>
    <row r="619" spans="1:28">
      <c r="A619" t="str">
        <f>VLOOKUP(B619,info!$B$2:$F$49,2,FALSE)</f>
        <v>Subaru</v>
      </c>
      <c r="B619">
        <v>28</v>
      </c>
      <c r="C619" t="s">
        <v>372</v>
      </c>
      <c r="D619" t="s">
        <v>30</v>
      </c>
      <c r="F619">
        <f>VLOOKUP(B619,info!$B$2:$I$49,8,FALSE)</f>
        <v>2675308</v>
      </c>
      <c r="H619">
        <v>8270</v>
      </c>
      <c r="I619">
        <v>2250</v>
      </c>
      <c r="J619">
        <v>840</v>
      </c>
      <c r="K619">
        <v>39020</v>
      </c>
      <c r="N619">
        <v>560</v>
      </c>
      <c r="P619">
        <v>6440</v>
      </c>
      <c r="U619">
        <v>210</v>
      </c>
      <c r="AB619">
        <v>0</v>
      </c>
    </row>
    <row r="620" spans="1:28">
      <c r="A620" t="str">
        <f>VLOOKUP(B620,info!$B$2:$F$49,2,FALSE)</f>
        <v>Renault</v>
      </c>
      <c r="B620">
        <v>29</v>
      </c>
      <c r="C620" t="s">
        <v>372</v>
      </c>
      <c r="D620" t="s">
        <v>77</v>
      </c>
      <c r="F620">
        <f>VLOOKUP(B620,info!$B$2:$I$49,8,FALSE)</f>
        <v>1147816</v>
      </c>
      <c r="H620">
        <v>8810</v>
      </c>
      <c r="I620">
        <v>2550</v>
      </c>
      <c r="J620">
        <v>470</v>
      </c>
      <c r="K620">
        <v>38380</v>
      </c>
      <c r="N620">
        <v>0</v>
      </c>
      <c r="P620">
        <v>6340</v>
      </c>
      <c r="U620">
        <v>490</v>
      </c>
      <c r="AB620">
        <v>1200</v>
      </c>
    </row>
    <row r="621" spans="1:28">
      <c r="A621" t="str">
        <f>VLOOKUP(B621,info!$B$2:$F$49,2,FALSE)</f>
        <v>Renault</v>
      </c>
      <c r="B621">
        <v>29</v>
      </c>
      <c r="C621" t="s">
        <v>372</v>
      </c>
      <c r="D621" t="s">
        <v>30</v>
      </c>
      <c r="F621">
        <f>VLOOKUP(B621,info!$B$2:$I$49,8,FALSE)</f>
        <v>1147816</v>
      </c>
      <c r="H621">
        <v>8750</v>
      </c>
      <c r="I621">
        <v>2570</v>
      </c>
      <c r="J621">
        <v>520</v>
      </c>
      <c r="K621">
        <v>39450</v>
      </c>
      <c r="N621">
        <v>0</v>
      </c>
      <c r="P621">
        <v>6250</v>
      </c>
      <c r="U621">
        <v>270</v>
      </c>
      <c r="AB621">
        <v>0</v>
      </c>
    </row>
    <row r="622" spans="1:28">
      <c r="A622" t="str">
        <f>VLOOKUP(B622,info!$B$2:$F$49,2,FALSE)</f>
        <v>Mazda</v>
      </c>
      <c r="B622">
        <v>3</v>
      </c>
      <c r="C622" t="s">
        <v>372</v>
      </c>
      <c r="D622" t="s">
        <v>30</v>
      </c>
      <c r="F622">
        <f>VLOOKUP(B622,info!$B$2:$I$49,8,FALSE)</f>
        <v>3550828</v>
      </c>
      <c r="H622">
        <v>8119.9999999999991</v>
      </c>
      <c r="I622">
        <v>2360</v>
      </c>
      <c r="J622">
        <v>790</v>
      </c>
      <c r="K622">
        <v>36490</v>
      </c>
      <c r="N622">
        <v>600</v>
      </c>
      <c r="P622">
        <v>5800</v>
      </c>
      <c r="U622">
        <v>240</v>
      </c>
      <c r="AB622">
        <v>0</v>
      </c>
    </row>
    <row r="623" spans="1:28">
      <c r="A623" t="str">
        <f>VLOOKUP(B623,info!$B$2:$F$49,2,FALSE)</f>
        <v>Mazda</v>
      </c>
      <c r="B623">
        <v>3</v>
      </c>
      <c r="C623" t="s">
        <v>372</v>
      </c>
      <c r="D623" t="s">
        <v>77</v>
      </c>
      <c r="F623">
        <f>VLOOKUP(B623,info!$B$2:$I$49,8,FALSE)</f>
        <v>3550828</v>
      </c>
      <c r="H623">
        <v>8350</v>
      </c>
      <c r="I623">
        <v>2330</v>
      </c>
      <c r="J623">
        <v>730</v>
      </c>
      <c r="K623">
        <v>34960</v>
      </c>
      <c r="N623">
        <v>620</v>
      </c>
      <c r="P623">
        <v>5690</v>
      </c>
      <c r="U623">
        <v>360</v>
      </c>
      <c r="AB623">
        <v>1670</v>
      </c>
    </row>
    <row r="624" spans="1:28">
      <c r="A624" t="str">
        <f>VLOOKUP(B624,info!$B$2:$F$49,2,FALSE)</f>
        <v>Ford</v>
      </c>
      <c r="B624">
        <v>30</v>
      </c>
      <c r="C624" t="s">
        <v>372</v>
      </c>
      <c r="D624" t="s">
        <v>30</v>
      </c>
      <c r="F624">
        <f>VLOOKUP(B624,info!$B$2:$I$49,8,FALSE)</f>
        <v>6917835</v>
      </c>
      <c r="H624">
        <v>8530</v>
      </c>
      <c r="I624">
        <v>2290</v>
      </c>
      <c r="J624">
        <v>530</v>
      </c>
      <c r="K624">
        <v>35860</v>
      </c>
      <c r="N624">
        <v>310</v>
      </c>
      <c r="P624">
        <v>6580</v>
      </c>
      <c r="U624">
        <v>220</v>
      </c>
      <c r="AB624">
        <v>0</v>
      </c>
    </row>
    <row r="625" spans="1:28">
      <c r="A625" t="str">
        <f>VLOOKUP(B625,info!$B$2:$F$49,2,FALSE)</f>
        <v>Ford</v>
      </c>
      <c r="B625">
        <v>30</v>
      </c>
      <c r="C625" t="s">
        <v>372</v>
      </c>
      <c r="D625" t="s">
        <v>77</v>
      </c>
      <c r="F625">
        <f>VLOOKUP(B625,info!$B$2:$I$49,8,FALSE)</f>
        <v>6917835</v>
      </c>
      <c r="H625">
        <v>8420</v>
      </c>
      <c r="I625">
        <v>2190</v>
      </c>
      <c r="J625">
        <v>540</v>
      </c>
      <c r="K625">
        <v>33620</v>
      </c>
      <c r="N625">
        <v>360</v>
      </c>
      <c r="P625">
        <v>6260</v>
      </c>
      <c r="U625">
        <v>430</v>
      </c>
      <c r="AB625">
        <v>1840</v>
      </c>
    </row>
    <row r="626" spans="1:28">
      <c r="A626" t="str">
        <f>VLOOKUP(B626,info!$B$2:$F$49,2,FALSE)</f>
        <v>Hyundai</v>
      </c>
      <c r="B626">
        <v>31</v>
      </c>
      <c r="C626" t="s">
        <v>372</v>
      </c>
      <c r="D626" t="s">
        <v>30</v>
      </c>
      <c r="F626">
        <f>VLOOKUP(B626,info!$B$2:$I$49,8,FALSE)</f>
        <v>9602910</v>
      </c>
      <c r="H626">
        <v>8320</v>
      </c>
      <c r="I626">
        <v>2260</v>
      </c>
      <c r="J626">
        <v>560</v>
      </c>
      <c r="K626">
        <v>35180</v>
      </c>
      <c r="N626">
        <v>350</v>
      </c>
      <c r="P626">
        <v>6360</v>
      </c>
      <c r="U626">
        <v>200</v>
      </c>
      <c r="AB626">
        <v>0</v>
      </c>
    </row>
    <row r="627" spans="1:28">
      <c r="A627" t="str">
        <f>VLOOKUP(B627,info!$B$2:$F$49,2,FALSE)</f>
        <v>Hyundai</v>
      </c>
      <c r="B627">
        <v>31</v>
      </c>
      <c r="C627" t="s">
        <v>372</v>
      </c>
      <c r="D627" t="s">
        <v>77</v>
      </c>
      <c r="F627">
        <f>VLOOKUP(B627,info!$B$2:$I$49,8,FALSE)</f>
        <v>9602910</v>
      </c>
      <c r="H627">
        <v>8350</v>
      </c>
      <c r="I627">
        <v>2190</v>
      </c>
      <c r="J627">
        <v>570</v>
      </c>
      <c r="K627">
        <v>34180</v>
      </c>
      <c r="N627">
        <v>430</v>
      </c>
      <c r="P627">
        <v>6340</v>
      </c>
      <c r="U627">
        <v>450</v>
      </c>
      <c r="AB627">
        <v>1600</v>
      </c>
    </row>
    <row r="628" spans="1:28">
      <c r="A628" t="str">
        <f>VLOOKUP(B628,info!$B$2:$F$49,2,FALSE)</f>
        <v>Hyundai</v>
      </c>
      <c r="B628">
        <v>32</v>
      </c>
      <c r="C628" t="s">
        <v>372</v>
      </c>
      <c r="D628" t="s">
        <v>77</v>
      </c>
      <c r="F628">
        <f>VLOOKUP(B628,info!$B$2:$I$49,8,FALSE)</f>
        <v>9602910</v>
      </c>
      <c r="H628">
        <v>8440</v>
      </c>
      <c r="I628">
        <v>2220</v>
      </c>
      <c r="J628">
        <v>550</v>
      </c>
      <c r="K628">
        <v>34760</v>
      </c>
      <c r="N628">
        <v>440</v>
      </c>
      <c r="P628">
        <v>6280</v>
      </c>
      <c r="U628">
        <v>410</v>
      </c>
      <c r="AB628">
        <v>1450</v>
      </c>
    </row>
    <row r="629" spans="1:28">
      <c r="A629" t="str">
        <f>VLOOKUP(B629,info!$B$2:$F$49,2,FALSE)</f>
        <v>Hyundai</v>
      </c>
      <c r="B629">
        <v>32</v>
      </c>
      <c r="C629" t="s">
        <v>372</v>
      </c>
      <c r="D629" t="s">
        <v>30</v>
      </c>
      <c r="F629">
        <f>VLOOKUP(B629,info!$B$2:$I$49,8,FALSE)</f>
        <v>9602910</v>
      </c>
      <c r="H629">
        <v>8340</v>
      </c>
      <c r="I629">
        <v>2230</v>
      </c>
      <c r="J629">
        <v>610</v>
      </c>
      <c r="K629">
        <v>35400</v>
      </c>
      <c r="N629">
        <v>360</v>
      </c>
      <c r="P629">
        <v>6330</v>
      </c>
      <c r="U629">
        <v>210</v>
      </c>
      <c r="AB629">
        <v>0</v>
      </c>
    </row>
    <row r="630" spans="1:28">
      <c r="A630" t="str">
        <f>VLOOKUP(B630,info!$B$2:$F$49,2,FALSE)</f>
        <v>Hyundai</v>
      </c>
      <c r="B630">
        <v>33</v>
      </c>
      <c r="C630" t="s">
        <v>372</v>
      </c>
      <c r="D630" t="s">
        <v>30</v>
      </c>
      <c r="F630">
        <f>VLOOKUP(B630,info!$B$2:$I$49,8,FALSE)</f>
        <v>9602910</v>
      </c>
      <c r="H630">
        <v>8180</v>
      </c>
      <c r="I630">
        <v>2230</v>
      </c>
      <c r="J630">
        <v>500</v>
      </c>
      <c r="K630">
        <v>35070</v>
      </c>
      <c r="N630">
        <v>300</v>
      </c>
      <c r="P630">
        <v>6400</v>
      </c>
      <c r="U630">
        <v>240</v>
      </c>
      <c r="AB630">
        <v>0</v>
      </c>
    </row>
    <row r="631" spans="1:28">
      <c r="A631" t="str">
        <f>VLOOKUP(B631,info!$B$2:$F$49,2,FALSE)</f>
        <v>Hyundai</v>
      </c>
      <c r="B631">
        <v>33</v>
      </c>
      <c r="C631" t="s">
        <v>372</v>
      </c>
      <c r="D631" t="s">
        <v>77</v>
      </c>
      <c r="F631">
        <f>VLOOKUP(B631,info!$B$2:$I$49,8,FALSE)</f>
        <v>9602910</v>
      </c>
      <c r="H631">
        <v>8270</v>
      </c>
      <c r="I631">
        <v>2160</v>
      </c>
      <c r="J631">
        <v>530</v>
      </c>
      <c r="K631">
        <v>33610</v>
      </c>
      <c r="N631">
        <v>330</v>
      </c>
      <c r="P631">
        <v>6240</v>
      </c>
      <c r="U631">
        <v>330</v>
      </c>
      <c r="AB631">
        <v>1670</v>
      </c>
    </row>
    <row r="632" spans="1:28">
      <c r="A632" t="str">
        <f>VLOOKUP(B632,info!$B$2:$F$49,2,FALSE)</f>
        <v>Hyundai</v>
      </c>
      <c r="B632">
        <v>34</v>
      </c>
      <c r="C632" t="s">
        <v>372</v>
      </c>
      <c r="D632" t="s">
        <v>30</v>
      </c>
      <c r="F632">
        <f>VLOOKUP(B632,info!$B$2:$I$49,8,FALSE)</f>
        <v>9602910</v>
      </c>
      <c r="H632">
        <v>8430</v>
      </c>
      <c r="I632">
        <v>2260</v>
      </c>
      <c r="J632">
        <v>550</v>
      </c>
      <c r="K632">
        <v>35780</v>
      </c>
      <c r="N632">
        <v>300</v>
      </c>
      <c r="P632">
        <v>6480</v>
      </c>
      <c r="U632">
        <v>250</v>
      </c>
      <c r="AB632">
        <v>0</v>
      </c>
    </row>
    <row r="633" spans="1:28">
      <c r="A633" t="str">
        <f>VLOOKUP(B633,info!$B$2:$F$49,2,FALSE)</f>
        <v>Hyundai</v>
      </c>
      <c r="B633">
        <v>34</v>
      </c>
      <c r="C633" t="s">
        <v>372</v>
      </c>
      <c r="D633" t="s">
        <v>77</v>
      </c>
      <c r="F633">
        <f>VLOOKUP(B633,info!$B$2:$I$49,8,FALSE)</f>
        <v>9602910</v>
      </c>
      <c r="H633">
        <v>8720</v>
      </c>
      <c r="I633">
        <v>2230</v>
      </c>
      <c r="J633">
        <v>470</v>
      </c>
      <c r="K633">
        <v>34590</v>
      </c>
      <c r="N633">
        <v>360</v>
      </c>
      <c r="P633">
        <v>6420</v>
      </c>
      <c r="U633">
        <v>430</v>
      </c>
      <c r="AB633">
        <v>1830</v>
      </c>
    </row>
    <row r="634" spans="1:28">
      <c r="A634" t="str">
        <f>VLOOKUP(B634,info!$B$2:$F$49,2,FALSE)</f>
        <v>Hyundai</v>
      </c>
      <c r="B634">
        <v>35</v>
      </c>
      <c r="C634" t="s">
        <v>372</v>
      </c>
      <c r="D634" t="s">
        <v>30</v>
      </c>
      <c r="F634">
        <f>VLOOKUP(B634,info!$B$2:$I$49,8,FALSE)</f>
        <v>5826120</v>
      </c>
      <c r="H634">
        <v>8360</v>
      </c>
      <c r="I634">
        <v>2300</v>
      </c>
      <c r="J634">
        <v>520</v>
      </c>
      <c r="K634">
        <v>36500</v>
      </c>
      <c r="N634">
        <v>260</v>
      </c>
      <c r="P634">
        <v>6620</v>
      </c>
      <c r="U634">
        <v>230</v>
      </c>
      <c r="AB634">
        <v>0</v>
      </c>
    </row>
    <row r="635" spans="1:28">
      <c r="A635" t="str">
        <f>VLOOKUP(B635,info!$B$2:$F$49,2,FALSE)</f>
        <v>Hyundai</v>
      </c>
      <c r="B635">
        <v>35</v>
      </c>
      <c r="C635" t="s">
        <v>372</v>
      </c>
      <c r="D635" t="s">
        <v>77</v>
      </c>
      <c r="F635">
        <f>VLOOKUP(B635,info!$B$2:$I$49,8,FALSE)</f>
        <v>5826120</v>
      </c>
      <c r="H635">
        <v>8620</v>
      </c>
      <c r="I635">
        <v>2260</v>
      </c>
      <c r="J635">
        <v>490</v>
      </c>
      <c r="K635">
        <v>35790</v>
      </c>
      <c r="N635">
        <v>300</v>
      </c>
      <c r="P635">
        <v>6550</v>
      </c>
      <c r="U635">
        <v>260</v>
      </c>
      <c r="AB635">
        <v>1440</v>
      </c>
    </row>
    <row r="636" spans="1:28">
      <c r="A636" t="str">
        <f>VLOOKUP(B636,info!$B$2:$F$49,2,FALSE)</f>
        <v>Hyundai</v>
      </c>
      <c r="B636">
        <v>36</v>
      </c>
      <c r="C636" t="s">
        <v>372</v>
      </c>
      <c r="D636" t="s">
        <v>30</v>
      </c>
      <c r="F636">
        <f>VLOOKUP(B636,info!$B$2:$I$49,8,FALSE)</f>
        <v>5826120</v>
      </c>
      <c r="H636">
        <v>7960</v>
      </c>
      <c r="I636">
        <v>2490</v>
      </c>
      <c r="J636">
        <v>920</v>
      </c>
      <c r="K636">
        <v>35490</v>
      </c>
      <c r="N636">
        <v>630</v>
      </c>
      <c r="P636">
        <v>5820</v>
      </c>
      <c r="U636">
        <v>250</v>
      </c>
      <c r="AB636">
        <v>0</v>
      </c>
    </row>
    <row r="637" spans="1:28">
      <c r="A637" t="str">
        <f>VLOOKUP(B637,info!$B$2:$F$49,2,FALSE)</f>
        <v>Hyundai</v>
      </c>
      <c r="B637">
        <v>36</v>
      </c>
      <c r="C637" t="s">
        <v>372</v>
      </c>
      <c r="D637" t="s">
        <v>77</v>
      </c>
      <c r="F637">
        <f>VLOOKUP(B637,info!$B$2:$I$49,8,FALSE)</f>
        <v>5826120</v>
      </c>
      <c r="H637">
        <v>8090</v>
      </c>
      <c r="I637">
        <v>2500</v>
      </c>
      <c r="J637">
        <v>880</v>
      </c>
      <c r="K637">
        <v>34280</v>
      </c>
      <c r="N637">
        <v>640</v>
      </c>
      <c r="P637">
        <v>5820</v>
      </c>
      <c r="U637">
        <v>320</v>
      </c>
      <c r="AB637">
        <v>1440</v>
      </c>
    </row>
    <row r="638" spans="1:28">
      <c r="A638" t="str">
        <f>VLOOKUP(B638,info!$B$2:$F$49,2,FALSE)</f>
        <v>Ford</v>
      </c>
      <c r="B638">
        <v>37</v>
      </c>
      <c r="C638" t="s">
        <v>372</v>
      </c>
      <c r="D638" t="s">
        <v>77</v>
      </c>
      <c r="F638">
        <f>VLOOKUP(B638,info!$B$2:$I$49,8,FALSE)</f>
        <v>6917835</v>
      </c>
      <c r="H638">
        <v>8770</v>
      </c>
      <c r="I638">
        <v>2240</v>
      </c>
      <c r="J638">
        <v>400</v>
      </c>
      <c r="K638">
        <v>35010</v>
      </c>
      <c r="N638">
        <v>0</v>
      </c>
      <c r="P638">
        <v>5830</v>
      </c>
      <c r="U638">
        <v>900</v>
      </c>
      <c r="AB638">
        <v>2050</v>
      </c>
    </row>
    <row r="639" spans="1:28">
      <c r="A639" t="str">
        <f>VLOOKUP(B639,info!$B$2:$F$49,2,FALSE)</f>
        <v>Ford</v>
      </c>
      <c r="B639">
        <v>37</v>
      </c>
      <c r="C639" t="s">
        <v>372</v>
      </c>
      <c r="D639" t="s">
        <v>30</v>
      </c>
      <c r="F639">
        <f>VLOOKUP(B639,info!$B$2:$I$49,8,FALSE)</f>
        <v>6917835</v>
      </c>
      <c r="H639">
        <v>8060.0000000000009</v>
      </c>
      <c r="I639">
        <v>2400</v>
      </c>
      <c r="J639">
        <v>480</v>
      </c>
      <c r="K639">
        <v>37220</v>
      </c>
      <c r="N639">
        <v>270</v>
      </c>
      <c r="P639">
        <v>5970</v>
      </c>
      <c r="U639">
        <v>490</v>
      </c>
      <c r="AB639">
        <v>0</v>
      </c>
    </row>
    <row r="640" spans="1:28">
      <c r="A640" t="str">
        <f>VLOOKUP(B640,info!$B$2:$F$49,2,FALSE)</f>
        <v>Hyundai</v>
      </c>
      <c r="B640">
        <v>38</v>
      </c>
      <c r="C640" t="s">
        <v>372</v>
      </c>
      <c r="D640" t="s">
        <v>30</v>
      </c>
      <c r="F640">
        <f>VLOOKUP(B640,info!$B$2:$I$49,8,FALSE)</f>
        <v>5826120</v>
      </c>
      <c r="H640">
        <v>8550</v>
      </c>
      <c r="I640">
        <v>2390</v>
      </c>
      <c r="J640">
        <v>510</v>
      </c>
      <c r="K640">
        <v>37680</v>
      </c>
      <c r="N640">
        <v>260</v>
      </c>
      <c r="P640">
        <v>6980</v>
      </c>
      <c r="U640">
        <v>230</v>
      </c>
      <c r="AB640">
        <v>0</v>
      </c>
    </row>
    <row r="641" spans="1:28">
      <c r="A641" t="str">
        <f>VLOOKUP(B641,info!$B$2:$F$49,2,FALSE)</f>
        <v>Hyundai</v>
      </c>
      <c r="B641">
        <v>38</v>
      </c>
      <c r="C641" t="s">
        <v>372</v>
      </c>
      <c r="D641" t="s">
        <v>77</v>
      </c>
      <c r="F641">
        <f>VLOOKUP(B641,info!$B$2:$I$49,8,FALSE)</f>
        <v>5826120</v>
      </c>
      <c r="H641">
        <v>8570</v>
      </c>
      <c r="I641">
        <v>2440</v>
      </c>
      <c r="J641">
        <v>510</v>
      </c>
      <c r="K641">
        <v>38810</v>
      </c>
      <c r="N641">
        <v>270</v>
      </c>
      <c r="P641">
        <v>7210</v>
      </c>
      <c r="U641">
        <v>210</v>
      </c>
      <c r="AB641">
        <v>0</v>
      </c>
    </row>
    <row r="642" spans="1:28">
      <c r="A642" t="str">
        <f>VLOOKUP(B642,info!$B$2:$F$49,2,FALSE)</f>
        <v>Renault</v>
      </c>
      <c r="B642">
        <v>39</v>
      </c>
      <c r="C642" t="s">
        <v>372</v>
      </c>
      <c r="D642" t="s">
        <v>30</v>
      </c>
      <c r="F642">
        <f>VLOOKUP(B642,info!$B$2:$I$49,8,FALSE)</f>
        <v>1147816</v>
      </c>
      <c r="H642">
        <v>8520</v>
      </c>
      <c r="I642">
        <v>2500</v>
      </c>
      <c r="J642">
        <v>470</v>
      </c>
      <c r="K642">
        <v>37070</v>
      </c>
      <c r="N642">
        <v>110</v>
      </c>
      <c r="P642">
        <v>5880</v>
      </c>
      <c r="U642">
        <v>280</v>
      </c>
      <c r="AB642">
        <v>0</v>
      </c>
    </row>
    <row r="643" spans="1:28">
      <c r="A643" t="str">
        <f>VLOOKUP(B643,info!$B$2:$F$49,2,FALSE)</f>
        <v>Renault</v>
      </c>
      <c r="B643">
        <v>39</v>
      </c>
      <c r="C643" t="s">
        <v>372</v>
      </c>
      <c r="D643" t="s">
        <v>77</v>
      </c>
      <c r="F643">
        <f>VLOOKUP(B643,info!$B$2:$I$49,8,FALSE)</f>
        <v>1147816</v>
      </c>
      <c r="H643">
        <v>8380</v>
      </c>
      <c r="I643">
        <v>2430</v>
      </c>
      <c r="J643">
        <v>490</v>
      </c>
      <c r="K643">
        <v>35660</v>
      </c>
      <c r="N643">
        <v>0</v>
      </c>
      <c r="P643">
        <v>5690</v>
      </c>
      <c r="U643">
        <v>410</v>
      </c>
      <c r="AB643">
        <v>1070</v>
      </c>
    </row>
    <row r="644" spans="1:28">
      <c r="A644" t="str">
        <f>VLOOKUP(B644,info!$B$2:$F$49,2,FALSE)</f>
        <v>Peugeot</v>
      </c>
      <c r="B644">
        <v>4</v>
      </c>
      <c r="C644" t="s">
        <v>372</v>
      </c>
      <c r="D644" t="s">
        <v>30</v>
      </c>
      <c r="F644">
        <f>VLOOKUP(B644,info!$B$2:$I$49,8,FALSE)</f>
        <v>9367324</v>
      </c>
      <c r="H644">
        <v>8480</v>
      </c>
      <c r="I644">
        <v>2250</v>
      </c>
      <c r="J644">
        <v>310</v>
      </c>
      <c r="K644">
        <v>37010</v>
      </c>
      <c r="N644">
        <v>0</v>
      </c>
      <c r="P644">
        <v>6030</v>
      </c>
      <c r="U644">
        <v>370</v>
      </c>
      <c r="AB644">
        <v>0</v>
      </c>
    </row>
    <row r="645" spans="1:28">
      <c r="A645" t="str">
        <f>VLOOKUP(B645,info!$B$2:$F$49,2,FALSE)</f>
        <v>Peugeot</v>
      </c>
      <c r="B645">
        <v>4</v>
      </c>
      <c r="C645" t="s">
        <v>372</v>
      </c>
      <c r="D645" t="s">
        <v>77</v>
      </c>
      <c r="F645">
        <f>VLOOKUP(B645,info!$B$2:$I$49,8,FALSE)</f>
        <v>9367324</v>
      </c>
      <c r="H645">
        <v>8900</v>
      </c>
      <c r="I645">
        <v>2190</v>
      </c>
      <c r="J645">
        <v>310</v>
      </c>
      <c r="K645">
        <v>36060</v>
      </c>
      <c r="N645">
        <v>0</v>
      </c>
      <c r="P645">
        <v>6250</v>
      </c>
      <c r="U645">
        <v>840</v>
      </c>
      <c r="AB645">
        <v>1360</v>
      </c>
    </row>
    <row r="646" spans="1:28">
      <c r="A646" t="str">
        <f>VLOOKUP(B646,info!$B$2:$F$49,2,FALSE)</f>
        <v>Subaru</v>
      </c>
      <c r="B646">
        <v>40</v>
      </c>
      <c r="C646" t="s">
        <v>372</v>
      </c>
      <c r="D646" t="s">
        <v>30</v>
      </c>
      <c r="F646">
        <f>VLOOKUP(B646,info!$B$2:$I$49,8,FALSE)</f>
        <v>2675308</v>
      </c>
      <c r="H646">
        <v>7980</v>
      </c>
      <c r="I646">
        <v>2230</v>
      </c>
      <c r="J646">
        <v>650</v>
      </c>
      <c r="K646">
        <v>36280</v>
      </c>
      <c r="N646">
        <v>480</v>
      </c>
      <c r="P646">
        <v>5540</v>
      </c>
      <c r="U646">
        <v>260</v>
      </c>
      <c r="AB646">
        <v>0</v>
      </c>
    </row>
    <row r="647" spans="1:28">
      <c r="A647" t="str">
        <f>VLOOKUP(B647,info!$B$2:$F$49,2,FALSE)</f>
        <v>Subaru</v>
      </c>
      <c r="B647">
        <v>40</v>
      </c>
      <c r="C647" t="s">
        <v>372</v>
      </c>
      <c r="D647" t="s">
        <v>77</v>
      </c>
      <c r="F647">
        <f>VLOOKUP(B647,info!$B$2:$I$49,8,FALSE)</f>
        <v>2675308</v>
      </c>
      <c r="H647">
        <v>8230</v>
      </c>
      <c r="I647">
        <v>2270</v>
      </c>
      <c r="J647">
        <v>510</v>
      </c>
      <c r="K647">
        <v>34960</v>
      </c>
      <c r="N647">
        <v>510</v>
      </c>
      <c r="P647">
        <v>5540</v>
      </c>
      <c r="U647">
        <v>400</v>
      </c>
      <c r="AB647">
        <v>1520</v>
      </c>
    </row>
    <row r="648" spans="1:28">
      <c r="A648" t="str">
        <f>VLOOKUP(B648,info!$B$2:$F$49,2,FALSE)</f>
        <v>Fiat</v>
      </c>
      <c r="B648">
        <v>41</v>
      </c>
      <c r="C648" t="s">
        <v>372</v>
      </c>
      <c r="D648" t="s">
        <v>77</v>
      </c>
      <c r="F648">
        <f>VLOOKUP(B648,info!$B$2:$I$49,8,FALSE)</f>
        <v>5751910</v>
      </c>
      <c r="H648">
        <v>8720</v>
      </c>
      <c r="I648">
        <v>2170</v>
      </c>
      <c r="J648">
        <v>300</v>
      </c>
      <c r="K648">
        <v>34220</v>
      </c>
      <c r="N648">
        <v>0</v>
      </c>
      <c r="P648">
        <v>5540</v>
      </c>
      <c r="U648">
        <v>740</v>
      </c>
      <c r="AB648">
        <v>1980</v>
      </c>
    </row>
    <row r="649" spans="1:28">
      <c r="A649" t="str">
        <f>VLOOKUP(B649,info!$B$2:$F$49,2,FALSE)</f>
        <v>Fiat</v>
      </c>
      <c r="B649">
        <v>41</v>
      </c>
      <c r="C649" t="s">
        <v>372</v>
      </c>
      <c r="D649" t="s">
        <v>30</v>
      </c>
      <c r="F649">
        <f>VLOOKUP(B649,info!$B$2:$I$49,8,FALSE)</f>
        <v>5751910</v>
      </c>
      <c r="H649">
        <v>8410</v>
      </c>
      <c r="I649">
        <v>2280</v>
      </c>
      <c r="J649">
        <v>290</v>
      </c>
      <c r="K649">
        <v>36000</v>
      </c>
      <c r="N649">
        <v>0</v>
      </c>
      <c r="P649">
        <v>5670</v>
      </c>
      <c r="U649">
        <v>350</v>
      </c>
      <c r="AB649">
        <v>0</v>
      </c>
    </row>
    <row r="650" spans="1:28">
      <c r="A650" t="str">
        <f>VLOOKUP(B650,info!$B$2:$F$49,2,FALSE)</f>
        <v>Renault</v>
      </c>
      <c r="B650">
        <v>42</v>
      </c>
      <c r="C650" t="s">
        <v>372</v>
      </c>
      <c r="D650" t="s">
        <v>77</v>
      </c>
      <c r="F650">
        <f>VLOOKUP(B650,info!$B$2:$I$49,8,FALSE)</f>
        <v>1147816</v>
      </c>
      <c r="H650">
        <v>8119.9999999999991</v>
      </c>
      <c r="I650">
        <v>2270</v>
      </c>
      <c r="J650">
        <v>860</v>
      </c>
      <c r="K650">
        <v>34570</v>
      </c>
      <c r="N650">
        <v>840</v>
      </c>
      <c r="P650">
        <v>5780</v>
      </c>
      <c r="U650">
        <v>540</v>
      </c>
      <c r="AB650">
        <v>1900</v>
      </c>
    </row>
    <row r="651" spans="1:28">
      <c r="A651" t="str">
        <f>VLOOKUP(B651,info!$B$2:$F$49,2,FALSE)</f>
        <v>Renault</v>
      </c>
      <c r="B651">
        <v>42</v>
      </c>
      <c r="C651" t="s">
        <v>372</v>
      </c>
      <c r="D651" t="s">
        <v>30</v>
      </c>
      <c r="F651">
        <f>VLOOKUP(B651,info!$B$2:$I$49,8,FALSE)</f>
        <v>1147816</v>
      </c>
      <c r="H651">
        <v>8320</v>
      </c>
      <c r="I651">
        <v>2340</v>
      </c>
      <c r="J651">
        <v>830</v>
      </c>
      <c r="K651">
        <v>36380</v>
      </c>
      <c r="N651">
        <v>820</v>
      </c>
      <c r="P651">
        <v>5970</v>
      </c>
      <c r="U651">
        <v>360</v>
      </c>
      <c r="AB651">
        <v>0</v>
      </c>
    </row>
    <row r="652" spans="1:28">
      <c r="A652" t="str">
        <f>VLOOKUP(B652,info!$B$2:$F$49,2,FALSE)</f>
        <v>Fiat</v>
      </c>
      <c r="B652">
        <v>43</v>
      </c>
      <c r="C652" t="s">
        <v>372</v>
      </c>
      <c r="D652" t="s">
        <v>77</v>
      </c>
      <c r="F652">
        <f>VLOOKUP(B652,info!$B$2:$I$49,8,FALSE)</f>
        <v>5751910</v>
      </c>
      <c r="H652">
        <v>8930</v>
      </c>
      <c r="I652">
        <v>2170</v>
      </c>
      <c r="J652">
        <v>270</v>
      </c>
      <c r="K652">
        <v>34640</v>
      </c>
      <c r="N652">
        <v>0</v>
      </c>
      <c r="P652">
        <v>5600</v>
      </c>
      <c r="U652">
        <v>760</v>
      </c>
      <c r="AB652">
        <v>1850</v>
      </c>
    </row>
    <row r="653" spans="1:28">
      <c r="A653" t="str">
        <f>VLOOKUP(B653,info!$B$2:$F$49,2,FALSE)</f>
        <v>Fiat</v>
      </c>
      <c r="B653">
        <v>43</v>
      </c>
      <c r="C653" t="s">
        <v>372</v>
      </c>
      <c r="D653" t="s">
        <v>30</v>
      </c>
      <c r="F653">
        <f>VLOOKUP(B653,info!$B$2:$I$49,8,FALSE)</f>
        <v>5751910</v>
      </c>
      <c r="H653">
        <v>8020</v>
      </c>
      <c r="I653">
        <v>2290</v>
      </c>
      <c r="J653">
        <v>520</v>
      </c>
      <c r="K653">
        <v>36400</v>
      </c>
      <c r="N653">
        <v>110</v>
      </c>
      <c r="P653">
        <v>5730</v>
      </c>
      <c r="U653">
        <v>400</v>
      </c>
      <c r="AB653">
        <v>0</v>
      </c>
    </row>
    <row r="654" spans="1:28">
      <c r="A654" t="str">
        <f>VLOOKUP(B654,info!$B$2:$F$49,2,FALSE)</f>
        <v>Hyundai</v>
      </c>
      <c r="B654">
        <v>44</v>
      </c>
      <c r="C654" t="s">
        <v>372</v>
      </c>
      <c r="D654" t="s">
        <v>77</v>
      </c>
      <c r="F654">
        <f>VLOOKUP(B654,info!$B$2:$I$49,8,FALSE)</f>
        <v>9602910</v>
      </c>
      <c r="H654">
        <v>8630</v>
      </c>
      <c r="I654">
        <v>2230</v>
      </c>
      <c r="J654">
        <v>390</v>
      </c>
      <c r="K654">
        <v>33840</v>
      </c>
      <c r="N654">
        <v>0</v>
      </c>
      <c r="P654">
        <v>5380</v>
      </c>
      <c r="U654">
        <v>880</v>
      </c>
      <c r="AB654">
        <v>1910</v>
      </c>
    </row>
    <row r="655" spans="1:28">
      <c r="A655" t="str">
        <f>VLOOKUP(B655,info!$B$2:$F$49,2,FALSE)</f>
        <v>Hyundai</v>
      </c>
      <c r="B655">
        <v>44</v>
      </c>
      <c r="C655" t="s">
        <v>372</v>
      </c>
      <c r="D655" t="s">
        <v>30</v>
      </c>
      <c r="F655">
        <f>VLOOKUP(B655,info!$B$2:$I$49,8,FALSE)</f>
        <v>9602910</v>
      </c>
      <c r="H655">
        <v>8029.9999999999991</v>
      </c>
      <c r="I655">
        <v>2330</v>
      </c>
      <c r="J655">
        <v>420</v>
      </c>
      <c r="K655">
        <v>35150</v>
      </c>
      <c r="N655">
        <v>240</v>
      </c>
      <c r="P655">
        <v>5560</v>
      </c>
      <c r="U655">
        <v>450</v>
      </c>
      <c r="AB655">
        <v>0</v>
      </c>
    </row>
    <row r="656" spans="1:28">
      <c r="A656" t="str">
        <f>VLOOKUP(B656,info!$B$2:$F$49,2,FALSE)</f>
        <v>Subaru</v>
      </c>
      <c r="B656">
        <v>45</v>
      </c>
      <c r="C656" t="s">
        <v>372</v>
      </c>
      <c r="D656" t="s">
        <v>77</v>
      </c>
      <c r="F656">
        <f>VLOOKUP(B656,info!$B$2:$I$49,8,FALSE)</f>
        <v>2675308</v>
      </c>
      <c r="H656">
        <v>8610</v>
      </c>
      <c r="I656">
        <v>2130</v>
      </c>
      <c r="J656">
        <v>790</v>
      </c>
      <c r="K656">
        <v>36030</v>
      </c>
      <c r="N656">
        <v>570</v>
      </c>
      <c r="P656">
        <v>5940</v>
      </c>
      <c r="U656">
        <v>190</v>
      </c>
      <c r="AB656">
        <v>1810</v>
      </c>
    </row>
    <row r="657" spans="1:28">
      <c r="A657" t="str">
        <f>VLOOKUP(B657,info!$B$2:$F$49,2,FALSE)</f>
        <v>Subaru</v>
      </c>
      <c r="B657">
        <v>45</v>
      </c>
      <c r="C657" t="s">
        <v>372</v>
      </c>
      <c r="D657" t="s">
        <v>30</v>
      </c>
      <c r="F657">
        <f>VLOOKUP(B657,info!$B$2:$I$49,8,FALSE)</f>
        <v>2675308</v>
      </c>
      <c r="H657">
        <v>8060.0000000000009</v>
      </c>
      <c r="I657">
        <v>2150</v>
      </c>
      <c r="J657">
        <v>870</v>
      </c>
      <c r="K657">
        <v>37280</v>
      </c>
      <c r="N657">
        <v>600</v>
      </c>
      <c r="P657">
        <v>6040</v>
      </c>
      <c r="U657">
        <v>200</v>
      </c>
      <c r="AB657">
        <v>0</v>
      </c>
    </row>
    <row r="658" spans="1:28">
      <c r="A658" t="str">
        <f>VLOOKUP(B658,info!$B$2:$F$49,2,FALSE)</f>
        <v>Renault</v>
      </c>
      <c r="B658">
        <v>46</v>
      </c>
      <c r="C658" t="s">
        <v>372</v>
      </c>
      <c r="D658" t="s">
        <v>30</v>
      </c>
      <c r="F658">
        <f>VLOOKUP(B658,info!$B$2:$I$49,8,FALSE)</f>
        <v>1147816</v>
      </c>
      <c r="H658">
        <v>8930</v>
      </c>
      <c r="I658">
        <v>2310</v>
      </c>
      <c r="J658">
        <v>500</v>
      </c>
      <c r="K658">
        <v>36870</v>
      </c>
      <c r="N658">
        <v>390</v>
      </c>
      <c r="P658">
        <v>7010</v>
      </c>
      <c r="U658">
        <v>510</v>
      </c>
      <c r="AB658">
        <v>1880</v>
      </c>
    </row>
    <row r="659" spans="1:28">
      <c r="A659" t="str">
        <f>VLOOKUP(B659,info!$B$2:$F$49,2,FALSE)</f>
        <v>Renault</v>
      </c>
      <c r="B659">
        <v>46</v>
      </c>
      <c r="C659" t="s">
        <v>372</v>
      </c>
      <c r="D659" t="s">
        <v>77</v>
      </c>
      <c r="F659">
        <f>VLOOKUP(B659,info!$B$2:$I$49,8,FALSE)</f>
        <v>1147816</v>
      </c>
      <c r="H659">
        <v>8180</v>
      </c>
      <c r="I659">
        <v>2200</v>
      </c>
      <c r="J659">
        <v>340</v>
      </c>
      <c r="K659">
        <v>35020</v>
      </c>
      <c r="N659">
        <v>230</v>
      </c>
      <c r="P659">
        <v>5640</v>
      </c>
      <c r="U659">
        <v>540</v>
      </c>
      <c r="AB659">
        <v>1510</v>
      </c>
    </row>
    <row r="660" spans="1:28">
      <c r="A660" t="str">
        <f>VLOOKUP(B660,info!$B$2:$F$49,2,FALSE)</f>
        <v>Renault</v>
      </c>
      <c r="B660">
        <v>47</v>
      </c>
      <c r="C660" t="s">
        <v>372</v>
      </c>
      <c r="D660" t="s">
        <v>30</v>
      </c>
      <c r="F660">
        <f>VLOOKUP(B660,info!$B$2:$I$49,8,FALSE)</f>
        <v>1147816</v>
      </c>
      <c r="H660">
        <v>8170</v>
      </c>
      <c r="I660">
        <v>2390</v>
      </c>
      <c r="J660">
        <v>1000</v>
      </c>
      <c r="K660">
        <v>36520</v>
      </c>
      <c r="N660">
        <v>260</v>
      </c>
      <c r="P660">
        <v>5720</v>
      </c>
      <c r="U660">
        <v>210</v>
      </c>
      <c r="AB660">
        <v>0</v>
      </c>
    </row>
    <row r="661" spans="1:28">
      <c r="A661" t="str">
        <f>VLOOKUP(B661,info!$B$2:$F$49,2,FALSE)</f>
        <v>Renault</v>
      </c>
      <c r="B661">
        <v>47</v>
      </c>
      <c r="C661" t="s">
        <v>372</v>
      </c>
      <c r="D661" t="s">
        <v>77</v>
      </c>
      <c r="F661">
        <f>VLOOKUP(B661,info!$B$2:$I$49,8,FALSE)</f>
        <v>1147816</v>
      </c>
      <c r="H661">
        <v>8260</v>
      </c>
      <c r="I661">
        <v>2390</v>
      </c>
      <c r="J661">
        <v>850</v>
      </c>
      <c r="K661">
        <v>35340</v>
      </c>
      <c r="N661">
        <v>270</v>
      </c>
      <c r="P661">
        <v>5630</v>
      </c>
      <c r="U661">
        <v>270</v>
      </c>
      <c r="AB661">
        <v>1280</v>
      </c>
    </row>
    <row r="662" spans="1:28">
      <c r="A662" t="str">
        <f>VLOOKUP(B662,info!$B$2:$F$49,2,FALSE)</f>
        <v>Hyundai</v>
      </c>
      <c r="B662">
        <v>48</v>
      </c>
      <c r="C662" t="s">
        <v>372</v>
      </c>
      <c r="D662" t="s">
        <v>77</v>
      </c>
      <c r="F662">
        <f>VLOOKUP(B662,info!$B$2:$I$49,8,FALSE)</f>
        <v>5826120</v>
      </c>
      <c r="H662">
        <v>8520</v>
      </c>
      <c r="I662">
        <v>2100</v>
      </c>
      <c r="J662">
        <v>750</v>
      </c>
      <c r="K662">
        <v>35940</v>
      </c>
      <c r="N662">
        <v>600</v>
      </c>
      <c r="P662">
        <v>6110</v>
      </c>
      <c r="U662">
        <v>220</v>
      </c>
      <c r="AB662">
        <v>1760</v>
      </c>
    </row>
    <row r="663" spans="1:28">
      <c r="A663" t="str">
        <f>VLOOKUP(B663,info!$B$2:$F$49,2,FALSE)</f>
        <v>Hyundai</v>
      </c>
      <c r="B663">
        <v>48</v>
      </c>
      <c r="C663" t="s">
        <v>372</v>
      </c>
      <c r="D663" t="s">
        <v>30</v>
      </c>
      <c r="F663">
        <f>VLOOKUP(B663,info!$B$2:$I$49,8,FALSE)</f>
        <v>5826120</v>
      </c>
      <c r="H663">
        <v>7980</v>
      </c>
      <c r="I663">
        <v>2190</v>
      </c>
      <c r="J663">
        <v>910</v>
      </c>
      <c r="K663">
        <v>37720</v>
      </c>
      <c r="N663">
        <v>580</v>
      </c>
      <c r="P663">
        <v>6080</v>
      </c>
      <c r="U663">
        <v>230</v>
      </c>
      <c r="AB663">
        <v>0</v>
      </c>
    </row>
    <row r="664" spans="1:28">
      <c r="A664" t="str">
        <f>VLOOKUP(B664,info!$B$2:$F$49,2,FALSE)</f>
        <v>Peugeot</v>
      </c>
      <c r="B664">
        <v>5</v>
      </c>
      <c r="C664" t="s">
        <v>372</v>
      </c>
      <c r="D664" t="s">
        <v>30</v>
      </c>
      <c r="F664">
        <f>VLOOKUP(B664,info!$B$2:$I$49,8,FALSE)</f>
        <v>9367324</v>
      </c>
      <c r="H664">
        <v>8920</v>
      </c>
      <c r="I664">
        <v>2220</v>
      </c>
      <c r="J664">
        <v>0</v>
      </c>
      <c r="K664">
        <v>35430</v>
      </c>
      <c r="N664">
        <v>0</v>
      </c>
      <c r="P664">
        <v>5780</v>
      </c>
      <c r="U664">
        <v>370</v>
      </c>
      <c r="AB664">
        <v>0</v>
      </c>
    </row>
    <row r="665" spans="1:28">
      <c r="A665" t="str">
        <f>VLOOKUP(B665,info!$B$2:$F$49,2,FALSE)</f>
        <v>Peugeot</v>
      </c>
      <c r="B665">
        <v>5</v>
      </c>
      <c r="C665" t="s">
        <v>372</v>
      </c>
      <c r="D665" t="s">
        <v>77</v>
      </c>
      <c r="F665">
        <f>VLOOKUP(B665,info!$B$2:$I$49,8,FALSE)</f>
        <v>9367324</v>
      </c>
      <c r="H665">
        <v>8760</v>
      </c>
      <c r="I665">
        <v>2090</v>
      </c>
      <c r="J665">
        <v>230</v>
      </c>
      <c r="K665">
        <v>33950</v>
      </c>
      <c r="N665">
        <v>0</v>
      </c>
      <c r="P665">
        <v>5530</v>
      </c>
      <c r="U665">
        <v>870</v>
      </c>
      <c r="AB665">
        <v>1980</v>
      </c>
    </row>
    <row r="666" spans="1:28">
      <c r="A666" t="str">
        <f>VLOOKUP(B666,info!$B$2:$F$49,2,FALSE)</f>
        <v>Mazda</v>
      </c>
      <c r="B666">
        <v>6</v>
      </c>
      <c r="C666" t="s">
        <v>372</v>
      </c>
      <c r="D666" t="s">
        <v>77</v>
      </c>
      <c r="F666">
        <f>VLOOKUP(B666,info!$B$2:$I$49,8,FALSE)</f>
        <v>3550828</v>
      </c>
      <c r="H666">
        <v>8530</v>
      </c>
      <c r="I666">
        <v>2320</v>
      </c>
      <c r="J666">
        <v>780</v>
      </c>
      <c r="K666">
        <v>35410</v>
      </c>
      <c r="N666">
        <v>660</v>
      </c>
      <c r="P666">
        <v>5600</v>
      </c>
      <c r="U666">
        <v>370</v>
      </c>
      <c r="AB666">
        <v>1510</v>
      </c>
    </row>
    <row r="667" spans="1:28">
      <c r="A667" t="str">
        <f>VLOOKUP(B667,info!$B$2:$F$49,2,FALSE)</f>
        <v>Mazda</v>
      </c>
      <c r="B667">
        <v>6</v>
      </c>
      <c r="C667" t="s">
        <v>372</v>
      </c>
      <c r="D667" t="s">
        <v>30</v>
      </c>
      <c r="F667">
        <f>VLOOKUP(B667,info!$B$2:$I$49,8,FALSE)</f>
        <v>3550828</v>
      </c>
      <c r="H667">
        <v>8080</v>
      </c>
      <c r="I667">
        <v>2390</v>
      </c>
      <c r="J667">
        <v>830</v>
      </c>
      <c r="K667">
        <v>36190</v>
      </c>
      <c r="N667">
        <v>630</v>
      </c>
      <c r="P667">
        <v>5640</v>
      </c>
      <c r="U667">
        <v>260</v>
      </c>
      <c r="AB667">
        <v>0</v>
      </c>
    </row>
    <row r="668" spans="1:28">
      <c r="A668" t="str">
        <f>VLOOKUP(B668,info!$B$2:$F$49,2,FALSE)</f>
        <v>Hyundai</v>
      </c>
      <c r="B668">
        <v>7</v>
      </c>
      <c r="C668" t="s">
        <v>372</v>
      </c>
      <c r="D668" t="s">
        <v>77</v>
      </c>
      <c r="F668">
        <f>VLOOKUP(B668,info!$B$2:$I$49,8,FALSE)</f>
        <v>9540217</v>
      </c>
      <c r="H668">
        <v>8610</v>
      </c>
      <c r="I668">
        <v>2260</v>
      </c>
      <c r="J668">
        <v>630</v>
      </c>
      <c r="K668">
        <v>35700</v>
      </c>
      <c r="N668">
        <v>360</v>
      </c>
      <c r="P668">
        <v>6830</v>
      </c>
      <c r="U668">
        <v>460</v>
      </c>
      <c r="AB668">
        <v>1760</v>
      </c>
    </row>
    <row r="669" spans="1:28">
      <c r="A669" t="str">
        <f>VLOOKUP(B669,info!$B$2:$F$49,2,FALSE)</f>
        <v>Hyundai</v>
      </c>
      <c r="B669">
        <v>7</v>
      </c>
      <c r="C669" t="s">
        <v>372</v>
      </c>
      <c r="D669" t="s">
        <v>30</v>
      </c>
      <c r="F669">
        <f>VLOOKUP(B669,info!$B$2:$I$49,8,FALSE)</f>
        <v>9540217</v>
      </c>
      <c r="H669">
        <v>8710</v>
      </c>
      <c r="I669">
        <v>2380</v>
      </c>
      <c r="J669">
        <v>500</v>
      </c>
      <c r="K669">
        <v>37640</v>
      </c>
      <c r="N669">
        <v>340</v>
      </c>
      <c r="P669">
        <v>6970</v>
      </c>
      <c r="U669">
        <v>230</v>
      </c>
      <c r="AB669">
        <v>0</v>
      </c>
    </row>
    <row r="670" spans="1:28">
      <c r="A670" t="str">
        <f>VLOOKUP(B670,info!$B$2:$F$49,2,FALSE)</f>
        <v>Honda</v>
      </c>
      <c r="B670">
        <v>8</v>
      </c>
      <c r="C670" t="s">
        <v>372</v>
      </c>
      <c r="D670" t="s">
        <v>30</v>
      </c>
      <c r="F670">
        <f>VLOOKUP(B670,info!$B$2:$I$49,8,FALSE)</f>
        <v>8096906</v>
      </c>
      <c r="H670">
        <v>8210</v>
      </c>
      <c r="I670">
        <v>2370</v>
      </c>
      <c r="J670">
        <v>0</v>
      </c>
      <c r="K670">
        <v>38580</v>
      </c>
      <c r="N670">
        <v>0</v>
      </c>
      <c r="P670">
        <v>6250</v>
      </c>
      <c r="U670">
        <v>190</v>
      </c>
      <c r="AB670">
        <v>0</v>
      </c>
    </row>
    <row r="671" spans="1:28">
      <c r="A671" t="str">
        <f>VLOOKUP(B671,info!$B$2:$F$49,2,FALSE)</f>
        <v>Honda</v>
      </c>
      <c r="B671">
        <v>8</v>
      </c>
      <c r="C671" t="s">
        <v>372</v>
      </c>
      <c r="D671" t="s">
        <v>77</v>
      </c>
      <c r="F671">
        <f>VLOOKUP(B671,info!$B$2:$I$49,8,FALSE)</f>
        <v>8096906</v>
      </c>
      <c r="H671">
        <v>8320</v>
      </c>
      <c r="I671">
        <v>2220</v>
      </c>
      <c r="J671">
        <v>0</v>
      </c>
      <c r="K671">
        <v>36610</v>
      </c>
      <c r="N671">
        <v>0</v>
      </c>
      <c r="P671">
        <v>5880</v>
      </c>
      <c r="U671">
        <v>570</v>
      </c>
      <c r="AB671">
        <v>2570</v>
      </c>
    </row>
    <row r="672" spans="1:28">
      <c r="A672" t="str">
        <f>VLOOKUP(B672,info!$B$2:$F$49,2,FALSE)</f>
        <v>Honda</v>
      </c>
      <c r="B672">
        <v>9</v>
      </c>
      <c r="C672" t="s">
        <v>372</v>
      </c>
      <c r="D672" t="s">
        <v>30</v>
      </c>
      <c r="F672">
        <f>VLOOKUP(B672,info!$B$2:$I$49,8,FALSE)</f>
        <v>8096906</v>
      </c>
      <c r="H672">
        <v>8430</v>
      </c>
      <c r="I672">
        <v>2120</v>
      </c>
      <c r="J672">
        <v>0</v>
      </c>
      <c r="K672">
        <v>34320</v>
      </c>
      <c r="N672">
        <v>0</v>
      </c>
      <c r="P672">
        <v>5850</v>
      </c>
      <c r="U672">
        <v>630</v>
      </c>
      <c r="AB672">
        <v>2810</v>
      </c>
    </row>
    <row r="673" spans="1:62">
      <c r="A673" t="str">
        <f>VLOOKUP(B673,info!$B$2:$F$49,2,FALSE)</f>
        <v>Honda</v>
      </c>
      <c r="B673">
        <v>9</v>
      </c>
      <c r="C673" t="s">
        <v>372</v>
      </c>
      <c r="D673" t="s">
        <v>77</v>
      </c>
      <c r="F673">
        <f>VLOOKUP(B673,info!$B$2:$I$49,8,FALSE)</f>
        <v>8096906</v>
      </c>
      <c r="H673">
        <v>8520</v>
      </c>
      <c r="I673">
        <v>2140</v>
      </c>
      <c r="J673">
        <v>0</v>
      </c>
      <c r="K673">
        <v>33910</v>
      </c>
      <c r="N673">
        <v>0</v>
      </c>
      <c r="P673">
        <v>5800</v>
      </c>
      <c r="U673">
        <v>580</v>
      </c>
      <c r="AB673">
        <v>2800</v>
      </c>
    </row>
    <row r="674" spans="1:62">
      <c r="A674" t="str">
        <f>VLOOKUP(B674,info!$B$2:$F$49,2,FALSE)</f>
        <v>Mazda</v>
      </c>
      <c r="B674" s="34">
        <v>1</v>
      </c>
      <c r="C674" t="s">
        <v>373</v>
      </c>
      <c r="D674" s="34" t="s">
        <v>77</v>
      </c>
      <c r="F674">
        <f>VLOOKUP(B674,info!$B$2:$I$49,8,FALSE)</f>
        <v>3550828</v>
      </c>
      <c r="H674">
        <f>7.62934931465269*(10000)</f>
        <v>76293.493146526904</v>
      </c>
      <c r="I674">
        <f>1.92725321405639*(10000)</f>
        <v>19272.532140563901</v>
      </c>
      <c r="J674">
        <f>0.664383285340925*(10000)</f>
        <v>6643.8328534092498</v>
      </c>
      <c r="K674">
        <f>27.0987555220182*(10000)</f>
        <v>270987.555220182</v>
      </c>
      <c r="N674">
        <f>0.460471139953582*(10000)</f>
        <v>4604.7113995358204</v>
      </c>
      <c r="P674">
        <f>4.73522486240573*(10000)</f>
        <v>47352.248624057298</v>
      </c>
      <c r="R674">
        <f>0.0154983093659772*(10000)</f>
        <v>154.98309365977201</v>
      </c>
      <c r="T674">
        <f>0.00521923612990166*(10000)</f>
        <v>52.192361299016603</v>
      </c>
      <c r="U674">
        <f>0.306550389135335*(10000)</f>
        <v>3065.5038913533499</v>
      </c>
      <c r="W674">
        <f>0.000112815760945376*(10000)</f>
        <v>1.12815760945376</v>
      </c>
      <c r="Y674">
        <f>0.000870872766717372*(10000)</f>
        <v>8.7087276671737204</v>
      </c>
      <c r="AA674">
        <f>0.00336294702651079*(10000)</f>
        <v>33.629470265107898</v>
      </c>
      <c r="AB674">
        <f>0.00234159320437533*(10000)</f>
        <v>23.415932043753298</v>
      </c>
      <c r="AF674">
        <f>0.00718208592206116*(10000)</f>
        <v>71.820859220611595</v>
      </c>
      <c r="AG674">
        <f>0.00196156294259623*(10000)</f>
        <v>19.615629425962297</v>
      </c>
      <c r="AH674">
        <f>0.00813357205196497*(10000)</f>
        <v>81.335720519649698</v>
      </c>
      <c r="AI674">
        <f>0.00187361207455051*(10000)</f>
        <v>18.736120745505101</v>
      </c>
      <c r="AJ674">
        <f>0.00117523607185184*(10000)</f>
        <v>11.752360718518402</v>
      </c>
      <c r="AK674">
        <f>0.000545846382068574*(10000)</f>
        <v>5.4584638206857408</v>
      </c>
      <c r="AL674">
        <f>0.000366617909116993*(10000)</f>
        <v>3.6661790911699303</v>
      </c>
      <c r="AM674">
        <f>0.000197295908636525*(10000)</f>
        <v>1.97295908636525</v>
      </c>
      <c r="AN674">
        <f>0.000218524132860178*(10000)</f>
        <v>2.18524132860178</v>
      </c>
      <c r="AO674">
        <f>0.000290878296668625*(10000)</f>
        <v>2.9087829666862501</v>
      </c>
      <c r="AP674">
        <f>0.0000787855291681781*(10000)</f>
        <v>0.78785529168178103</v>
      </c>
      <c r="AQ674">
        <f>0.0000660157480939309*(10000)</f>
        <v>0.66015748093930904</v>
      </c>
      <c r="AR674">
        <f>0.0000625395245681504*(10000)</f>
        <v>0.62539524568150395</v>
      </c>
      <c r="AS674">
        <f>0.000118450521567099*(10000)</f>
        <v>1.1845052156709901</v>
      </c>
      <c r="AT674">
        <f>0.0000668457022921865*(10000)</f>
        <v>0.66845702292186493</v>
      </c>
      <c r="AU674">
        <f>0.0000311262099858509*(10000)</f>
        <v>0.311262099858509</v>
      </c>
      <c r="AV674">
        <f>0.0000456265648089943*(10000)</f>
        <v>0.45626564808994302</v>
      </c>
      <c r="AW674">
        <f>0.0000282360957726141*(10000)</f>
        <v>0.282360957726141</v>
      </c>
      <c r="AX674">
        <f>0.0000242798048237854*(10000)</f>
        <v>0.242798048237854</v>
      </c>
      <c r="AY674">
        <f>0.0000246758813065407*(10000)</f>
        <v>0.24675881306540698</v>
      </c>
      <c r="AZ674">
        <f>0.0000204443479993115*(10000)</f>
        <v>0.20444347999311499</v>
      </c>
      <c r="BA674">
        <f>0.0000180725161180253*(10000)</f>
        <v>0.180725161180253</v>
      </c>
      <c r="BB674">
        <f>0.0000429312041566402*(10000)</f>
        <v>0.42931204156640201</v>
      </c>
      <c r="BC674">
        <f>0.0000279903869660009*(10000)</f>
        <v>0.27990386966000902</v>
      </c>
      <c r="BD674">
        <f>7.07005251515195E-06*(10000)</f>
        <v>7.0700525151519505E-2</v>
      </c>
      <c r="BE674">
        <f>8.28911832848441E-06*(10000)</f>
        <v>8.2891183284844086E-2</v>
      </c>
      <c r="BF674">
        <f>4.80278106137943E-06*(10000)</f>
        <v>4.8027810613794297E-2</v>
      </c>
      <c r="BG674">
        <f>0.0000120000148293776*(10000)</f>
        <v>0.12000014829377599</v>
      </c>
      <c r="BH674">
        <f>3.11316185033082E-06*(10000)</f>
        <v>3.11316185033082E-2</v>
      </c>
      <c r="BI674">
        <f>2.01434951197667E-06*(10000)</f>
        <v>2.0143495119766701E-2</v>
      </c>
      <c r="BJ674">
        <f>1.54776588872171E-06*(10000)</f>
        <v>1.54776588872171E-2</v>
      </c>
    </row>
    <row r="675" spans="1:62">
      <c r="A675" t="str">
        <f>VLOOKUP(B675,info!$B$2:$F$49,2,FALSE)</f>
        <v>Mazda</v>
      </c>
      <c r="B675" s="34">
        <v>2</v>
      </c>
      <c r="C675" t="s">
        <v>373</v>
      </c>
      <c r="D675" s="34" t="s">
        <v>77</v>
      </c>
      <c r="F675">
        <f>VLOOKUP(B675,info!$B$2:$I$49,8,FALSE)</f>
        <v>3550828</v>
      </c>
      <c r="H675">
        <f>7.466299079144*(10000)</f>
        <v>74662.990791439996</v>
      </c>
      <c r="I675">
        <f>1.85266060939458*(10000)</f>
        <v>18526.6060939458</v>
      </c>
      <c r="J675">
        <f>0.649089642138368*(10000)</f>
        <v>6490.8964213836798</v>
      </c>
      <c r="K675">
        <f>26.246767404084*(10000)</f>
        <v>262467.67404084001</v>
      </c>
      <c r="N675">
        <f>0.425061419416826*(10000)</f>
        <v>4250.6141941682599</v>
      </c>
      <c r="P675">
        <f>4.62214755821231*(10000)</f>
        <v>46221.475582123101</v>
      </c>
      <c r="R675">
        <f>0.0144373364405193*(10000)</f>
        <v>144.373364405193</v>
      </c>
      <c r="T675">
        <f>0.00514528932196216*(10000)</f>
        <v>51.4528932196216</v>
      </c>
      <c r="U675">
        <f>0.299613169827214*(10000)</f>
        <v>2996.1316982721396</v>
      </c>
      <c r="W675">
        <f>0.0000995294858158006*(10000)</f>
        <v>0.995294858158006</v>
      </c>
      <c r="Y675">
        <f>0.000832131930659866*(10000)</f>
        <v>8.3213193065986601</v>
      </c>
      <c r="AA675">
        <f>0.00332220470825619*(10000)</f>
        <v>33.2220470825619</v>
      </c>
      <c r="AB675">
        <f>0.00151309920604748*(10000)</f>
        <v>15.130992060474801</v>
      </c>
      <c r="AF675">
        <f>0.00691721001301716*(10000)</f>
        <v>69.1721001301716</v>
      </c>
      <c r="AG675">
        <f>0.00195708482641835*(10000)</f>
        <v>19.5708482641835</v>
      </c>
      <c r="AH675">
        <f>0.00472670420621008*(10000)</f>
        <v>47.267042062100799</v>
      </c>
      <c r="AI675">
        <f>0.00180823966839792*(10000)</f>
        <v>18.082396683979201</v>
      </c>
      <c r="AJ675">
        <f>0.00108195775566038*(10000)</f>
        <v>10.819577556603798</v>
      </c>
      <c r="AK675">
        <f>0.000513737771358658*(10000)</f>
        <v>5.1373777135865808</v>
      </c>
      <c r="AL675">
        <f>0.000272286527337687*(10000)</f>
        <v>2.7228652733768697</v>
      </c>
      <c r="AM675">
        <f>0.000158342073953753*(10000)</f>
        <v>1.5834207395375299</v>
      </c>
      <c r="AN675">
        <f>0.000216577238587936*(10000)</f>
        <v>2.1657723858793601</v>
      </c>
      <c r="AO675">
        <f>0.000288094855493065*(10000)</f>
        <v>2.8809485549306499</v>
      </c>
      <c r="AP675">
        <f>0.0000747538068490134*(10000)</f>
        <v>0.74753806849013404</v>
      </c>
      <c r="AQ675">
        <f>0.000057307640619229*(10000)</f>
        <v>0.57307640619229006</v>
      </c>
      <c r="AR675">
        <f>0.0000412928548870146*(10000)</f>
        <v>0.41292854887014602</v>
      </c>
      <c r="AS675">
        <f>0.00010836962611458*(10000)</f>
        <v>1.0836962611458001</v>
      </c>
      <c r="AT675">
        <f>0.0000541458766236246*(10000)</f>
        <v>0.541458766236246</v>
      </c>
      <c r="AU675">
        <f>0.0000315108478332757*(10000)</f>
        <v>0.31510847833275701</v>
      </c>
      <c r="AV675">
        <f>0.000044469170423773*(10000)</f>
        <v>0.44469170423772997</v>
      </c>
      <c r="AW675">
        <f>0.0000247207585479112*(10000)</f>
        <v>0.24720758547911201</v>
      </c>
      <c r="AX675">
        <f>0.0000237092611072996*(10000)</f>
        <v>0.23709261107299601</v>
      </c>
      <c r="AY675">
        <f>0.0000244363096433704*(10000)</f>
        <v>0.24436309643370399</v>
      </c>
      <c r="AZ675">
        <f>0.0000184048874932975*(10000)</f>
        <v>0.184048874932975</v>
      </c>
      <c r="BA675">
        <f>0.0000164235639174755*(10000)</f>
        <v>0.16423563917475498</v>
      </c>
      <c r="BB675">
        <f>0.0000417061046139292*(10000)</f>
        <v>0.41706104613929196</v>
      </c>
      <c r="BC675">
        <f>0.0000237849347371191*(10000)</f>
        <v>0.23784934737119098</v>
      </c>
      <c r="BD675">
        <f>6.90870276895554E-06*(10000)</f>
        <v>6.9087027689555394E-2</v>
      </c>
      <c r="BE675">
        <f>7.06004670081279E-06*(10000)</f>
        <v>7.0600467008127901E-2</v>
      </c>
      <c r="BF675">
        <f>4.10873755539974E-06*(10000)</f>
        <v>4.1087375553997406E-2</v>
      </c>
      <c r="BG675">
        <f>6.59289352285964E-06*(10000)</f>
        <v>6.59289352285964E-2</v>
      </c>
      <c r="BH675">
        <f>2.92384795402692E-06*(10000)</f>
        <v>2.9238479540269199E-2</v>
      </c>
      <c r="BI675">
        <f>2.37838858040619E-06*(10000)</f>
        <v>2.3783885804061902E-2</v>
      </c>
      <c r="BJ675">
        <f>1.23347701011645E-06*(10000)</f>
        <v>1.23347701011645E-2</v>
      </c>
    </row>
    <row r="676" spans="1:62">
      <c r="A676" t="str">
        <f>VLOOKUP(B676,info!$B$2:$F$49,2,FALSE)</f>
        <v>Mazda</v>
      </c>
      <c r="B676" s="34">
        <v>3</v>
      </c>
      <c r="C676" t="s">
        <v>373</v>
      </c>
      <c r="D676" s="34" t="s">
        <v>77</v>
      </c>
      <c r="F676">
        <f>VLOOKUP(B676,info!$B$2:$I$49,8,FALSE)</f>
        <v>3550828</v>
      </c>
      <c r="H676">
        <f>8.23063753561979*(10000)</f>
        <v>82306.375356197896</v>
      </c>
      <c r="I676">
        <f>2.06953234504117*(10000)</f>
        <v>20695.323450411699</v>
      </c>
      <c r="J676">
        <f>0.705332208537558*(10000)</f>
        <v>7053.3220853755793</v>
      </c>
      <c r="K676">
        <f>28.4927203526801*(10000)</f>
        <v>284927.20352680096</v>
      </c>
      <c r="N676">
        <f>0.479343836485745*(10000)</f>
        <v>4793.4383648574503</v>
      </c>
      <c r="P676">
        <f>5.03222703484124*(10000)</f>
        <v>50322.270348412399</v>
      </c>
      <c r="R676">
        <f>0.0153325323463744*(10000)</f>
        <v>153.32532346374401</v>
      </c>
      <c r="T676">
        <f>0.00552470687222319*(10000)</f>
        <v>55.247068722231901</v>
      </c>
      <c r="U676">
        <f>0.331411285453259*(10000)</f>
        <v>3314.1128545325901</v>
      </c>
      <c r="W676">
        <f>0.00010922964243695*(10000)</f>
        <v>1.0922964243694999</v>
      </c>
      <c r="Y676">
        <f>0.000950477224369782*(10000)</f>
        <v>9.5047722436978201</v>
      </c>
      <c r="AA676">
        <f>0.00349563042405909*(10000)</f>
        <v>34.956304240590896</v>
      </c>
      <c r="AB676">
        <f>0.00169874676673269*(10000)</f>
        <v>16.9874676673269</v>
      </c>
      <c r="AF676">
        <f>0.00747468907228043*(10000)</f>
        <v>74.746890722804309</v>
      </c>
      <c r="AG676">
        <f>0.0022254182457334*(10000)</f>
        <v>22.254182457334</v>
      </c>
      <c r="AH676">
        <f>0.00462700247166415*(10000)</f>
        <v>46.270024716641501</v>
      </c>
      <c r="AI676">
        <f>0.00187027481779833*(10000)</f>
        <v>18.702748177983299</v>
      </c>
      <c r="AJ676">
        <f>0.00116992367262814*(10000)</f>
        <v>11.6992367262814</v>
      </c>
      <c r="AK676">
        <f>0.000642172214198322*(10000)</f>
        <v>6.4217221419832207</v>
      </c>
      <c r="AL676">
        <f>0.000284484765013125*(10000)</f>
        <v>2.8448476501312498</v>
      </c>
      <c r="AM676">
        <f>0.000164343070107586*(10000)</f>
        <v>1.64343070107586</v>
      </c>
      <c r="AN676">
        <f>0.000233155338300061*(10000)</f>
        <v>2.3315533830006099</v>
      </c>
      <c r="AO676">
        <f>0.000304271363699486*(10000)</f>
        <v>3.04271363699486</v>
      </c>
      <c r="AP676">
        <f>0.0000835671187271287*(10000)</f>
        <v>0.83567118727128697</v>
      </c>
      <c r="AQ676">
        <f>0.0000688769834070473*(10000)</f>
        <v>0.6887698340704731</v>
      </c>
      <c r="AR676">
        <f>0.0000451610826406205*(10000)</f>
        <v>0.45161082640620498</v>
      </c>
      <c r="AS676">
        <f>0.00012664124912227*(10000)</f>
        <v>1.2664124912226999</v>
      </c>
      <c r="AT676">
        <f>0.0000688870873130727*(10000)</f>
        <v>0.68887087313072703</v>
      </c>
      <c r="AU676">
        <f>0.0000354709600826791*(10000)</f>
        <v>0.35470960082679098</v>
      </c>
      <c r="AV676">
        <f>0.000048624292265505*(10000)</f>
        <v>0.48624292265504998</v>
      </c>
      <c r="AW676">
        <f>0.0000229063909480645*(10000)</f>
        <v>0.22906390948064501</v>
      </c>
      <c r="AX676">
        <f>0.0000239628360924044*(10000)</f>
        <v>0.23962836092404399</v>
      </c>
      <c r="AY676">
        <f>0.0000286527709151677*(10000)</f>
        <v>0.28652770915167702</v>
      </c>
      <c r="AZ676">
        <f>0.0000196484609725743*(10000)</f>
        <v>0.196484609725743</v>
      </c>
      <c r="BA676">
        <f>0.0000202821120667619*(10000)</f>
        <v>0.20282112066761901</v>
      </c>
      <c r="BB676">
        <f>0.0000459844898984807*(10000)</f>
        <v>0.45984489898480702</v>
      </c>
      <c r="BC676">
        <f>0.0000185453549109711*(10000)</f>
        <v>0.18545354910971099</v>
      </c>
      <c r="BD676">
        <f>8.31684600848788E-06*(10000)</f>
        <v>8.3168460084878812E-2</v>
      </c>
      <c r="BE676">
        <f>7.08085065729378E-06*(10000)</f>
        <v>7.0808506572937802E-2</v>
      </c>
      <c r="BF676">
        <f>4.94158976257536E-06*(10000)</f>
        <v>4.9415897625753602E-2</v>
      </c>
      <c r="BG676">
        <f>9.24902328746496E-06*(10000)</f>
        <v>9.2490232874649594E-2</v>
      </c>
      <c r="BH676">
        <f>3.09212697296372E-06*(10000)</f>
        <v>3.0921269729637199E-2</v>
      </c>
      <c r="BI676">
        <f>2.54018372193042E-06*(10000)</f>
        <v>2.54018372193042E-2</v>
      </c>
      <c r="BJ676">
        <f>1.27405557528276E-06*(10000)</f>
        <v>1.27405557528276E-2</v>
      </c>
    </row>
    <row r="677" spans="1:62">
      <c r="A677" t="str">
        <f>VLOOKUP(B677,info!$B$2:$F$49,2,FALSE)</f>
        <v>Peugeot</v>
      </c>
      <c r="B677" s="34">
        <v>4</v>
      </c>
      <c r="C677" t="s">
        <v>373</v>
      </c>
      <c r="D677" s="34" t="s">
        <v>77</v>
      </c>
      <c r="F677">
        <f>VLOOKUP(B677,info!$B$2:$I$49,8,FALSE)</f>
        <v>9367324</v>
      </c>
      <c r="H677">
        <f>9.00701494531052*(10000)</f>
        <v>90070.149453105201</v>
      </c>
      <c r="I677">
        <f>2.04066884791956*(10000)</f>
        <v>20406.6884791956</v>
      </c>
      <c r="J677">
        <f>0.317970655571197*(10000)</f>
        <v>3179.7065557119704</v>
      </c>
      <c r="K677">
        <f>29.5415750507796*(10000)</f>
        <v>295415.75050779601</v>
      </c>
      <c r="N677">
        <f>0.121322238762454*(10000)</f>
        <v>1213.22238762454</v>
      </c>
      <c r="P677">
        <f>5.40171676123396*(10000)</f>
        <v>54017.167612339596</v>
      </c>
      <c r="R677">
        <f>0.0180218039977088*(10000)</f>
        <v>180.21803997708801</v>
      </c>
      <c r="T677">
        <f>0.00991785151914352*(10000)</f>
        <v>99.178515191435196</v>
      </c>
      <c r="U677">
        <f>0.549176014803134*(10000)</f>
        <v>5491.7601480313406</v>
      </c>
      <c r="W677">
        <f>0.0000954142678553123*(10000)</f>
        <v>0.95414267855312307</v>
      </c>
      <c r="Y677">
        <f>0.00258661417731899*(10000)</f>
        <v>25.866141773189899</v>
      </c>
      <c r="AA677">
        <f>0.00673966059773584*(10000)</f>
        <v>67.396605977358391</v>
      </c>
      <c r="AB677">
        <f>0.000927760560339474*(10000)</f>
        <v>9.2776056033947398</v>
      </c>
      <c r="AF677">
        <f>0.00522663716613834*(10000)</f>
        <v>52.266371661383403</v>
      </c>
      <c r="AG677">
        <f>0.00353505531325127*(10000)</f>
        <v>35.350553132512701</v>
      </c>
      <c r="AH677">
        <f>0.00037520733779566*(10000)</f>
        <v>3.7520733779566</v>
      </c>
      <c r="AI677">
        <f>0.000262930344029199*(10000)</f>
        <v>2.6293034402919897</v>
      </c>
      <c r="AJ677">
        <f>0.0007679387814314*(10000)</f>
        <v>7.6793878143139995</v>
      </c>
      <c r="AK677">
        <f>0.000513737771358658*(10000)</f>
        <v>5.1373777135865808</v>
      </c>
      <c r="AL677">
        <f>0.000282124617194049*(10000)</f>
        <v>2.8212461719404898</v>
      </c>
      <c r="AM677">
        <f>0.000200664888933414*(10000)</f>
        <v>2.0066488893341399</v>
      </c>
      <c r="AN677">
        <f>0.000310028163655571*(10000)</f>
        <v>3.1002816365557098</v>
      </c>
      <c r="AO677">
        <f>0.000413299827182311*(10000)</f>
        <v>4.1329982718231095</v>
      </c>
      <c r="AP677">
        <f>0.0000572240096402407*(10000)</f>
        <v>0.57224009640240703</v>
      </c>
      <c r="AQ677">
        <f>0.000105243698908541*(10000)</f>
        <v>1.0524369890854099</v>
      </c>
      <c r="AR677">
        <f>0.0000511253943986434*(10000)</f>
        <v>0.51125394398643398</v>
      </c>
      <c r="AS677">
        <f>0.0000333929661864693*(10000)</f>
        <v>0.33392966186469297</v>
      </c>
      <c r="AT677">
        <f>0.0000639858759625731*(10000)</f>
        <v>0.63985875962573102</v>
      </c>
      <c r="AU677">
        <f>0.0000537560426372201*(10000)</f>
        <v>0.53756042637220103</v>
      </c>
      <c r="AV677">
        <f>0.0000646895327138732*(10000)</f>
        <v>0.64689532713873199</v>
      </c>
      <c r="AW677">
        <f>0.0000412768628965122*(10000)</f>
        <v>0.41276862896512201</v>
      </c>
      <c r="AX677">
        <f>0.0000417764787960172*(10000)</f>
        <v>0.41776478796017197</v>
      </c>
      <c r="AY677">
        <f>0.0000416375550589978*(10000)</f>
        <v>0.41637555058997805</v>
      </c>
      <c r="AZ677">
        <f>0.0000264632436390115*(10000)</f>
        <v>0.26463243639011502</v>
      </c>
      <c r="BA677">
        <f>0.0000236789535998944*(10000)</f>
        <v>0.23678953599894401</v>
      </c>
      <c r="BB677">
        <f>5.92819618374458E-06*(10000)</f>
        <v>5.9281961837445794E-2</v>
      </c>
      <c r="BC677">
        <f>0.000017511227313705*(10000)</f>
        <v>0.17511227313705002</v>
      </c>
      <c r="BD677">
        <f>0.0000107517603601792*(10000)</f>
        <v>0.10751760360179201</v>
      </c>
      <c r="BE677">
        <f>8.99970340729057E-06*(10000)</f>
        <v>8.9997034072905699E-2</v>
      </c>
      <c r="BF677">
        <f>7.69000204625492E-06*(10000)</f>
        <v>7.6900020462549207E-2</v>
      </c>
      <c r="BG677">
        <f>5.50198308382531E-06*(10000)</f>
        <v>5.5019830838253098E-2</v>
      </c>
      <c r="BH677">
        <f>3.91248719028063E-06*(10000)</f>
        <v>3.9124871902806301E-2</v>
      </c>
      <c r="BI677">
        <f>2.97703060404585E-06*(10000)</f>
        <v>2.9770306040458501E-2</v>
      </c>
      <c r="BJ677">
        <f>3.67497413870515E-07*(10000)</f>
        <v>3.6749741387051499E-3</v>
      </c>
    </row>
    <row r="678" spans="1:62">
      <c r="A678" t="str">
        <f>VLOOKUP(B678,info!$B$2:$F$49,2,FALSE)</f>
        <v>Peugeot</v>
      </c>
      <c r="B678" s="34">
        <v>5</v>
      </c>
      <c r="C678" t="s">
        <v>373</v>
      </c>
      <c r="D678" s="34" t="s">
        <v>77</v>
      </c>
      <c r="F678">
        <f>VLOOKUP(B678,info!$B$2:$I$49,8,FALSE)</f>
        <v>9367324</v>
      </c>
      <c r="H678">
        <f>9.03893951724833*(10000)</f>
        <v>90389.395172483302</v>
      </c>
      <c r="I678">
        <f>2.04033677179111*(10000)</f>
        <v>20403.3677179111</v>
      </c>
      <c r="J678">
        <f>0.113115456487416*(10000)</f>
        <v>1131.1545648741601</v>
      </c>
      <c r="K678">
        <f>29.8907396695574*(10000)</f>
        <v>298907.39669557399</v>
      </c>
      <c r="N678">
        <f>0.0492794602957893*(10000)</f>
        <v>492.79460295789301</v>
      </c>
      <c r="P678">
        <f>5.38818684448856*(10000)</f>
        <v>53881.8684448856</v>
      </c>
      <c r="R678">
        <f>0.00490699978024286*(10000)</f>
        <v>49.069997802428603</v>
      </c>
      <c r="T678">
        <f>0.0105441105568598*(10000)</f>
        <v>105.441105568598</v>
      </c>
      <c r="U678">
        <f>0.586418015987422*(10000)</f>
        <v>5864.1801598742204</v>
      </c>
      <c r="W678">
        <f>0.0000738387679767543*(10000)</f>
        <v>0.73838767976754305</v>
      </c>
      <c r="Y678">
        <f>0.000206440893511919*(10000)</f>
        <v>2.0644089351191899</v>
      </c>
      <c r="AA678">
        <f>0.0021541514375692*(10000)</f>
        <v>21.541514375692</v>
      </c>
      <c r="AB678">
        <f>0.00202231757944369*(10000)</f>
        <v>20.223175794436901</v>
      </c>
      <c r="AF678">
        <f>0.000698542713937506*(10000)</f>
        <v>6.9854271393750604</v>
      </c>
      <c r="AG678">
        <f>0.00216011374608308*(10000)</f>
        <v>21.601137460830799</v>
      </c>
      <c r="AH678">
        <f>0.000439677305511302*(10000)</f>
        <v>4.3967730551130195</v>
      </c>
      <c r="AI678">
        <f>0.000104028977786035*(10000)</f>
        <v>1.0402897778603499</v>
      </c>
      <c r="AJ678">
        <f>0.000119993972584521*(10000)</f>
        <v>1.19993972584521</v>
      </c>
      <c r="AK678">
        <f>0.000192651664259497*(10000)</f>
        <v>1.92651664259497</v>
      </c>
      <c r="AL678">
        <f>0.000258995168567098*(10000)</f>
        <v>2.5899516856709797</v>
      </c>
      <c r="AM678">
        <f>0.000226458644331465*(10000)</f>
        <v>2.2645864433146499</v>
      </c>
      <c r="AN678">
        <f>0.0000944538706018211*(10000)</f>
        <v>0.94453870601821099</v>
      </c>
      <c r="AO678">
        <f>0.000044830188945683*(10000)</f>
        <v>0.44830188945683003</v>
      </c>
      <c r="AP678">
        <f>0.0000445462188764098*(10000)</f>
        <v>0.44546218876409799</v>
      </c>
      <c r="AQ678">
        <f>0.000059463933898679*(10000)</f>
        <v>0.59463933898679</v>
      </c>
      <c r="AR678">
        <f>0.0000594716197980492*(10000)</f>
        <v>0.59471619798049202</v>
      </c>
      <c r="AS678">
        <f>0.0000296126303917747*(10000)</f>
        <v>0.29612630391774702</v>
      </c>
      <c r="AT678">
        <f>0.0000531880954314777*(10000)</f>
        <v>0.531880954314777</v>
      </c>
      <c r="AU678">
        <f>0.0000337473663017816*(10000)</f>
        <v>0.33747366301781601</v>
      </c>
      <c r="AV678">
        <f>0.000012406771521682*(10000)</f>
        <v>0.12406771521682</v>
      </c>
      <c r="AW678">
        <f>0.0000322050248972788*(10000)</f>
        <v>0.322050248972788</v>
      </c>
      <c r="AX678">
        <f>0.0000221878111966708*(10000)</f>
        <v>0.22187811196670798</v>
      </c>
      <c r="AY678">
        <f>0.000016865845087189*(10000)</f>
        <v>0.16865845087189002</v>
      </c>
      <c r="AZ678">
        <f>0.0000094511584425041*(10000)</f>
        <v>9.4511584425040998E-2</v>
      </c>
      <c r="BA678">
        <f>9.66285989522154E-06*(10000)</f>
        <v>9.6628598952215414E-2</v>
      </c>
      <c r="BB678">
        <f>3.76979151304457E-06*(10000)</f>
        <v>3.7697915130445701E-2</v>
      </c>
      <c r="BC678">
        <f>0.0000108238688513846*(10000)</f>
        <v>0.10823868851384599</v>
      </c>
      <c r="BD678">
        <f>4.19509340110676E-06*(10000)</f>
        <v>4.19509340110676E-2</v>
      </c>
      <c r="BE678">
        <f>5.26000848659644E-06*(10000)</f>
        <v>5.2600084865964403E-2</v>
      </c>
      <c r="BF678">
        <f>3.35917056894168E-06*(10000)</f>
        <v>3.3591705689416801E-2</v>
      </c>
      <c r="BG678">
        <f>0.0000108142426130359*(10000)</f>
        <v>0.108142426130359</v>
      </c>
      <c r="BH678">
        <f>1.59865067989961E-06*(10000)</f>
        <v>1.5986506798996099E-2</v>
      </c>
      <c r="BI678">
        <f>1.10020696236477E-06*(10000)</f>
        <v>1.1002069623647699E-2</v>
      </c>
      <c r="BJ678">
        <f>1.03024352073705E-06*(10000)</f>
        <v>1.03024352073705E-2</v>
      </c>
    </row>
    <row r="679" spans="1:62">
      <c r="A679" t="str">
        <f>VLOOKUP(B679,info!$B$2:$F$49,2,FALSE)</f>
        <v>Mazda</v>
      </c>
      <c r="B679" s="34">
        <v>6</v>
      </c>
      <c r="C679" t="s">
        <v>373</v>
      </c>
      <c r="D679" s="34" t="s">
        <v>77</v>
      </c>
      <c r="F679">
        <f>VLOOKUP(B679,info!$B$2:$I$49,8,FALSE)</f>
        <v>3550828</v>
      </c>
      <c r="H679">
        <f>8.71721153328263*(10000)</f>
        <v>87172.115332826288</v>
      </c>
      <c r="I679">
        <f>2.22067894676109*(10000)</f>
        <v>22206.789467610899</v>
      </c>
      <c r="J679">
        <f>0.763277754730102*(10000)</f>
        <v>7632.7775473010197</v>
      </c>
      <c r="K679">
        <f>30.3932948593918*(10000)</f>
        <v>303932.948593918</v>
      </c>
      <c r="N679">
        <f>0.528971096328927*(10000)</f>
        <v>5289.7109632892707</v>
      </c>
      <c r="P679">
        <f>5.35104107306026*(10000)</f>
        <v>53510.410730602598</v>
      </c>
      <c r="R679">
        <f>0.0180218039977088*(10000)</f>
        <v>180.21803997708801</v>
      </c>
      <c r="T679">
        <f>0.00585852389092153*(10000)</f>
        <v>58.585238909215299</v>
      </c>
      <c r="U679">
        <f>0.372830047745427*(10000)</f>
        <v>3728.3004774542701</v>
      </c>
      <c r="W679">
        <f>0.000108759331812895*(10000)</f>
        <v>1.0875933181289499</v>
      </c>
      <c r="Y679">
        <f>0.00106935321446405*(10000)</f>
        <v>10.6935321446405</v>
      </c>
      <c r="AA679">
        <f>0.0042094810746527*(10000)</f>
        <v>42.094810746527003</v>
      </c>
      <c r="AB679">
        <f>0.00258069199075911*(10000)</f>
        <v>25.806919907591102</v>
      </c>
      <c r="AF679">
        <f>0.00895173640535125*(10000)</f>
        <v>89.517364053512495</v>
      </c>
      <c r="AG679">
        <f>0.00246652548630316*(10000)</f>
        <v>24.665254863031599</v>
      </c>
      <c r="AH679">
        <f>0.0124677207672004*(10000)</f>
        <v>124.677207672004</v>
      </c>
      <c r="AI679">
        <f>0.00222575462155485*(10000)</f>
        <v>22.257546215548501</v>
      </c>
      <c r="AJ679">
        <f>0.00133363968798601*(10000)</f>
        <v>13.3363968798601</v>
      </c>
      <c r="AK679">
        <f>0.000513737771358658*(10000)</f>
        <v>5.1373777135865808</v>
      </c>
      <c r="AL679">
        <f>0.000486463731003582*(10000)</f>
        <v>4.8646373100358202</v>
      </c>
      <c r="AM679">
        <f>0.000243303545815907*(10000)</f>
        <v>2.4330354581590701</v>
      </c>
      <c r="AN679">
        <f>0.000256872050343741*(10000)</f>
        <v>2.5687205034374099</v>
      </c>
      <c r="AO679">
        <f>0.000339155141298921*(10000)</f>
        <v>3.3915514129892101</v>
      </c>
      <c r="AP679">
        <f>0.0000966581933530929*(10000)</f>
        <v>0.96658193353092903</v>
      </c>
      <c r="AQ679">
        <f>0.0000733139715013002*(10000)</f>
        <v>0.73313971501300201</v>
      </c>
      <c r="AR679">
        <f>0.0000750588626672591*(10000)</f>
        <v>0.75058862667259107</v>
      </c>
      <c r="AS679">
        <f>0.000121600801396011*(10000)</f>
        <v>1.2160080139601099</v>
      </c>
      <c r="AT679">
        <f>0.0000795552975413621*(10000)</f>
        <v>0.79555297541362102</v>
      </c>
      <c r="AU679">
        <f>0.0000366817009967328*(10000)</f>
        <v>0.36681700996732797</v>
      </c>
      <c r="AV679">
        <f>0.0000581508141478656*(10000)</f>
        <v>0.58150814147865593</v>
      </c>
      <c r="AW679">
        <f>0.0000345863823720776*(10000)</f>
        <v>0.34586382372077601</v>
      </c>
      <c r="AX679">
        <f>0.0000299852419886436*(10000)</f>
        <v>0.29985241988643602</v>
      </c>
      <c r="AY679">
        <f>0.0000299943722289213*(10000)</f>
        <v>0.29994372228921301</v>
      </c>
      <c r="AZ679">
        <f>0.0000253688989772478*(10000)</f>
        <v>0.253688989772478</v>
      </c>
      <c r="BA679">
        <f>0.0000188969922183001*(10000)</f>
        <v>0.18896992218300099</v>
      </c>
      <c r="BB679">
        <f>0.0000543646198690305*(10000)</f>
        <v>0.54364619869030495</v>
      </c>
      <c r="BC679">
        <f>0.0000174422854738873*(10000)</f>
        <v>0.17442285473887301</v>
      </c>
      <c r="BD679">
        <f>7.48076096001555E-06*(10000)</f>
        <v>7.4807609600155506E-2</v>
      </c>
      <c r="BE679">
        <f>7.85220009834407E-06*(10000)</f>
        <v>7.8522000983440698E-2</v>
      </c>
      <c r="BF679">
        <f>5.85772719046855E-06*(10000)</f>
        <v>5.85772719046855E-2</v>
      </c>
      <c r="BG679">
        <f>0.0000120474457180313*(10000)</f>
        <v>0.12047445718031301</v>
      </c>
      <c r="BH679">
        <f>3.95455694501483E-06*(10000)</f>
        <v>3.9545569450148303E-2</v>
      </c>
      <c r="BI679">
        <f>2.40265785163483E-06*(10000)</f>
        <v>2.4026578516348301E-2</v>
      </c>
      <c r="BJ679">
        <f>1.60097643159389E-06*(10000)</f>
        <v>1.6009764315938899E-2</v>
      </c>
    </row>
    <row r="680" spans="1:62">
      <c r="A680" t="str">
        <f>VLOOKUP(B680,info!$B$2:$F$49,2,FALSE)</f>
        <v>Hyundai</v>
      </c>
      <c r="B680" s="34">
        <v>7</v>
      </c>
      <c r="C680" t="s">
        <v>373</v>
      </c>
      <c r="D680" s="34" t="s">
        <v>77</v>
      </c>
      <c r="F680">
        <f>VLOOKUP(B680,info!$B$2:$I$49,8,FALSE)</f>
        <v>9540217</v>
      </c>
      <c r="H680">
        <f>8.82841648967194*(10000)</f>
        <v>88284.164896719391</v>
      </c>
      <c r="I680">
        <f>2.06584037097705*(10000)</f>
        <v>20658.4037097705</v>
      </c>
      <c r="J680">
        <f>0.505121499798277*(10000)</f>
        <v>5051.21499798277</v>
      </c>
      <c r="K680">
        <f>29.9569761426323*(10000)</f>
        <v>299569.76142632298</v>
      </c>
      <c r="N680">
        <f>0.259288796182968*(10000)</f>
        <v>2592.8879618296801</v>
      </c>
      <c r="P680">
        <f>6.22786167765798*(10000)</f>
        <v>62278.616776579802</v>
      </c>
      <c r="R680">
        <f>0.0236250672602833*(10000)</f>
        <v>236.25067260283302</v>
      </c>
      <c r="T680">
        <f>0.00748781855918863*(10000)</f>
        <v>74.878185591886293</v>
      </c>
      <c r="U680">
        <f>0.362271130126673*(10000)</f>
        <v>3622.7113012667301</v>
      </c>
      <c r="W680">
        <f>0.000225572733062744*(10000)</f>
        <v>2.2557273306274399</v>
      </c>
      <c r="Y680">
        <f>0.000126836435859508*(10000)</f>
        <v>1.2683643585950801</v>
      </c>
      <c r="AA680">
        <f>0.00439391698764788*(10000)</f>
        <v>43.939169876478793</v>
      </c>
      <c r="AB680">
        <f>0.00164314794714445*(10000)</f>
        <v>16.431479471444501</v>
      </c>
      <c r="AF680">
        <f>0.00397945707017267*(10000)</f>
        <v>39.794570701726705</v>
      </c>
      <c r="AG680">
        <f>0.00710768568798832*(10000)</f>
        <v>71.076856879883195</v>
      </c>
      <c r="AH680">
        <f>0.000994969819679552*(10000)</f>
        <v>9.94969819679552</v>
      </c>
      <c r="AI680">
        <f>0.000963500157258654*(10000)</f>
        <v>9.635001572586539</v>
      </c>
      <c r="AJ680">
        <f>0.000601660344146296*(10000)</f>
        <v>6.0166034414629603</v>
      </c>
      <c r="AK680">
        <f>0.000866932489167735*(10000)</f>
        <v>8.6693248916773502</v>
      </c>
      <c r="AL680">
        <f>0.000572298580634211*(10000)</f>
        <v>5.72298580634211</v>
      </c>
      <c r="AM680">
        <f>0.000378378599594275*(10000)</f>
        <v>3.78378599594275</v>
      </c>
      <c r="AN680">
        <f>0.000281768698309992*(10000)</f>
        <v>2.8176869830999198</v>
      </c>
      <c r="AO680">
        <f>0.000202634925181655*(10000)</f>
        <v>2.02634925181655</v>
      </c>
      <c r="AP680">
        <f>0.000336328038549215*(10000)</f>
        <v>3.3632803854921498</v>
      </c>
      <c r="AQ680">
        <f>0.000202857436982104*(10000)</f>
        <v>2.0285743698210403</v>
      </c>
      <c r="AR680">
        <f>0.000104937587384767*(10000)</f>
        <v>1.0493758738476699</v>
      </c>
      <c r="AS680">
        <f>0.0000680460443045035*(10000)</f>
        <v>0.68046044304503495</v>
      </c>
      <c r="AT680">
        <f>0.000069244924458679*(10000)</f>
        <v>0.69244924458679002</v>
      </c>
      <c r="AU680">
        <f>0.0000623258397966736*(10000)</f>
        <v>0.6232583979667361</v>
      </c>
      <c r="AV680">
        <f>0.000060838650946117*(10000)</f>
        <v>0.60838650946117001</v>
      </c>
      <c r="AW680">
        <f>0.0000705335404440402*(10000)</f>
        <v>0.70533540444040199</v>
      </c>
      <c r="AX680">
        <f>0.0000532507468720098*(10000)</f>
        <v>0.53250746872009802</v>
      </c>
      <c r="AY680">
        <f>0.0000451353013412842*(10000)</f>
        <v>0.45135301341284201</v>
      </c>
      <c r="AZ680">
        <f>0.0000312883087386057*(10000)</f>
        <v>0.31288308738605702</v>
      </c>
      <c r="BA680">
        <f>0.0000277353760132468*(10000)</f>
        <v>0.27735376013246799</v>
      </c>
      <c r="BB680">
        <f>0.0000238708317111408*(10000)</f>
        <v>0.238708317111408</v>
      </c>
      <c r="BC680">
        <f>0.0000159255649978971*(10000)</f>
        <v>0.15925564997897101</v>
      </c>
      <c r="BD680">
        <f>0.0000122185762346921*(10000)</f>
        <v>0.12218576234692101</v>
      </c>
      <c r="BE680">
        <f>0.0000152606290920398*(10000)</f>
        <v>0.15260629092039799</v>
      </c>
      <c r="BF680">
        <f>9.57780038251966E-06*(10000)</f>
        <v>9.5778003825196606E-2</v>
      </c>
      <c r="BG680">
        <f>8.11068195977697E-06*(10000)</f>
        <v>8.1106819597769692E-2</v>
      </c>
      <c r="BH680">
        <f>4.83802179443303E-06*(10000)</f>
        <v>4.8380217944330298E-2</v>
      </c>
      <c r="BI680">
        <f>3.05792817480796E-06*(10000)</f>
        <v>3.0579281748079602E-2</v>
      </c>
      <c r="BJ680">
        <f>2.12679004069581E-06*(10000)</f>
        <v>2.1267900406958102E-2</v>
      </c>
    </row>
    <row r="681" spans="1:62">
      <c r="A681" t="str">
        <f>VLOOKUP(B681,info!$B$2:$F$49,2,FALSE)</f>
        <v>Honda</v>
      </c>
      <c r="B681" s="34">
        <v>8</v>
      </c>
      <c r="C681" t="s">
        <v>373</v>
      </c>
      <c r="D681" s="34" t="s">
        <v>77</v>
      </c>
      <c r="F681">
        <f>VLOOKUP(B681,info!$B$2:$I$49,8,FALSE)</f>
        <v>8096906</v>
      </c>
      <c r="H681">
        <f>9.01105362927262*(10000)</f>
        <v>90110.536292726203</v>
      </c>
      <c r="I681">
        <f>2.09771683488248*(10000)</f>
        <v>20977.168348824802</v>
      </c>
      <c r="J681">
        <f>0.0517418340898714*(10000)</f>
        <v>517.41834089871406</v>
      </c>
      <c r="K681">
        <f>30.7325920741884*(10000)</f>
        <v>307325.92074188398</v>
      </c>
      <c r="N681">
        <f>0.0303905759342279*(10000)</f>
        <v>303.905759342279</v>
      </c>
      <c r="P681">
        <f>5.51807404524445*(10000)</f>
        <v>55180.740452444501</v>
      </c>
      <c r="R681">
        <f>0.00470806735671949*(10000)</f>
        <v>47.0806735671949</v>
      </c>
      <c r="T681">
        <f>0.00135815637248892*(10000)</f>
        <v>13.5815637248892</v>
      </c>
      <c r="U681">
        <f>0.367349539030884*(10000)</f>
        <v>3673.4953903088403</v>
      </c>
      <c r="W681">
        <f>0.0000436800992091787*(10000)</f>
        <v>0.43680099209178702</v>
      </c>
      <c r="Y681">
        <f>0.00011569181178817*(10000)</f>
        <v>1.1569181178817001</v>
      </c>
      <c r="AA681">
        <f>0.00326436475774797*(10000)</f>
        <v>32.643647577479697</v>
      </c>
      <c r="AB681">
        <f>0.00176365182650953*(10000)</f>
        <v>17.636518265095301</v>
      </c>
      <c r="AF681">
        <f>0.000640836837115406*(10000)</f>
        <v>6.4083683711540598</v>
      </c>
      <c r="AG681">
        <f>0.00177098238260663*(10000)</f>
        <v>17.709823826066298</v>
      </c>
      <c r="AH681">
        <f>0.000288017129329033*(10000)</f>
        <v>2.8801712932903301</v>
      </c>
      <c r="AI681">
        <f>0.0000862532796794591*(10000)</f>
        <v>0.86253279679459105</v>
      </c>
      <c r="AJ681">
        <f>0.0000890272384110358*(10000)</f>
        <v>0.89027238411035803</v>
      </c>
      <c r="AK681">
        <f>0.000224760274969413*(10000)</f>
        <v>2.24760274969413</v>
      </c>
      <c r="AL681">
        <f>0.000165682376899182*(10000)</f>
        <v>1.6568237689918202</v>
      </c>
      <c r="AM681">
        <f>0.000113597804385705*(10000)</f>
        <v>1.1359780438570499</v>
      </c>
      <c r="AN681">
        <f>0.0000592327833130721*(10000)</f>
        <v>0.59232783313072102</v>
      </c>
      <c r="AO681">
        <f>0.0000492286039553968*(10000)</f>
        <v>0.49228603955396799</v>
      </c>
      <c r="AP681">
        <f>0.000034471600330932*(10000)</f>
        <v>0.34471600330932001</v>
      </c>
      <c r="AQ681">
        <f>0.0000422550548415299*(10000)</f>
        <v>0.42255054841529899</v>
      </c>
      <c r="AR681">
        <f>0.000031498425993648*(10000)</f>
        <v>0.31498425993647999</v>
      </c>
      <c r="AS681">
        <f>0.0000182716230076907*(10000)</f>
        <v>0.18271623007690699</v>
      </c>
      <c r="AT681">
        <f>0.0000385800435168205*(10000)</f>
        <v>0.385800435168205</v>
      </c>
      <c r="AU681">
        <f>0.0000181886476306581*(10000)</f>
        <v>0.181886476306581</v>
      </c>
      <c r="AV681">
        <f>9.67632613852773E-06*(10000)</f>
        <v>9.6763261385277285E-2</v>
      </c>
      <c r="AW681">
        <f>0.0000206384314482561*(10000)</f>
        <v>0.206384314482561</v>
      </c>
      <c r="AX681">
        <f>0.000012868930494069*(10000)</f>
        <v>0.12868930494069</v>
      </c>
      <c r="AY681">
        <f>0.0000124577264848555*(10000)</f>
        <v>0.124577264848555</v>
      </c>
      <c r="AZ681">
        <f>8.05835614571402E-06*(10000)</f>
        <v>8.0583561457140199E-2</v>
      </c>
      <c r="BA681">
        <f>5.73835365791313E-06*(10000)</f>
        <v>5.7383536579131304E-2</v>
      </c>
      <c r="BB681">
        <f>2.44603176295089E-06*(10000)</f>
        <v>2.4460317629508899E-2</v>
      </c>
      <c r="BC681">
        <f>0.0000116511709291975*(10000)</f>
        <v>0.116511709291975</v>
      </c>
      <c r="BD681">
        <f>2.52292330416211E-06*(10000)</f>
        <v>2.5229233041621103E-2</v>
      </c>
      <c r="BE681">
        <f>3.81684289991632E-06*(10000)</f>
        <v>3.8168428999163194E-2</v>
      </c>
      <c r="BF681">
        <f>0.0000028733401147559*(10000)</f>
        <v>2.8733401147558998E-2</v>
      </c>
      <c r="BG681">
        <f>7.30435685266464E-06*(10000)</f>
        <v>7.3043568526646396E-2</v>
      </c>
      <c r="BH681">
        <f>1.47244141569701E-06*(10000)</f>
        <v>1.47244141569701E-2</v>
      </c>
      <c r="BI681">
        <f>8.81783521307058E-07*(10000)</f>
        <v>8.8178352130705798E-3</v>
      </c>
      <c r="BJ681">
        <f>3.19233232201535E-07*(10000)</f>
        <v>3.1923323220153497E-3</v>
      </c>
    </row>
    <row r="682" spans="1:62">
      <c r="A682" t="str">
        <f>VLOOKUP(B682,info!$B$2:$F$49,2,FALSE)</f>
        <v>Honda</v>
      </c>
      <c r="B682" s="34">
        <v>9</v>
      </c>
      <c r="C682" t="s">
        <v>373</v>
      </c>
      <c r="D682" s="34" t="s">
        <v>77</v>
      </c>
      <c r="F682">
        <f>VLOOKUP(B682,info!$B$2:$I$49,8,FALSE)</f>
        <v>8096906</v>
      </c>
      <c r="H682">
        <f>8.87561048888305*(10000)</f>
        <v>88756.104888830494</v>
      </c>
      <c r="I682">
        <f>1.98412165938496*(10000)</f>
        <v>19841.2165938496</v>
      </c>
      <c r="J682">
        <f>0.0495854635732166*(10000)</f>
        <v>495.854635732166</v>
      </c>
      <c r="K682">
        <f>30.0469837558326*(10000)</f>
        <v>300469.83755832602</v>
      </c>
      <c r="N682">
        <f>0.0289244211000911*(10000)</f>
        <v>289.24421100091104</v>
      </c>
      <c r="P682">
        <f>5.09717063521919*(10000)</f>
        <v>50971.706352191904</v>
      </c>
      <c r="R682">
        <f>0.00445755986043082*(10000)</f>
        <v>44.575598604308205</v>
      </c>
      <c r="T682">
        <f>0.00129230850065707*(10000)</f>
        <v>12.923085006570702</v>
      </c>
      <c r="U682">
        <f>0.348708746251378*(10000)</f>
        <v>3487.0874625137799</v>
      </c>
      <c r="W682">
        <f>0.0000402703471847744*(10000)</f>
        <v>0.40270347184774397</v>
      </c>
      <c r="Y682">
        <f>0.000134796881624748*(10000)</f>
        <v>1.3479688162474799</v>
      </c>
      <c r="AA682">
        <f>0.00327249308440479*(10000)</f>
        <v>32.724930844047897</v>
      </c>
      <c r="AB682">
        <f>0.00165913559054536*(10000)</f>
        <v>16.5913559054536</v>
      </c>
      <c r="AF682">
        <f>0.00064185623642204*(10000)</f>
        <v>6.4185623642204002</v>
      </c>
      <c r="AG682">
        <f>0.00185330080700449*(10000)</f>
        <v>18.5330080700449</v>
      </c>
      <c r="AH682">
        <f>0.000288076312505519*(10000)</f>
        <v>2.8807631250551897</v>
      </c>
      <c r="AI682">
        <f>0.0000747283760619107*(10000)</f>
        <v>0.74728376061910706</v>
      </c>
      <c r="AJ682">
        <f>0.0000804784809304278*(10000)</f>
        <v>0.80478480930427809</v>
      </c>
      <c r="AK682">
        <f>0.000224760274969413*(10000)</f>
        <v>2.24760274969413</v>
      </c>
      <c r="AL682">
        <f>0.000166377999414279*(10000)</f>
        <v>1.66377999414279</v>
      </c>
      <c r="AM682">
        <f>0.000110860507894483*(10000)</f>
        <v>1.1086050789448301</v>
      </c>
      <c r="AN682">
        <f>0.0000615926551582144*(10000)</f>
        <v>0.61592655158214393</v>
      </c>
      <c r="AO682">
        <f>0.0000458878368721943*(10000)</f>
        <v>0.45887836872194299</v>
      </c>
      <c r="AP682">
        <f>0.0000328658913758273*(10000)</f>
        <v>0.328658913758273</v>
      </c>
      <c r="AQ682">
        <f>0.0000481433941815665*(10000)</f>
        <v>0.48143394181566501</v>
      </c>
      <c r="AR682">
        <f>0.0000310792091927646*(10000)</f>
        <v>0.31079209192764595</v>
      </c>
      <c r="AS682">
        <f>0.000015751399144561*(10000)</f>
        <v>0.15751399144560999</v>
      </c>
      <c r="AT682">
        <f>0.000043981039337548*(10000)</f>
        <v>0.43981039337548</v>
      </c>
      <c r="AU682">
        <f>0.0000201837216506499*(10000)</f>
        <v>0.201837216506499</v>
      </c>
      <c r="AV682">
        <f>0.0000106758450708431*(10000)</f>
        <v>0.106758450708431</v>
      </c>
      <c r="AW682">
        <f>0.0000179168800484861*(10000)</f>
        <v>0.179168800484861</v>
      </c>
      <c r="AX682">
        <f>0.0000144537741509741*(10000)</f>
        <v>0.144537741509741</v>
      </c>
      <c r="AY682">
        <f>0.0000100140955205185*(10000)</f>
        <v>0.100140955205185</v>
      </c>
      <c r="AZ682">
        <f>6.31735327472642E-06*(10000)</f>
        <v>6.3173532747264199E-2</v>
      </c>
      <c r="BA682">
        <f>5.90324887796811E-06*(10000)</f>
        <v>5.9032488779681105E-2</v>
      </c>
      <c r="BB682">
        <f>0.0000035883877123547*(10000)</f>
        <v>3.5883877123547001E-2</v>
      </c>
      <c r="BC682">
        <f>0.0000104102178124781*(10000)</f>
        <v>0.10410217812478099</v>
      </c>
      <c r="BD682">
        <f>3.00697254275135E-06*(10000)</f>
        <v>3.0069725427513499E-2</v>
      </c>
      <c r="BE682">
        <f>3.49030608352305E-06*(10000)</f>
        <v>3.4903060835230502E-2</v>
      </c>
      <c r="BF682">
        <f>2.67900793308159E-06*(10000)</f>
        <v>2.67900793308159E-2</v>
      </c>
      <c r="BG682">
        <f>9.58103950804063E-06*(10000)</f>
        <v>9.5810395080406299E-2</v>
      </c>
      <c r="BH682">
        <f>1.64072043463381E-06*(10000)</f>
        <v>1.6407204346338099E-2</v>
      </c>
      <c r="BI682">
        <f>7.11898622706615E-07*(10000)</f>
        <v>7.1189862270661496E-3</v>
      </c>
      <c r="BJ682">
        <f>3.88048798043356E-07*(10000)</f>
        <v>3.88048798043356E-3</v>
      </c>
    </row>
    <row r="683" spans="1:62">
      <c r="A683" t="str">
        <f>VLOOKUP(B683,info!$B$2:$F$49,2,FALSE)</f>
        <v>Ford</v>
      </c>
      <c r="B683" s="34">
        <v>10</v>
      </c>
      <c r="C683" t="s">
        <v>373</v>
      </c>
      <c r="D683" s="34" t="s">
        <v>77</v>
      </c>
      <c r="F683">
        <f>VLOOKUP(B683,info!$B$2:$I$49,8,FALSE)</f>
        <v>6917835</v>
      </c>
      <c r="H683">
        <f>8.17225828848505*(10000)</f>
        <v>81722.582884850504</v>
      </c>
      <c r="I683">
        <f>2.10695147652911*(10000)</f>
        <v>21069.5147652911</v>
      </c>
      <c r="J683">
        <f>0.404866858238932*(10000)</f>
        <v>4048.6685823893199</v>
      </c>
      <c r="K683">
        <f>28.7039307848342*(10000)</f>
        <v>287039.307848342</v>
      </c>
      <c r="N683">
        <f>0.209164338722531*(10000)</f>
        <v>2091.6433872253101</v>
      </c>
      <c r="P683">
        <f>5.10389459384418*(10000)</f>
        <v>51038.945938441808</v>
      </c>
      <c r="R683">
        <f>0.021315240787151*(10000)</f>
        <v>213.15240787151001</v>
      </c>
      <c r="T683">
        <f>0.002754694659575*(10000)</f>
        <v>27.546946595750001</v>
      </c>
      <c r="U683">
        <f>0.668514896592377*(10000)</f>
        <v>6685.1489659237695</v>
      </c>
      <c r="W683">
        <f>0.000106995666972686*(10000)</f>
        <v>1.0699566697268601</v>
      </c>
      <c r="Y683">
        <f>0.000528573598812006*(10000)</f>
        <v>5.2857359881200603</v>
      </c>
      <c r="AA683">
        <f>0.00852875492954075*(10000)</f>
        <v>85.287549295407501</v>
      </c>
      <c r="AB683">
        <f>0.00201468169005817*(10000)</f>
        <v>20.146816900581697</v>
      </c>
      <c r="AF683">
        <f>0.00727498403475919*(10000)</f>
        <v>72.749840347591899</v>
      </c>
      <c r="AG683">
        <f>0.00293251616579183*(10000)</f>
        <v>29.325161657918301</v>
      </c>
      <c r="AH683">
        <f>0.000655726920462553*(10000)</f>
        <v>6.5572692046255296</v>
      </c>
      <c r="AI683">
        <f>0.000683664216508277*(10000)</f>
        <v>6.83664216508277</v>
      </c>
      <c r="AJ683">
        <f>0.000993179817503943*(10000)</f>
        <v>9.9317981750394306</v>
      </c>
      <c r="AK683">
        <f>0.0019907338640148*(10000)</f>
        <v>19.907338640148001</v>
      </c>
      <c r="AL683">
        <f>0.000347413758968085*(10000)</f>
        <v>3.4741375896808502</v>
      </c>
      <c r="AM683">
        <f>0.000303313507354231*(10000)</f>
        <v>3.0331350735423097</v>
      </c>
      <c r="AN683">
        <f>0.000266075550539796*(10000)</f>
        <v>2.6607555053979599</v>
      </c>
      <c r="AO683">
        <f>0.000319263103374873*(10000)</f>
        <v>3.1926310337487296</v>
      </c>
      <c r="AP683">
        <f>0.000168093090622875*(10000)</f>
        <v>1.6809309062287501</v>
      </c>
      <c r="AQ683">
        <f>0.0000843857081477069*(10000)</f>
        <v>0.84385708147706895</v>
      </c>
      <c r="AR683">
        <f>0.0000740108206650506*(10000)</f>
        <v>0.74010820665050592</v>
      </c>
      <c r="AS683">
        <f>0.0000415836937416411*(10000)</f>
        <v>0.41583693741641098</v>
      </c>
      <c r="AT683">
        <f>0.0000900234875088579*(10000)</f>
        <v>0.90023487508857891</v>
      </c>
      <c r="AU683">
        <f>0.000152898974834034*(10000)</f>
        <v>1.5289897483403401</v>
      </c>
      <c r="AV683">
        <f>0.000111257207637944*(10000)</f>
        <v>1.11257207637944</v>
      </c>
      <c r="AW683">
        <f>0.0000574927733201421*(10000)</f>
        <v>0.57492773320142099</v>
      </c>
      <c r="AX683">
        <f>0.0000525534156629716*(10000)</f>
        <v>0.52553415662971603</v>
      </c>
      <c r="AY683">
        <f>0.0000426437560443131*(10000)</f>
        <v>0.42643756044313097</v>
      </c>
      <c r="AZ683">
        <f>0.0000259658142473007*(10000)</f>
        <v>0.259658142473007</v>
      </c>
      <c r="BA683">
        <f>0.0000249321572723122*(10000)</f>
        <v>0.249321572723122</v>
      </c>
      <c r="BB683">
        <f>0.0000378017591975164*(10000)</f>
        <v>0.37801759197516399</v>
      </c>
      <c r="BC683">
        <f>0.0000324716065541539*(10000)</f>
        <v>0.32471606554153903</v>
      </c>
      <c r="BD683">
        <f>0.0000111037961700623*(10000)</f>
        <v>0.11103796170062301</v>
      </c>
      <c r="BE683">
        <f>0.0000101978491824018*(10000)</f>
        <v>0.101978491824018</v>
      </c>
      <c r="BF683">
        <f>9.43899168132373E-06*(10000)</f>
        <v>9.4389916813237301E-2</v>
      </c>
      <c r="BG683">
        <f>0.0000116205677201483*(10000)</f>
        <v>0.11620567720148299</v>
      </c>
      <c r="BH683">
        <f>4.64870789812913E-06*(10000)</f>
        <v>4.6487078981291299E-2</v>
      </c>
      <c r="BI683">
        <f>2.88804327620752E-06*(10000)</f>
        <v>2.8880432762075203E-2</v>
      </c>
      <c r="BJ683">
        <f>0.0000029890356284106*(10000)</f>
        <v>2.9890356284105999E-2</v>
      </c>
    </row>
    <row r="684" spans="1:62">
      <c r="A684" t="str">
        <f>VLOOKUP(B684,info!$B$2:$F$49,2,FALSE)</f>
        <v>Honda</v>
      </c>
      <c r="B684" s="34">
        <v>11</v>
      </c>
      <c r="C684" t="s">
        <v>373</v>
      </c>
      <c r="D684" s="34" t="s">
        <v>77</v>
      </c>
      <c r="F684">
        <f>VLOOKUP(B684,info!$B$2:$I$49,8,FALSE)</f>
        <v>8096906</v>
      </c>
      <c r="H684">
        <f>8.58662478097162*(10000)</f>
        <v>85866.247809716209</v>
      </c>
      <c r="I684">
        <f>2.0891247365823*(10000)</f>
        <v>20891.247365823001</v>
      </c>
      <c r="J684">
        <f>0.0517197174692528*(10000)</f>
        <v>517.19717469252805</v>
      </c>
      <c r="K684">
        <f>29.9441187605451*(10000)</f>
        <v>299441.18760545098</v>
      </c>
      <c r="N684">
        <f>0.030321199522518*(10000)</f>
        <v>303.21199522518003</v>
      </c>
      <c r="P684">
        <f>5.53635993272461*(10000)</f>
        <v>55363.599327246098</v>
      </c>
      <c r="R684">
        <f>0.00454597427088565*(10000)</f>
        <v>45.459742708856503</v>
      </c>
      <c r="T684">
        <f>0.00152700158395079*(10000)</f>
        <v>15.270015839507899</v>
      </c>
      <c r="U684">
        <f>0.364911051522528*(10000)</f>
        <v>3649.1105152252799</v>
      </c>
      <c r="W684">
        <f>0.0000526160010662382*(10000)</f>
        <v>0.52616001066238205</v>
      </c>
      <c r="Y684">
        <f>0.00011569181178817*(10000)</f>
        <v>1.1569181178817001</v>
      </c>
      <c r="AA684">
        <f>0.00317476316740808*(10000)</f>
        <v>31.7476316740808</v>
      </c>
      <c r="AB684">
        <f>0.00192472136823513*(10000)</f>
        <v>19.247213682351301</v>
      </c>
      <c r="AF684">
        <f>0.000633662053407436*(10000)</f>
        <v>6.3366205340743607</v>
      </c>
      <c r="AG684">
        <f>0.00207987266696482*(10000)</f>
        <v>20.7987266696482</v>
      </c>
      <c r="AH684">
        <f>0.000274661737608098*(10000)</f>
        <v>2.7466173760809802</v>
      </c>
      <c r="AI684">
        <f>0.0000854627360032928*(10000)</f>
        <v>0.85462736003292805</v>
      </c>
      <c r="AJ684">
        <f>0.0000842013794097424*(10000)</f>
        <v>0.84201379409742394</v>
      </c>
      <c r="AK684">
        <f>0.000128434442839664*(10000)</f>
        <v>1.2843444283966399</v>
      </c>
      <c r="AL684">
        <f>0.000169781581005999*(10000)</f>
        <v>1.6978158100599898</v>
      </c>
      <c r="AM684">
        <f>0.000102859179689373*(10000)</f>
        <v>1.0285917968937299</v>
      </c>
      <c r="AN684">
        <f>0.0000574038826330868*(10000)</f>
        <v>0.574038826330868</v>
      </c>
      <c r="AO684">
        <f>0.0000472073978195719*(10000)</f>
        <v>0.472073978195719</v>
      </c>
      <c r="AP684">
        <f>0.0000303319718523674*(10000)</f>
        <v>0.30331971852367401</v>
      </c>
      <c r="AQ684">
        <f>0.0000500923515687617*(10000)</f>
        <v>0.50092351568761695</v>
      </c>
      <c r="AR684">
        <f>0.0000282971340596293*(10000)</f>
        <v>0.28297134059629298</v>
      </c>
      <c r="AS684">
        <f>0.000021421902836603*(10000)</f>
        <v>0.21421902836603002</v>
      </c>
      <c r="AT684">
        <f>0.0000465797990323932*(10000)</f>
        <v>0.46579799032393199</v>
      </c>
      <c r="AU684">
        <f>0.0000199699688778005*(10000)</f>
        <v>0.19969968877800501</v>
      </c>
      <c r="AV684">
        <f>0.0000105185765665151*(10000)</f>
        <v>0.105185765665151</v>
      </c>
      <c r="AW684">
        <f>0.0000183704719484478*(10000)</f>
        <v>0.183704719484478</v>
      </c>
      <c r="AX684">
        <f>0.0000157216490764981*(10000)</f>
        <v>0.15721649076498098</v>
      </c>
      <c r="AY684">
        <f>0.0000122660691543193*(10000)</f>
        <v>0.12266069154319301</v>
      </c>
      <c r="AZ684">
        <f>8.35681378074047E-06*(10000)</f>
        <v>8.3568137807404685E-2</v>
      </c>
      <c r="BA684">
        <f>6.76070402225398E-06*(10000)</f>
        <v>6.7607040222539799E-2</v>
      </c>
      <c r="BB684">
        <f>2.12725491771857E-06*(10000)</f>
        <v>2.1272549177185702E-2</v>
      </c>
      <c r="BC684">
        <f>9.65185757448309E-06*(10000)</f>
        <v>9.6518575744830901E-2</v>
      </c>
      <c r="BD684">
        <f>2.86029095530006E-06*(10000)</f>
        <v>2.8602909553000599E-2</v>
      </c>
      <c r="BE684">
        <f>3.81096129684664E-06*(10000)</f>
        <v>3.8109612968466398E-2</v>
      </c>
      <c r="BF684">
        <f>1.84615572590596E-06*(10000)</f>
        <v>1.84615572590596E-2</v>
      </c>
      <c r="BG684">
        <f>9.77076306265529E-06*(10000)</f>
        <v>9.7707630626552897E-2</v>
      </c>
      <c r="BH684">
        <f>8.41395094684006E-07*(10000)</f>
        <v>8.4139509468400594E-3</v>
      </c>
      <c r="BI684">
        <f>7.03808865630404E-07*(10000)</f>
        <v>7.0380886563040394E-3</v>
      </c>
      <c r="BJ684">
        <f>3.1638144687003E-07*(10000)</f>
        <v>3.1638144687003E-3</v>
      </c>
    </row>
    <row r="685" spans="1:62">
      <c r="A685" t="str">
        <f>VLOOKUP(B685,info!$B$2:$F$49,2,FALSE)</f>
        <v>Daewoo</v>
      </c>
      <c r="B685" s="34">
        <v>12</v>
      </c>
      <c r="C685" t="s">
        <v>373</v>
      </c>
      <c r="D685" s="34" t="s">
        <v>77</v>
      </c>
      <c r="F685">
        <f>VLOOKUP(B685,info!$B$2:$I$49,8,FALSE)</f>
        <v>8501017</v>
      </c>
      <c r="H685">
        <f>8.26190502727175*(10000)</f>
        <v>82619.050272717504</v>
      </c>
      <c r="I685">
        <f>2.05769778543262*(10000)</f>
        <v>20576.9778543262</v>
      </c>
      <c r="J685">
        <f>0.542929862858446*(10000)</f>
        <v>5429.2986285844599</v>
      </c>
      <c r="K685">
        <f>29.5189532105265*(10000)</f>
        <v>295189.53210526501</v>
      </c>
      <c r="N685">
        <f>0.395340564640286*(10000)</f>
        <v>3953.4056464028599</v>
      </c>
      <c r="P685">
        <f>5.09503864833809*(10000)</f>
        <v>50950.386483380898</v>
      </c>
      <c r="R685">
        <f>0.0187143835462716*(10000)</f>
        <v>187.143835462716</v>
      </c>
      <c r="T685">
        <f>0.00251982551245286*(10000)</f>
        <v>25.1982551245286</v>
      </c>
      <c r="U685">
        <f>0.359414685652405*(10000)</f>
        <v>3594.1468565240498</v>
      </c>
      <c r="W685">
        <f>0.0000985300757396815*(10000)</f>
        <v>0.985300757396815</v>
      </c>
      <c r="Y685">
        <f>0.000205910197127569*(10000)</f>
        <v>2.0591019712756902</v>
      </c>
      <c r="AA685">
        <f>0.00515156716490746*(10000)</f>
        <v>51.515671649074605</v>
      </c>
      <c r="AB685">
        <f>0.00118571044864374*(10000)</f>
        <v>11.8571044864374</v>
      </c>
      <c r="AF685">
        <f>0.0102635237001093*(10000)</f>
        <v>102.635237001093</v>
      </c>
      <c r="AG685">
        <f>0.00646152142356983*(10000)</f>
        <v>64.615214235698303</v>
      </c>
      <c r="AH685">
        <f>0.000558368542877018*(10000)</f>
        <v>5.5836854287701803</v>
      </c>
      <c r="AI685">
        <f>0.00148685091463904*(10000)</f>
        <v>14.8685091463904</v>
      </c>
      <c r="AJ685">
        <f>0.00140028983208691*(10000)</f>
        <v>14.0028983208691</v>
      </c>
      <c r="AK685">
        <f>0.000481629160648742*(10000)</f>
        <v>4.8162916064874199</v>
      </c>
      <c r="AL685">
        <f>0.000313527005018396*(10000)</f>
        <v>3.1352700501839599</v>
      </c>
      <c r="AM685">
        <f>0.000217615071052133*(10000)</f>
        <v>2.17615071052133</v>
      </c>
      <c r="AN685">
        <f>0.000192506545767484*(10000)</f>
        <v>1.9250654576748401</v>
      </c>
      <c r="AO685">
        <f>0.000294140304995184*(10000)</f>
        <v>2.9414030499518398</v>
      </c>
      <c r="AP685">
        <f>0.000203627616042203*(10000)</f>
        <v>2.0362761604220299</v>
      </c>
      <c r="AQ685">
        <f>0.000168688481938512*(10000)</f>
        <v>1.68688481938512</v>
      </c>
      <c r="AR685">
        <f>0.0000573755357936322*(10000)</f>
        <v>0.57375535793632193</v>
      </c>
      <c r="AS685">
        <f>0.000199727741153033*(10000)</f>
        <v>1.99727741153033</v>
      </c>
      <c r="AT685">
        <f>0.0000681549703539224*(10000)</f>
        <v>0.68154970353922406</v>
      </c>
      <c r="AU685">
        <f>0.0000455260275620811*(10000)</f>
        <v>0.45526027562081101</v>
      </c>
      <c r="AV685">
        <f>0.0000867564233626113*(10000)</f>
        <v>0.86756423362611301</v>
      </c>
      <c r="AW685">
        <f>0.0000433180264463398*(10000)</f>
        <v>0.43318026446339802</v>
      </c>
      <c r="AX685">
        <f>0.0000367683728401973*(10000)</f>
        <v>0.367683728401973</v>
      </c>
      <c r="AY685">
        <f>0.0000330129751848671*(10000)</f>
        <v>0.33012975184867099</v>
      </c>
      <c r="AZ685">
        <f>0.0000224838085053255*(10000)</f>
        <v>0.224838085053255</v>
      </c>
      <c r="BA685">
        <f>0.000019655510230553*(10000)</f>
        <v>0.19655510230553</v>
      </c>
      <c r="BB685">
        <f>0.0000237683406242289*(10000)</f>
        <v>0.23768340624228901</v>
      </c>
      <c r="BC685">
        <f>0.0000105481014921137*(10000)</f>
        <v>0.105481014921137</v>
      </c>
      <c r="BD685">
        <f>8.17016442103659E-06*(10000)</f>
        <v>8.1701644210365895E-2</v>
      </c>
      <c r="BE685">
        <f>0.0000097971230292775*(10000)</f>
        <v>9.7971230292775005E-2</v>
      </c>
      <c r="BF685">
        <f>7.45402725422183E-06*(10000)</f>
        <v>7.4540272542218303E-2</v>
      </c>
      <c r="BG685">
        <f>6.11858463632298E-06*(10000)</f>
        <v>6.1185846363229802E-2</v>
      </c>
      <c r="BH685">
        <f>3.40765013347022E-06*(10000)</f>
        <v>3.4076501334702199E-2</v>
      </c>
      <c r="BI685">
        <f>2.55636323608285E-06*(10000)</f>
        <v>2.5563632360828498E-2</v>
      </c>
      <c r="BJ685">
        <f>1.35979123737779E-06*(10000)</f>
        <v>1.3597912373777899E-2</v>
      </c>
    </row>
    <row r="686" spans="1:62">
      <c r="A686" t="str">
        <f>VLOOKUP(B686,info!$B$2:$F$49,2,FALSE)</f>
        <v>Hyundai</v>
      </c>
      <c r="B686" s="34">
        <v>13</v>
      </c>
      <c r="C686" t="s">
        <v>373</v>
      </c>
      <c r="D686" s="34" t="s">
        <v>77</v>
      </c>
      <c r="F686">
        <f>VLOOKUP(B686,info!$B$2:$I$49,8,FALSE)</f>
        <v>9540217</v>
      </c>
      <c r="H686">
        <f>8.66727172949732*(10000)</f>
        <v>86672.717294973205</v>
      </c>
      <c r="I686">
        <f>2.09619278624161*(10000)</f>
        <v>20961.927862416098</v>
      </c>
      <c r="J686">
        <f>0.516212985073603*(10000)</f>
        <v>5162.1298507360307</v>
      </c>
      <c r="K686">
        <f>29.5259959619296*(10000)</f>
        <v>295259.95961929602</v>
      </c>
      <c r="N686">
        <f>0.256980874220083*(10000)</f>
        <v>2569.8087422008298</v>
      </c>
      <c r="P686">
        <f>5.98358518078183*(10000)</f>
        <v>59835.851807818304</v>
      </c>
      <c r="R686">
        <f>0.0231719434067023*(10000)</f>
        <v>231.719434067023</v>
      </c>
      <c r="T686">
        <f>0.00749820632506584*(10000)</f>
        <v>74.982063250658399</v>
      </c>
      <c r="U686">
        <f>0.34927402033212*(10000)</f>
        <v>3492.7402033212002</v>
      </c>
      <c r="W686">
        <f>0.000207465774036598*(10000)</f>
        <v>2.0746577403659798</v>
      </c>
      <c r="Y686">
        <f>0.000113038329866423*(10000)</f>
        <v>1.1303832986642302</v>
      </c>
      <c r="AA686">
        <f>0.00455115632338546*(10000)</f>
        <v>45.511563233854595</v>
      </c>
      <c r="AB686">
        <f>0.00160950230953955*(10000)</f>
        <v>16.095023095395501</v>
      </c>
      <c r="AF686">
        <f>0.00422527075650627*(10000)</f>
        <v>42.2527075650627</v>
      </c>
      <c r="AG686">
        <f>0.00698077681946925*(10000)</f>
        <v>69.8077681946925</v>
      </c>
      <c r="AH686">
        <f>0.00102334232601596*(10000)</f>
        <v>10.233423260159601</v>
      </c>
      <c r="AI686">
        <f>0.000972475327475551*(10000)</f>
        <v>9.7247532747555105</v>
      </c>
      <c r="AJ686">
        <f>0.00060992796500683*(10000)</f>
        <v>6.0992796500682998</v>
      </c>
      <c r="AK686">
        <f>0.000834823878457819*(10000)</f>
        <v>8.3482387845781894</v>
      </c>
      <c r="AL686">
        <f>0.000589291644931564*(10000)</f>
        <v>5.8929164493156403</v>
      </c>
      <c r="AM686">
        <f>0.000368482219972165*(10000)</f>
        <v>3.6848221997216499</v>
      </c>
      <c r="AN686">
        <f>0.000260411858111454*(10000)</f>
        <v>2.6041185811145402</v>
      </c>
      <c r="AO686">
        <f>0.0001989583256103*(10000)</f>
        <v>1.989583256103</v>
      </c>
      <c r="AP686">
        <f>0.000315147849444694*(10000)</f>
        <v>3.1514784944469398</v>
      </c>
      <c r="AQ686">
        <f>0.000182289716470427*(10000)</f>
        <v>1.82289716470427</v>
      </c>
      <c r="AR686">
        <f>0.0000916369816112844*(10000)</f>
        <v>0.91636981611284407</v>
      </c>
      <c r="AS686">
        <f>0.0000510345332283776*(10000)</f>
        <v>0.51034533228377599</v>
      </c>
      <c r="AT686">
        <f>0.00007922951393872*(10000)</f>
        <v>0.79229513938719998</v>
      </c>
      <c r="AU686">
        <f>0.000060389979668759*(10000)</f>
        <v>0.60389979668758997</v>
      </c>
      <c r="AV686">
        <f>0.0000638704623458052*(10000)</f>
        <v>0.63870462345805201</v>
      </c>
      <c r="AW686">
        <f>0.0000586267530700462*(10000)</f>
        <v>0.586267530700462</v>
      </c>
      <c r="AX686">
        <f>0.0000495739095879901*(10000)</f>
        <v>0.495739095879901</v>
      </c>
      <c r="AY686">
        <f>0.0000419729553874362*(10000)</f>
        <v>0.419729553874362</v>
      </c>
      <c r="AZ686">
        <f>0.0000291991052934206*(10000)</f>
        <v>0.29199105293420596</v>
      </c>
      <c r="BA686">
        <f>0.0000247342830082463*(10000)</f>
        <v>0.24734283008246302</v>
      </c>
      <c r="BB686">
        <f>0.0000235705563835724*(10000)</f>
        <v>0.235705563835724</v>
      </c>
      <c r="BC686">
        <f>0.0000183385293915178*(10000)</f>
        <v>0.18338529391517802</v>
      </c>
      <c r="BD686">
        <f>0.0000106930877251987*(10000)</f>
        <v>0.10693087725198699</v>
      </c>
      <c r="BE686">
        <f>0.0000157320178569828*(10000)</f>
        <v>0.157320178569828</v>
      </c>
      <c r="BF686">
        <f>8.56449686378932E-06*(10000)</f>
        <v>8.5644968637893198E-2</v>
      </c>
      <c r="BG686">
        <f>7.87352751650864E-06*(10000)</f>
        <v>7.8735275165086396E-2</v>
      </c>
      <c r="BH686">
        <f>5.34285885124344E-06*(10000)</f>
        <v>5.34285885124344E-2</v>
      </c>
      <c r="BI686">
        <f>3.17118477387492E-06*(10000)</f>
        <v>3.1711847738749202E-2</v>
      </c>
      <c r="BJ686">
        <f>0.0000019063677196578*(10000)</f>
        <v>1.9063677196578001E-2</v>
      </c>
    </row>
    <row r="687" spans="1:62">
      <c r="A687" t="str">
        <f>VLOOKUP(B687,info!$B$2:$F$49,2,FALSE)</f>
        <v>Peugeot</v>
      </c>
      <c r="B687" s="34">
        <v>14</v>
      </c>
      <c r="C687" t="s">
        <v>373</v>
      </c>
      <c r="D687" s="34" t="s">
        <v>77</v>
      </c>
      <c r="F687">
        <f>VLOOKUP(B687,info!$B$2:$I$49,8,FALSE)</f>
        <v>9367324</v>
      </c>
      <c r="H687">
        <f>8.65207091326697*(10000)</f>
        <v>86520.709132669697</v>
      </c>
      <c r="I687">
        <f>1.98755848265928*(10000)</f>
        <v>19875.5848265928</v>
      </c>
      <c r="J687">
        <f>0.497369624251086*(10000)</f>
        <v>4973.6962425108595</v>
      </c>
      <c r="K687">
        <f>28.7955378284944*(10000)</f>
        <v>287955.37828494399</v>
      </c>
      <c r="N687">
        <f>0.249788852872819*(10000)</f>
        <v>2497.8885287281901</v>
      </c>
      <c r="P687">
        <f>5.72094079693011*(10000)</f>
        <v>57209.407969301101</v>
      </c>
      <c r="R687">
        <f>0.0211126244298587*(10000)</f>
        <v>211.12624429858701</v>
      </c>
      <c r="T687">
        <f>0.00609779463375435*(10000)</f>
        <v>60.9779463375435</v>
      </c>
      <c r="U687">
        <f>0.343656398244354*(10000)</f>
        <v>3436.5639824435402</v>
      </c>
      <c r="W687">
        <f>0.000107524766424748*(10000)</f>
        <v>1.07524766424748</v>
      </c>
      <c r="Y687">
        <f>0.000120998775631664*(10000)</f>
        <v>1.2099877563166399</v>
      </c>
      <c r="AA687">
        <f>0.00423718749424423*(10000)</f>
        <v>42.371874942442297</v>
      </c>
      <c r="AB687">
        <f>0.00145559141411286*(10000)</f>
        <v>14.555914141128598</v>
      </c>
      <c r="AF687">
        <f>0.00429856108191101*(10000)</f>
        <v>42.9856108191101</v>
      </c>
      <c r="AG687">
        <f>0.00666875270986603*(10000)</f>
        <v>66.687527098660297</v>
      </c>
      <c r="AH687">
        <f>0.00111560619847259*(10000)</f>
        <v>11.1560619847259</v>
      </c>
      <c r="AI687">
        <f>0.000987307317086887*(10000)</f>
        <v>9.873073170868869</v>
      </c>
      <c r="AJ687">
        <f>0.000626798814298731*(10000)</f>
        <v>6.2679881429873099</v>
      </c>
      <c r="AK687">
        <f>0.00112380137484706*(10000)</f>
        <v>11.238013748470602</v>
      </c>
      <c r="AL687">
        <f>0.00057597544249972*(10000)</f>
        <v>5.7597544249972001</v>
      </c>
      <c r="AM687">
        <f>0.000386274647165107*(10000)</f>
        <v>3.8627464716510702</v>
      </c>
      <c r="AN687">
        <f>0.00028347960539772*(10000)</f>
        <v>2.8347960539772004</v>
      </c>
      <c r="AO687">
        <f>0.000165343400251382*(10000)</f>
        <v>1.6534340025138201</v>
      </c>
      <c r="AP687">
        <f>0.00030431196986895*(10000)</f>
        <v>3.0431196986894999</v>
      </c>
      <c r="AQ687">
        <f>0.000179262612443507*(10000)</f>
        <v>1.7926261244350701</v>
      </c>
      <c r="AR687">
        <f>0.000102860558689481*(10000)</f>
        <v>1.0286055868948101</v>
      </c>
      <c r="AS687">
        <f>0.0000611154286808966*(10000)</f>
        <v>0.61115428680896589</v>
      </c>
      <c r="AT687">
        <f>0.0000640197016193138*(10000)</f>
        <v>0.64019701619313807</v>
      </c>
      <c r="AU687">
        <f>0.000054325526027394*(10000)</f>
        <v>0.54325526027394</v>
      </c>
      <c r="AV687">
        <f>0.000072877975767214*(10000)</f>
        <v>0.72877975767214009</v>
      </c>
      <c r="AW687">
        <f>0.0000599875287699313*(10000)</f>
        <v>0.59987528769931298</v>
      </c>
      <c r="AX687">
        <f>0.0000564838279320962*(10000)</f>
        <v>0.56483827932096198</v>
      </c>
      <c r="AY687">
        <f>0.0000455186160023566*(10000)</f>
        <v>0.45518616002356599</v>
      </c>
      <c r="AZ687">
        <f>0.00003148728049529*(10000)</f>
        <v>0.31487280495289999</v>
      </c>
      <c r="BA687">
        <f>0.0000255917381525321*(10000)</f>
        <v>0.25591738152532101</v>
      </c>
      <c r="BB687">
        <f>0.000024007337334141*(10000)</f>
        <v>0.24007337334140999</v>
      </c>
      <c r="BC687">
        <f>0.0000119958801282862*(10000)</f>
        <v>0.11995880128286199</v>
      </c>
      <c r="BD687">
        <f>0.0000124092622983787*(10000)</f>
        <v>0.124092622983787</v>
      </c>
      <c r="BE687">
        <f>0.0000154850726434831*(10000)</f>
        <v>0.154850726434831</v>
      </c>
      <c r="BF687">
        <f>8.75882904546364E-06*(10000)</f>
        <v>8.7588290454636411E-2</v>
      </c>
      <c r="BG687">
        <f>0.0000103399337264993*(10000)</f>
        <v>0.10339933726499299</v>
      </c>
      <c r="BH687">
        <f>5.40596348334474E-06*(10000)</f>
        <v>5.4059634833447404E-2</v>
      </c>
      <c r="BI687">
        <f>3.26017210171325E-06*(10000)</f>
        <v>3.2601721017132504E-2</v>
      </c>
      <c r="BJ687">
        <f>0.0000020678765641189*(10000)</f>
        <v>2.0678765641188999E-2</v>
      </c>
    </row>
    <row r="688" spans="1:62">
      <c r="A688" t="str">
        <f>VLOOKUP(B688,info!$B$2:$F$49,2,FALSE)</f>
        <v>Ford</v>
      </c>
      <c r="B688" s="34">
        <v>15</v>
      </c>
      <c r="C688" t="s">
        <v>373</v>
      </c>
      <c r="D688" s="34" t="s">
        <v>77</v>
      </c>
      <c r="F688">
        <f>VLOOKUP(B688,info!$B$2:$I$49,8,FALSE)</f>
        <v>6917835</v>
      </c>
      <c r="H688">
        <f>8.57377139689243*(10000)</f>
        <v>85737.713968924305</v>
      </c>
      <c r="I688">
        <f>2.23591251084295*(10000)</f>
        <v>22359.1251084295</v>
      </c>
      <c r="J688">
        <f>0.425910822821408*(10000)</f>
        <v>4259.1082282140806</v>
      </c>
      <c r="K688">
        <f>30.1655488474929*(10000)</f>
        <v>301655.48847492901</v>
      </c>
      <c r="N688">
        <f>0.210951937597591*(10000)</f>
        <v>2109.51937597591</v>
      </c>
      <c r="P688">
        <f>5.39769878595805*(10000)</f>
        <v>53976.987859580498</v>
      </c>
      <c r="R688">
        <f>0.0222877993021541*(10000)</f>
        <v>222.87799302154102</v>
      </c>
      <c r="T688">
        <f>0.00287846753095946*(10000)</f>
        <v>28.784675309594601</v>
      </c>
      <c r="U688">
        <f>0.699437606030722*(10000)</f>
        <v>6994.3760603072205</v>
      </c>
      <c r="W688">
        <f>0.000111698773213243*(10000)</f>
        <v>1.11698773213243</v>
      </c>
      <c r="Y688">
        <f>0.000539718222883344*(10000)</f>
        <v>5.3971822288334392</v>
      </c>
      <c r="AA688">
        <f>0.00875203832283122*(10000)</f>
        <v>87.520383228312198</v>
      </c>
      <c r="AB688">
        <f>0.00203615762895492*(10000)</f>
        <v>20.361576289549202</v>
      </c>
      <c r="AF688">
        <f>0.00735120651238124*(10000)</f>
        <v>73.512065123812391</v>
      </c>
      <c r="AG688">
        <f>0.00276858701504325*(10000)</f>
        <v>27.6858701504325</v>
      </c>
      <c r="AH688">
        <f>0.000682882207869636*(10000)</f>
        <v>6.8288220786963603</v>
      </c>
      <c r="AI688">
        <f>0.00065109731698523*(10000)</f>
        <v>6.5109731698522992</v>
      </c>
      <c r="AJ688">
        <f>0.000975469434733888*(10000)</f>
        <v>9.7546943473388801</v>
      </c>
      <c r="AK688">
        <f>0.00234392858182388*(10000)</f>
        <v>23.439285818238801</v>
      </c>
      <c r="AL688">
        <f>0.00035879215582216*(10000)</f>
        <v>3.5879215582216002</v>
      </c>
      <c r="AM688">
        <f>0.000301102614034398*(10000)</f>
        <v>3.0110261403439802</v>
      </c>
      <c r="AN688">
        <f>0.000283302615009335*(10000)</f>
        <v>2.83302615009335</v>
      </c>
      <c r="AO688">
        <f>0.000317489589544792*(10000)</f>
        <v>3.1748958954479201</v>
      </c>
      <c r="AP688">
        <f>0.000181037303143366*(10000)</f>
        <v>1.8103730314336601</v>
      </c>
      <c r="AQ688">
        <f>0.0000797828513396502*(10000)</f>
        <v>0.79782851339650196</v>
      </c>
      <c r="AR688">
        <f>0.0000779362143460497*(10000)</f>
        <v>0.77936214346049704</v>
      </c>
      <c r="AS688">
        <f>0.0000466241414679005*(10000)</f>
        <v>0.46624141467900498</v>
      </c>
      <c r="AT688">
        <f>0.000073633863122625*(10000)</f>
        <v>0.73633863122624998</v>
      </c>
      <c r="AU688">
        <f>0.000165761118591971*(10000)</f>
        <v>1.6576111859197098</v>
      </c>
      <c r="AV688">
        <f>0.000113595411302387*(10000)</f>
        <v>1.1359541130238699</v>
      </c>
      <c r="AW688">
        <f>0.0000571525793951708*(10000)</f>
        <v>0.57152579395170799</v>
      </c>
      <c r="AX688">
        <f>0.0000495739095879901*(10000)</f>
        <v>0.495739095879901</v>
      </c>
      <c r="AY688">
        <f>0.0000472435319771828*(10000)</f>
        <v>0.47243531977182801</v>
      </c>
      <c r="AZ688">
        <f>0.0000287016759017098*(10000)</f>
        <v>0.287016759017098</v>
      </c>
      <c r="BA688">
        <f>0.0000246683249202243*(10000)</f>
        <v>0.24668324920224299</v>
      </c>
      <c r="BB688">
        <f>0.0000376463702301674*(10000)</f>
        <v>0.37646370230167397</v>
      </c>
      <c r="BC688">
        <f>0.0000150293210802665*(10000)</f>
        <v>0.150293210802665</v>
      </c>
      <c r="BD688">
        <f>0.0000124092622983787*(10000)</f>
        <v>0.124092622983787</v>
      </c>
      <c r="BE688">
        <f>8.67641162616347E-06*(10000)</f>
        <v>8.6764116261634702E-2</v>
      </c>
      <c r="BF688">
        <f>9.09196992833388E-06*(10000)</f>
        <v>9.0919699283338803E-2</v>
      </c>
      <c r="BG688">
        <f>0.0000128063399364899*(10000)</f>
        <v>0.12806339936489899</v>
      </c>
      <c r="BH688">
        <f>4.27008010552133E-06*(10000)</f>
        <v>4.2700801055213303E-2</v>
      </c>
      <c r="BI688">
        <f>3.45432627154233E-06*(10000)</f>
        <v>3.4543262715423302E-2</v>
      </c>
      <c r="BJ688">
        <f>3.02201545112602E-06*(10000)</f>
        <v>3.02201545112602E-2</v>
      </c>
    </row>
    <row r="689" spans="1:62">
      <c r="A689" t="str">
        <f>VLOOKUP(B689,info!$B$2:$F$49,2,FALSE)</f>
        <v>Hyundai</v>
      </c>
      <c r="B689" s="34">
        <v>16</v>
      </c>
      <c r="C689" t="s">
        <v>373</v>
      </c>
      <c r="D689" s="34" t="s">
        <v>77</v>
      </c>
      <c r="F689">
        <f>VLOOKUP(B689,info!$B$2:$I$49,8,FALSE)</f>
        <v>6316720</v>
      </c>
      <c r="H689">
        <f>8.40248150581224*(10000)</f>
        <v>84024.815058122404</v>
      </c>
      <c r="I689">
        <f>1.99106011237493*(10000)</f>
        <v>19910.6011237493</v>
      </c>
      <c r="J689">
        <f>0.480107601807656*(10000)</f>
        <v>4801.0760180765601</v>
      </c>
      <c r="K689">
        <f>28.3195851557865*(10000)</f>
        <v>283195.85155786498</v>
      </c>
      <c r="N689">
        <f>0.244210989371339*(10000)</f>
        <v>2442.1098937133902</v>
      </c>
      <c r="P689">
        <f>5.8087622565321*(10000)</f>
        <v>58087.622565320999</v>
      </c>
      <c r="R689">
        <f>0.0205747700995919*(10000)</f>
        <v>205.74770099591899</v>
      </c>
      <c r="T689">
        <f>0.00675838611801393*(10000)</f>
        <v>67.583861180139294</v>
      </c>
      <c r="U689">
        <f>0.312752576009523*(10000)</f>
        <v>3127.52576009523</v>
      </c>
      <c r="W689">
        <f>0.000102468927216149*(10000)</f>
        <v>1.02468927216149</v>
      </c>
      <c r="Y689">
        <f>0.000110384847944676*(10000)</f>
        <v>1.10384847944676</v>
      </c>
      <c r="AA689">
        <f>0.00394950036489011*(10000)</f>
        <v>39.495003648901104</v>
      </c>
      <c r="AB689">
        <f>0.00162095614361781*(10000)</f>
        <v>16.209561436178099</v>
      </c>
      <c r="AF689">
        <f>0.00387621093204981*(10000)</f>
        <v>38.762109320498098</v>
      </c>
      <c r="AG689">
        <f>0.00595852246384368*(10000)</f>
        <v>59.585224638436806</v>
      </c>
      <c r="AH689">
        <f>0.00100750455747913*(10000)</f>
        <v>10.075045574791298</v>
      </c>
      <c r="AI689">
        <f>0.000908243249461265*(10000)</f>
        <v>9.0824324946126502</v>
      </c>
      <c r="AJ689">
        <f>0.000556126378584102*(10000)</f>
        <v>5.5612637858410201</v>
      </c>
      <c r="AK689">
        <f>0.00073849804632807*(10000)</f>
        <v>7.3849804632807006</v>
      </c>
      <c r="AL689">
        <f>0.00053341825077258*(10000)</f>
        <v>5.3341825077258003</v>
      </c>
      <c r="AM689">
        <f>0.000376483548177275*(10000)</f>
        <v>3.7648354817727498</v>
      </c>
      <c r="AN689">
        <f>0.000527018379816407*(10000)</f>
        <v>5.2701837981640702</v>
      </c>
      <c r="AO689">
        <f>0.000146345973895866*(10000)</f>
        <v>1.4634597389586601</v>
      </c>
      <c r="AP689">
        <f>0.000316127458206316*(10000)</f>
        <v>3.16127458206316</v>
      </c>
      <c r="AQ689">
        <f>0.000171135045467119*(10000)</f>
        <v>1.71135045467119</v>
      </c>
      <c r="AR689">
        <f>0.0000979633442427975*(10000)</f>
        <v>0.97963344242797501</v>
      </c>
      <c r="AS689">
        <f>0.0000592252607835493*(10000)</f>
        <v>0.59225260783549294</v>
      </c>
      <c r="AT689">
        <f>0.0000720649142256554*(10000)</f>
        <v>0.72064914225655408</v>
      </c>
      <c r="AU689">
        <f>0.0000550516046192935*(10000)</f>
        <v>0.55051604619293504</v>
      </c>
      <c r="AV689">
        <f>0.0000601668166825094*(10000)</f>
        <v>0.60166816682509394</v>
      </c>
      <c r="AW689">
        <f>0.0000630492740946725*(10000)</f>
        <v>0.63049274094672492</v>
      </c>
      <c r="AX689">
        <f>0.0000658661023809741*(10000)</f>
        <v>0.65866102380974101</v>
      </c>
      <c r="AY689">
        <f>0.0000918038613268582*(10000)</f>
        <v>0.91803861326858205</v>
      </c>
      <c r="AZ689">
        <f>0.0000534736596089048*(10000)</f>
        <v>0.534736596089048</v>
      </c>
      <c r="BA689">
        <f>0.0000547122340142407*(10000)</f>
        <v>0.54712234014240702</v>
      </c>
      <c r="BB689">
        <f>0.000022212004119772*(10000)</f>
        <v>0.22212004119772003</v>
      </c>
      <c r="BC689">
        <f>0.0000124095311671925*(10000)</f>
        <v>0.124095311671925</v>
      </c>
      <c r="BD689">
        <f>0.0000237477490083631*(10000)</f>
        <v>0.23747749008363098</v>
      </c>
      <c r="BE689">
        <f>0.0000161065101737282*(10000)</f>
        <v>0.16106510173728197</v>
      </c>
      <c r="BF689">
        <f>0.0000161573328192071*(10000)</f>
        <v>0.16157332819207101</v>
      </c>
      <c r="BG689">
        <f>8.86957617823563E-06*(10000)</f>
        <v>8.8695761782356303E-2</v>
      </c>
      <c r="BH689">
        <f>8.43498582420716E-06*(10000)</f>
        <v>8.4349858242071599E-2</v>
      </c>
      <c r="BI689">
        <f>6.82775497232254E-06*(10000)</f>
        <v>6.8277549723225403E-2</v>
      </c>
      <c r="BJ689">
        <f>1.79477168694964E-06*(10000)</f>
        <v>1.7947716869496401E-2</v>
      </c>
    </row>
    <row r="690" spans="1:62">
      <c r="A690" t="str">
        <f>VLOOKUP(B690,info!$B$2:$F$49,2,FALSE)</f>
        <v>Hyundai</v>
      </c>
      <c r="B690" s="34">
        <v>17</v>
      </c>
      <c r="C690" t="s">
        <v>373</v>
      </c>
      <c r="D690" s="34" t="s">
        <v>77</v>
      </c>
      <c r="F690">
        <f>VLOOKUP(B690,info!$B$2:$I$49,8,FALSE)</f>
        <v>6316720</v>
      </c>
      <c r="H690">
        <f>8.70818995127465*(10000)</f>
        <v>87081.899512746488</v>
      </c>
      <c r="I690">
        <f>2.11886159873241*(10000)</f>
        <v>21188.615987324101</v>
      </c>
      <c r="J690">
        <f>0.50253385518141*(10000)</f>
        <v>5025.3385518141004</v>
      </c>
      <c r="K690">
        <f>29.4925706903327*(10000)</f>
        <v>294925.70690332697</v>
      </c>
      <c r="N690">
        <f>0.250357739448841*(10000)</f>
        <v>2503.5773944884099</v>
      </c>
      <c r="P690">
        <f>6.00178906876656*(10000)</f>
        <v>60017.890687665604</v>
      </c>
      <c r="R690">
        <f>0.0211752513039309*(10000)</f>
        <v>211.75251303930901</v>
      </c>
      <c r="T690">
        <f>0.00713040898748102*(10000)</f>
        <v>71.304089874810202</v>
      </c>
      <c r="U690">
        <f>0.347245401596513*(10000)</f>
        <v>3472.4540159651301</v>
      </c>
      <c r="W690">
        <f>0.000107818710564783*(10000)</f>
        <v>1.07818710564783</v>
      </c>
      <c r="Y690">
        <f>0.000137981059930845*(10000)</f>
        <v>1.37981059930845</v>
      </c>
      <c r="AA690">
        <f>0.00390130140428214*(10000)</f>
        <v>39.013014042821403</v>
      </c>
      <c r="AB690">
        <f>0.00165388591659282*(10000)</f>
        <v>16.538859165928201</v>
      </c>
      <c r="AF690">
        <f>0.00376917230621542*(10000)</f>
        <v>37.691723062154203</v>
      </c>
      <c r="AG690">
        <f>0.00587585670413004*(10000)</f>
        <v>58.758567041300402</v>
      </c>
      <c r="AH690">
        <f>0.000971603056933613*(10000)</f>
        <v>9.7160305693361302</v>
      </c>
      <c r="AI690">
        <f>0.000895201062290765*(10000)</f>
        <v>8.9520106229076504</v>
      </c>
      <c r="AJ690">
        <f>0.00054116465096874*(10000)</f>
        <v>5.4116465096874</v>
      </c>
      <c r="AK690">
        <f>0.000770606657037987*(10000)</f>
        <v>7.7060665703798703</v>
      </c>
      <c r="AL690">
        <f>0.000578111997367516*(10000)</f>
        <v>5.7811199736751604</v>
      </c>
      <c r="AM690">
        <f>0.00037627298690872*(10000)</f>
        <v>3.7627298690871998</v>
      </c>
      <c r="AN690">
        <f>0.0005588176529297*(10000)</f>
        <v>5.5881765292969998</v>
      </c>
      <c r="AO690">
        <f>0.000143464699286057*(10000)</f>
        <v>1.4346469928605701</v>
      </c>
      <c r="AP690">
        <f>0.000308816330741535*(10000)</f>
        <v>3.0881633074153503</v>
      </c>
      <c r="AQ690">
        <f>0.000169061686544571*(10000)</f>
        <v>1.6906168654457101</v>
      </c>
      <c r="AR690">
        <f>0.000102041180396845*(10000)</f>
        <v>1.02041180396845</v>
      </c>
      <c r="AS690">
        <f>0.0000491443653310303*(10000)</f>
        <v>0.49144365331030304</v>
      </c>
      <c r="AT690">
        <f>0.0000648808288627688*(10000)</f>
        <v>0.64880828862768802</v>
      </c>
      <c r="AU690">
        <f>0.0000560766324579549*(10000)</f>
        <v>0.560766324579549</v>
      </c>
      <c r="AV690">
        <f>0.0000572913280429672*(10000)</f>
        <v>0.57291328042967193</v>
      </c>
      <c r="AW690">
        <f>0.0000590803449700079*(10000)</f>
        <v>0.59080344970007903</v>
      </c>
      <c r="AX690">
        <f>0.0000711277833218989*(10000)</f>
        <v>0.71127783321898896</v>
      </c>
      <c r="AY690">
        <f>0.000090845574674177*(10000)</f>
        <v>0.90845574674176999</v>
      </c>
      <c r="AZ690">
        <f>0.0000587961541002097*(10000)</f>
        <v>0.58796154100209697</v>
      </c>
      <c r="BA690">
        <f>0.0000539866950459989*(10000)</f>
        <v>0.539866950459989</v>
      </c>
      <c r="BB690">
        <f>0.0000208569803318979*(10000)</f>
        <v>0.20856980331897898</v>
      </c>
      <c r="BC690">
        <f>0.0000108928106912023*(10000)</f>
        <v>0.108928106912023</v>
      </c>
      <c r="BD690">
        <f>0.0000255079280577785*(10000)</f>
        <v>0.25507928057778501</v>
      </c>
      <c r="BE690">
        <f>0.0000159254148692312*(10000)</f>
        <v>0.159254148692312</v>
      </c>
      <c r="BF690">
        <f>0.0000144916284048558*(10000)</f>
        <v>0.144916284048558</v>
      </c>
      <c r="BG690">
        <f>8.39526729169896E-06*(10000)</f>
        <v>8.3952672916989601E-2</v>
      </c>
      <c r="BH690">
        <f>8.51912533367556E-06*(10000)</f>
        <v>8.519125333675559E-2</v>
      </c>
      <c r="BI690">
        <f>6.83584472939875E-06*(10000)</f>
        <v>6.8358447293987504E-2</v>
      </c>
      <c r="BJ690">
        <f>1.29358488771801E-06*(10000)</f>
        <v>1.2935848877180101E-2</v>
      </c>
    </row>
    <row r="691" spans="1:62">
      <c r="A691" t="str">
        <f>VLOOKUP(B691,info!$B$2:$F$49,2,FALSE)</f>
        <v>Honda</v>
      </c>
      <c r="B691" s="34">
        <v>18</v>
      </c>
      <c r="C691" t="s">
        <v>373</v>
      </c>
      <c r="D691" s="34" t="s">
        <v>77</v>
      </c>
      <c r="F691">
        <f>VLOOKUP(B691,info!$B$2:$I$49,8,FALSE)</f>
        <v>8096906</v>
      </c>
      <c r="H691">
        <f>8.71674575431339*(10000)</f>
        <v>87167.457543133904</v>
      </c>
      <c r="I691">
        <f>2.07459037897204*(10000)</f>
        <v>20745.9037897204</v>
      </c>
      <c r="J691">
        <f>0.0520514667797698*(10000)</f>
        <v>520.51466779769805</v>
      </c>
      <c r="K691">
        <f>29.9650423290375*(10000)</f>
        <v>299650.42329037504</v>
      </c>
      <c r="N691">
        <f>0.0301107577403311*(10000)</f>
        <v>301.10757740331098</v>
      </c>
      <c r="P691">
        <f>5.56571575208736*(10000)</f>
        <v>55657.157520873603</v>
      </c>
      <c r="R691">
        <f>0.00466017621772313*(10000)</f>
        <v>46.601762177231294</v>
      </c>
      <c r="T691">
        <f>0.00146044945680523*(10000)</f>
        <v>14.604494568052301</v>
      </c>
      <c r="U691">
        <f>0.369294662122568*(10000)</f>
        <v>3692.9466212256802</v>
      </c>
      <c r="W691">
        <f>0.0000483832054497363*(10000)</f>
        <v>0.483832054497363</v>
      </c>
      <c r="Y691">
        <f>0.000109854151560326*(10000)</f>
        <v>1.0985415156032601</v>
      </c>
      <c r="AA691">
        <f>0.00326238944050024*(10000)</f>
        <v>32.623894405002403</v>
      </c>
      <c r="AB691">
        <f>0.00172260892106241*(10000)</f>
        <v>17.226089210624099</v>
      </c>
      <c r="AF691">
        <f>0.000582774342415889*(10000)</f>
        <v>5.8277434241588901</v>
      </c>
      <c r="AG691">
        <f>0.00181687903688163*(10000)</f>
        <v>18.1687903688163</v>
      </c>
      <c r="AH691">
        <f>0.000287149028892185*(10000)</f>
        <v>2.8714902889218497</v>
      </c>
      <c r="AI691">
        <f>0.0000855740967660679*(10000)</f>
        <v>0.85574096766067898</v>
      </c>
      <c r="AJ691">
        <f>0.0000943993919846158*(10000)</f>
        <v>0.94399391984615799</v>
      </c>
      <c r="AK691">
        <f>0.000128434442839664*(10000)</f>
        <v>1.2843444283966399</v>
      </c>
      <c r="AL691">
        <f>0.000172489540082624*(10000)</f>
        <v>1.72489540082624</v>
      </c>
      <c r="AM691">
        <f>0.00011286083994576*(10000)</f>
        <v>1.1286083994575999</v>
      </c>
      <c r="AN691">
        <f>0.0000605307128279003*(10000)</f>
        <v>0.60530712827900301</v>
      </c>
      <c r="AO691">
        <f>0.000051796327315809*(10000)</f>
        <v>0.51796327315808999</v>
      </c>
      <c r="AP691">
        <f>0.0000310096648249841*(10000)</f>
        <v>0.31009664824984101</v>
      </c>
      <c r="AQ691">
        <f>0.0000472311162556453*(10000)</f>
        <v>0.47231116255645295</v>
      </c>
      <c r="AR691">
        <f>0.0000282399681322361*(10000)</f>
        <v>0.28239968132236098</v>
      </c>
      <c r="AS691">
        <f>0.0000207918468708205*(10000)</f>
        <v>0.20791846870820502</v>
      </c>
      <c r="AT691">
        <f>0.0000417816414886444*(10000)</f>
        <v>0.417816414886444</v>
      </c>
      <c r="AU691">
        <f>0.0000186304233162955*(10000)</f>
        <v>0.186304233162955</v>
      </c>
      <c r="AV691">
        <f>9.71339878147857E-06*(10000)</f>
        <v>9.7133987814785702E-2</v>
      </c>
      <c r="AW691">
        <f>0.0000193910537233615*(10000)</f>
        <v>0.19391053723361501</v>
      </c>
      <c r="AX691">
        <f>0.0000142635929121455*(10000)</f>
        <v>0.14263592912145501</v>
      </c>
      <c r="AY691">
        <f>0.0000111640395037359*(10000)</f>
        <v>0.11164039503735899</v>
      </c>
      <c r="AZ691">
        <f>7.21272617980576E-06*(10000)</f>
        <v>7.2127261798057604E-2</v>
      </c>
      <c r="BA691">
        <f>6.46389262615503E-06*(10000)</f>
        <v>6.4638926261550295E-2</v>
      </c>
      <c r="BB691">
        <f>2.60109611754166E-06*(10000)</f>
        <v>2.60109611754166E-2</v>
      </c>
      <c r="BC691">
        <f>4.75698694742381E-06*(10000)</f>
        <v>4.7569869474238101E-2</v>
      </c>
      <c r="BD691">
        <f>3.08031333647699E-06*(10000)</f>
        <v>3.0803133364769902E-2</v>
      </c>
      <c r="BE691">
        <f>3.90523123367247E-06*(10000)</f>
        <v>3.9052312336724702E-2</v>
      </c>
      <c r="BF691">
        <f>2.26258182949378E-06*(10000)</f>
        <v>2.2625818294937802E-2</v>
      </c>
      <c r="BG691">
        <f>8.96443795554296E-06*(10000)</f>
        <v>8.9644379555429601E-2</v>
      </c>
      <c r="BH691">
        <f>1.05174386835501E-06*(10000)</f>
        <v>1.0517438683550101E-2</v>
      </c>
      <c r="BI691">
        <f>7.60437165163885E-07*(10000)</f>
        <v>7.60437165163885E-3</v>
      </c>
      <c r="BJ691">
        <f>1.07641748197069E-07*(10000)</f>
        <v>1.07641748197069E-3</v>
      </c>
    </row>
    <row r="692" spans="1:62">
      <c r="A692" t="str">
        <f>VLOOKUP(B692,info!$B$2:$F$49,2,FALSE)</f>
        <v>Hyundai</v>
      </c>
      <c r="B692" s="34">
        <v>19</v>
      </c>
      <c r="C692" t="s">
        <v>373</v>
      </c>
      <c r="D692" s="34" t="s">
        <v>77</v>
      </c>
      <c r="F692">
        <f>VLOOKUP(B692,info!$B$2:$I$49,8,FALSE)</f>
        <v>6316720</v>
      </c>
      <c r="H692">
        <f>8.2084959189276*(10000)</f>
        <v>82084.959189275993</v>
      </c>
      <c r="I692">
        <f>1.98597099691598*(10000)</f>
        <v>19859.709969159801</v>
      </c>
      <c r="J692">
        <f>0.476447301085045*(10000)</f>
        <v>4764.47301085045</v>
      </c>
      <c r="K692">
        <f>27.7235248902453*(10000)</f>
        <v>277235.24890245299</v>
      </c>
      <c r="N692">
        <f>0.248496139067957*(10000)</f>
        <v>2484.9613906795703</v>
      </c>
      <c r="P692">
        <f>5.80859825754125*(10000)</f>
        <v>58085.982575412498</v>
      </c>
      <c r="R692">
        <f>0.0214552302703712*(10000)</f>
        <v>214.552302703712</v>
      </c>
      <c r="T692">
        <f>0.00700839675438084*(10000)</f>
        <v>70.083967543808399</v>
      </c>
      <c r="U692">
        <f>0.327302386099323*(10000)</f>
        <v>3273.0238609932298</v>
      </c>
      <c r="W692">
        <f>0.000105702312756533*(10000)</f>
        <v>1.0570231275653301</v>
      </c>
      <c r="Y692">
        <f>0.000109323455175977*(10000)</f>
        <v>1.0932345517597699</v>
      </c>
      <c r="AA692">
        <f>0.00376450015842967*(10000)</f>
        <v>37.645001584296701</v>
      </c>
      <c r="AB692">
        <f>0.00168252050178848*(10000)</f>
        <v>16.825205017884798</v>
      </c>
      <c r="AF692">
        <f>0.00370208891596334*(10000)</f>
        <v>37.020889159633398</v>
      </c>
      <c r="AG692">
        <f>0.00631514260157329*(10000)</f>
        <v>63.151426015732895</v>
      </c>
      <c r="AH692">
        <f>0.000976826025729162*(10000)</f>
        <v>9.7682602572916188</v>
      </c>
      <c r="AI692">
        <f>0.0009050693954611*(10000)</f>
        <v>9.050693954610999</v>
      </c>
      <c r="AJ692">
        <f>0.000544102929056586*(10000)</f>
        <v>5.4410292905658597</v>
      </c>
      <c r="AK692">
        <f>0.000545846382068574*(10000)</f>
        <v>5.4584638206857408</v>
      </c>
      <c r="AL692">
        <f>0.000556721605028305*(10000)</f>
        <v>5.5672160502830499</v>
      </c>
      <c r="AM692">
        <f>0.000374167374223164*(10000)</f>
        <v>3.7416737422316402</v>
      </c>
      <c r="AN692">
        <f>0.000251031367527014*(10000)</f>
        <v>2.5103136752701403</v>
      </c>
      <c r="AO692">
        <f>0.000141921832523004*(10000)</f>
        <v>1.4192183252300399</v>
      </c>
      <c r="AP692">
        <f>0.000297203343590643*(10000)</f>
        <v>2.9720334359064298</v>
      </c>
      <c r="AQ692">
        <f>0.000174950025884607*(10000)</f>
        <v>1.7495002588460702</v>
      </c>
      <c r="AR692">
        <f>0.0000972964084232103*(10000)</f>
        <v>0.97296408423210301</v>
      </c>
      <c r="AS692">
        <f>0.0000302426863575571*(10000)</f>
        <v>0.30242686357557097</v>
      </c>
      <c r="AT692">
        <f>0.0000657741663308036*(10000)</f>
        <v>0.65774166330803607</v>
      </c>
      <c r="AU692">
        <f>0.0000510366384091331*(10000)</f>
        <v>0.51036638409133095</v>
      </c>
      <c r="AV692">
        <f>0.0000547487072441609*(10000)</f>
        <v>0.54748707244160899</v>
      </c>
      <c r="AW692">
        <f>0.0000655440295444617*(10000)</f>
        <v>0.65544029544461702</v>
      </c>
      <c r="AX692">
        <f>0.0000555329217379531*(10000)</f>
        <v>0.555329217379531</v>
      </c>
      <c r="AY692">
        <f>0.0000422604413832406*(10000)</f>
        <v>0.42260441383240599</v>
      </c>
      <c r="AZ692">
        <f>0.0000285027041450255*(10000)</f>
        <v>0.28502704145025498</v>
      </c>
      <c r="BA692">
        <f>0.0000253279058004442*(10000)</f>
        <v>0.253279058004442</v>
      </c>
      <c r="BB692">
        <f>0.0000200095674869935*(10000)</f>
        <v>0.20009567486993501</v>
      </c>
      <c r="BC692">
        <f>0.0000139262516431828*(10000)</f>
        <v>0.13926251643182799</v>
      </c>
      <c r="BD692">
        <f>0.0000113238185512392*(10000)</f>
        <v>0.11323818551239201</v>
      </c>
      <c r="BE692">
        <f>0.0000142653053109*(10000)</f>
        <v>0.14265305310900001</v>
      </c>
      <c r="BF692">
        <f>8.95316122713795E-06*(10000)</f>
        <v>8.9531612271379499E-2</v>
      </c>
      <c r="BG692">
        <f>8.25297462573797E-06*(10000)</f>
        <v>8.2529746257379688E-2</v>
      </c>
      <c r="BH692">
        <f>4.92216130390143E-06*(10000)</f>
        <v>4.9221613039014303E-2</v>
      </c>
      <c r="BI692">
        <f>3.00938963235069E-06*(10000)</f>
        <v>3.00938963235069E-2</v>
      </c>
      <c r="BJ692">
        <f>1.85411991316104E-06*(10000)</f>
        <v>1.8541199131610397E-2</v>
      </c>
    </row>
    <row r="693" spans="1:62">
      <c r="A693" t="str">
        <f>VLOOKUP(B693,info!$B$2:$F$49,2,FALSE)</f>
        <v>Fiat</v>
      </c>
      <c r="B693" s="34">
        <v>20</v>
      </c>
      <c r="C693" t="s">
        <v>373</v>
      </c>
      <c r="D693" s="34" t="s">
        <v>77</v>
      </c>
      <c r="F693">
        <f>VLOOKUP(B693,info!$B$2:$I$49,8,FALSE)</f>
        <v>5751910</v>
      </c>
      <c r="H693">
        <f>7.69938682507899*(10000)</f>
        <v>76993.868250789892</v>
      </c>
      <c r="I693">
        <f>1.89616910531672*(10000)</f>
        <v>18961.6910531672</v>
      </c>
      <c r="J693">
        <f>0.306779645507873*(10000)</f>
        <v>3067.7964550787301</v>
      </c>
      <c r="K693">
        <f>26.9637976593687*(10000)</f>
        <v>269637.97659368702</v>
      </c>
      <c r="N693">
        <f>0.21726981615731*(10000)</f>
        <v>2172.6981615731002</v>
      </c>
      <c r="P693">
        <f>4.49980431103567*(10000)</f>
        <v>44998.043110356703</v>
      </c>
      <c r="R693">
        <f>0.021237878178003*(10000)</f>
        <v>212.37878178002998</v>
      </c>
      <c r="T693">
        <f>0.00416584624442056*(10000)</f>
        <v>41.658462444205604</v>
      </c>
      <c r="U693">
        <f>0.52923364490886*(10000)</f>
        <v>5292.3364490886006</v>
      </c>
      <c r="W693">
        <f>0.000133568217231836*(10000)</f>
        <v>1.3356821723183598</v>
      </c>
      <c r="Y693">
        <f>0.0003555665775141*(10000)</f>
        <v>3.5556657751410001</v>
      </c>
      <c r="AA693">
        <f>0.00329260342363232*(10000)</f>
        <v>32.926034236323197</v>
      </c>
      <c r="AB693">
        <f>0.00222061208192365*(10000)</f>
        <v>22.206120819236499</v>
      </c>
      <c r="AF693">
        <f>0.00869950560739119*(10000)</f>
        <v>86.995056073911897</v>
      </c>
      <c r="AG693">
        <f>0.01037421385781*(10000)</f>
        <v>103.7421385781</v>
      </c>
      <c r="AH693">
        <f>0.000696354193846586*(10000)</f>
        <v>6.9635419384658599</v>
      </c>
      <c r="AI693">
        <f>0.000642987751753755*(10000)</f>
        <v>6.42987751753755</v>
      </c>
      <c r="AJ693">
        <f>0.00114552428086236*(10000)</f>
        <v>11.4552428086236</v>
      </c>
      <c r="AK693">
        <f>0.000449520549938825*(10000)</f>
        <v>4.4952054993882502</v>
      </c>
      <c r="AL693">
        <f>0.000376381467989595*(10000)</f>
        <v>3.7638146798959502</v>
      </c>
      <c r="AM693">
        <f>0.000307735293993897*(10000)</f>
        <v>3.0773529399389701</v>
      </c>
      <c r="AN693">
        <f>0.000211621507713137*(10000)</f>
        <v>2.1162150771313701</v>
      </c>
      <c r="AO693">
        <f>0.000189702903901561*(10000)</f>
        <v>1.8970290390156099</v>
      </c>
      <c r="AP693">
        <f>0.000118593871764926*(10000)</f>
        <v>1.18593871764926</v>
      </c>
      <c r="AQ693">
        <f>0.000282681755500205*(10000)</f>
        <v>2.8268175550020498</v>
      </c>
      <c r="AR693">
        <f>0.0000756686325594532*(10000)</f>
        <v>0.75668632559453208</v>
      </c>
      <c r="AS693">
        <f>0.0000359131900495991*(10000)</f>
        <v>0.35913190049599097</v>
      </c>
      <c r="AT693">
        <f>0.0000582728143397915*(10000)</f>
        <v>0.58272814339791501</v>
      </c>
      <c r="AU693">
        <f>0.0000654998615831538*(10000)</f>
        <v>0.65499861583153796</v>
      </c>
      <c r="AV693">
        <f>0.0000750739187933193*(10000)</f>
        <v>0.75073918793319305</v>
      </c>
      <c r="AW693">
        <f>0.0000545444259703912*(10000)</f>
        <v>0.54544425970391197</v>
      </c>
      <c r="AX693">
        <f>0.0000476720971997041*(10000)</f>
        <v>0.47672097199704105</v>
      </c>
      <c r="AY693">
        <f>0.0000374210937872006*(10000)</f>
        <v>0.37421093787200599</v>
      </c>
      <c r="AZ693">
        <f>0.0000278063029966305*(10000)</f>
        <v>0.278063029966305</v>
      </c>
      <c r="BA693">
        <f>0.0000229534146316525*(10000)</f>
        <v>0.229534146316525</v>
      </c>
      <c r="BB693">
        <f>0.0000123324181686045*(10000)</f>
        <v>0.123324181686045</v>
      </c>
      <c r="BC693">
        <f>7.99725341885741E-06*(10000)</f>
        <v>7.9972534188574099E-2</v>
      </c>
      <c r="BD693">
        <f>9.75432556551047E-06*(10000)</f>
        <v>9.7543255655104702E-2</v>
      </c>
      <c r="BE693">
        <f>0.0000104115429963191*(10000)</f>
        <v>0.10411542996319099</v>
      </c>
      <c r="BF693">
        <f>7.00983941039483E-06*(10000)</f>
        <v>7.0098394103948303E-2</v>
      </c>
      <c r="BG693">
        <f>0.000010956535278997*(10000)</f>
        <v>0.10956535278997</v>
      </c>
      <c r="BH693">
        <f>5.00630081336983E-06*(10000)</f>
        <v>5.0063008133698302E-2</v>
      </c>
      <c r="BI693">
        <f>2.84759449082646E-06*(10000)</f>
        <v>2.8475944908264599E-2</v>
      </c>
      <c r="BJ693">
        <f>2.09291805711904E-06*(10000)</f>
        <v>2.0929180571190399E-2</v>
      </c>
    </row>
    <row r="694" spans="1:62">
      <c r="A694" t="str">
        <f>VLOOKUP(B694,info!$B$2:$F$49,2,FALSE)</f>
        <v>Hyundai</v>
      </c>
      <c r="B694" s="34">
        <v>21</v>
      </c>
      <c r="C694" t="s">
        <v>373</v>
      </c>
      <c r="D694" s="34" t="s">
        <v>77</v>
      </c>
      <c r="F694">
        <f>VLOOKUP(B694,info!$B$2:$I$49,8,FALSE)</f>
        <v>5826120</v>
      </c>
      <c r="H694">
        <f>8.76369723299046*(10000)</f>
        <v>87636.972329904587</v>
      </c>
      <c r="I694">
        <f>2.07374668905897*(10000)</f>
        <v>20737.466890589702</v>
      </c>
      <c r="J694">
        <f>0.492404442908952*(10000)</f>
        <v>4924.0444290895202</v>
      </c>
      <c r="K694">
        <f>29.7423999011011*(10000)</f>
        <v>297423.99901101098</v>
      </c>
      <c r="N694">
        <f>0.210443177245051*(10000)</f>
        <v>2104.4317724505099</v>
      </c>
      <c r="P694">
        <f>6.09362850364447*(10000)</f>
        <v>60936.2850364447</v>
      </c>
      <c r="R694">
        <f>0.0259385776671846*(10000)</f>
        <v>259.38577667184597</v>
      </c>
      <c r="T694">
        <f>0.00808890046943975*(10000)</f>
        <v>80.889004694397499</v>
      </c>
      <c r="U694">
        <f>0.358854055688825*(10000)</f>
        <v>3588.5405568882502</v>
      </c>
      <c r="W694">
        <f>0.000121692873974428*(10000)</f>
        <v>1.2169287397442801</v>
      </c>
      <c r="Y694">
        <f>0.000161331700842219*(10000)</f>
        <v>1.6133170084221899</v>
      </c>
      <c r="AA694">
        <f>0.00404220866870053*(10000)</f>
        <v>40.422086687005304</v>
      </c>
      <c r="AB694">
        <f>0.00121529952001259*(10000)</f>
        <v>12.152995200125901</v>
      </c>
      <c r="AF694">
        <f>0.00330214392568577*(10000)</f>
        <v>33.021439256857697</v>
      </c>
      <c r="AG694">
        <f>0.00597273514796191*(10000)</f>
        <v>59.727351479619102</v>
      </c>
      <c r="AH694">
        <f>0.00109967469003402*(10000)</f>
        <v>10.996746900340201</v>
      </c>
      <c r="AI694">
        <f>0.000851903969871541*(10000)</f>
        <v>8.5190396987154102</v>
      </c>
      <c r="AJ694">
        <f>0.000502097538335001*(10000)</f>
        <v>5.0209753833500104</v>
      </c>
      <c r="AK694">
        <f>0.000802715267747903*(10000)</f>
        <v>8.0271526774790303</v>
      </c>
      <c r="AL694">
        <f>0.000568199376527394*(10000)</f>
        <v>5.6819937652739405</v>
      </c>
      <c r="AM694">
        <f>0.000403330109918104*(10000)</f>
        <v>4.0333010991810401</v>
      </c>
      <c r="AN694">
        <f>0.000333272901330223*(10000)</f>
        <v>3.33272901330223</v>
      </c>
      <c r="AO694">
        <f>0.000140615210410098*(10000)</f>
        <v>1.4061521041009801</v>
      </c>
      <c r="AP694">
        <f>0.000313773430036116*(10000)</f>
        <v>3.13773430036116</v>
      </c>
      <c r="AQ694">
        <f>0.000164417362558063*(10000)</f>
        <v>1.6441736255806301</v>
      </c>
      <c r="AR694">
        <f>0.000104289706874311*(10000)</f>
        <v>1.0428970687431101</v>
      </c>
      <c r="AS694">
        <f>0.0000453640295363356*(10000)</f>
        <v>0.45364029536335598</v>
      </c>
      <c r="AT694">
        <f>0.0000713253404578398*(10000)</f>
        <v>0.71325340457839803</v>
      </c>
      <c r="AU694">
        <f>0.0000576141208988289*(10000)</f>
        <v>0.57614120898828902</v>
      </c>
      <c r="AV694">
        <f>0.0000630490432660922*(10000)</f>
        <v>0.63049043266092208</v>
      </c>
      <c r="AW694">
        <f>0.0000681521829692414*(10000)</f>
        <v>0.68152182969241393</v>
      </c>
      <c r="AX694">
        <f>0.0000628865963059926*(10000)</f>
        <v>0.62886596305992604</v>
      </c>
      <c r="AY694">
        <f>0.000057018055834531*(10000)</f>
        <v>0.57018055834531001</v>
      </c>
      <c r="AZ694">
        <f>0.0000393466648843197*(10000)</f>
        <v>0.39346664884319699</v>
      </c>
      <c r="BA694">
        <f>0.0000352545980477537*(10000)</f>
        <v>0.35254598047753699</v>
      </c>
      <c r="BB694">
        <f>0.0000221444421525332*(10000)</f>
        <v>0.221444421525332</v>
      </c>
      <c r="BC694">
        <f>0.0000144088445219069*(10000)</f>
        <v>0.14408844521906899</v>
      </c>
      <c r="BD694">
        <f>0.0000150055263962665*(10000)</f>
        <v>0.150055263962665</v>
      </c>
      <c r="BE694">
        <f>0.0000145510658794828*(10000)</f>
        <v>0.145510658794828</v>
      </c>
      <c r="BF694">
        <f>0.0000109936491347182*(10000)</f>
        <v>0.109936491347182</v>
      </c>
      <c r="BG694">
        <f>6.64032441151331E-06*(10000)</f>
        <v>6.6403244115133098E-2</v>
      </c>
      <c r="BH694">
        <f>6.14218419119324E-06*(10000)</f>
        <v>6.1421841911932396E-2</v>
      </c>
      <c r="BI694">
        <f>4.05296829518198E-06*(10000)</f>
        <v>4.0529682951819801E-2</v>
      </c>
      <c r="BJ694">
        <f>3.48139133769271E-06*(10000)</f>
        <v>3.4813913376927103E-2</v>
      </c>
    </row>
    <row r="695" spans="1:62">
      <c r="A695" t="str">
        <f>VLOOKUP(B695,info!$B$2:$F$49,2,FALSE)</f>
        <v>Daewoo</v>
      </c>
      <c r="B695" s="34">
        <v>22</v>
      </c>
      <c r="C695" t="s">
        <v>373</v>
      </c>
      <c r="D695" s="34" t="s">
        <v>77</v>
      </c>
      <c r="F695">
        <f>VLOOKUP(B695,info!$B$2:$I$49,8,FALSE)</f>
        <v>8501017</v>
      </c>
      <c r="H695">
        <f>8.12326821197409*(10000)</f>
        <v>81232.682119740886</v>
      </c>
      <c r="I695">
        <f>2.11011155971884*(10000)</f>
        <v>21101.1155971884</v>
      </c>
      <c r="J695">
        <f>0.567567778303812*(10000)</f>
        <v>5675.6777830381197</v>
      </c>
      <c r="K695">
        <f>29.2210326732681*(10000)</f>
        <v>292210.32673268096</v>
      </c>
      <c r="N695">
        <f>0.395248062758006*(10000)</f>
        <v>3952.4806275800602</v>
      </c>
      <c r="P695">
        <f>5.14538633853009*(10000)</f>
        <v>51453.863385300901</v>
      </c>
      <c r="R695">
        <f>0.0189501553074844*(10000)</f>
        <v>189.501553074844</v>
      </c>
      <c r="T695">
        <f>0.00255679891642261*(10000)</f>
        <v>25.567989164226098</v>
      </c>
      <c r="U695">
        <f>0.34137495055025*(10000)</f>
        <v>3413.7495055025001</v>
      </c>
      <c r="W695">
        <f>0.0000989415975357303*(10000)</f>
        <v>0.98941597535730297</v>
      </c>
      <c r="Y695">
        <f>0.000186274430906641*(10000)</f>
        <v>1.86274430906641</v>
      </c>
      <c r="AA695">
        <f>0.00522621579347339*(10000)</f>
        <v>52.262157934733899</v>
      </c>
      <c r="AB695">
        <f>0.00140524226847715*(10000)</f>
        <v>14.0524226847715</v>
      </c>
      <c r="AF695">
        <f>0.00980069616510488*(10000)</f>
        <v>98.006961651048812</v>
      </c>
      <c r="AG695">
        <f>0.00625892272381798*(10000)</f>
        <v>62.589227238179795</v>
      </c>
      <c r="AH695">
        <f>0.000543367008926681*(10000)</f>
        <v>5.4336700892668102</v>
      </c>
      <c r="AI695">
        <f>0.00142243344476513*(10000)</f>
        <v>14.2243344476513</v>
      </c>
      <c r="AJ695">
        <f>0.00131977424122388*(10000)</f>
        <v>13.197742412238799</v>
      </c>
      <c r="AK695">
        <f>0.000385303328518993*(10000)</f>
        <v>3.8530332851899303</v>
      </c>
      <c r="AL695">
        <f>0.000312433883923244*(10000)</f>
        <v>3.1243388392324398</v>
      </c>
      <c r="AM695">
        <f>0.00023656558522213*(10000)</f>
        <v>2.3656558522213</v>
      </c>
      <c r="AN695">
        <f>0.000203066972274496*(10000)</f>
        <v>2.0306697227449599</v>
      </c>
      <c r="AO695">
        <f>0.000285652113615559*(10000)</f>
        <v>2.8565211361555902</v>
      </c>
      <c r="AP695">
        <f>0.000234615848532521*(10000)</f>
        <v>2.3461584853252098</v>
      </c>
      <c r="AQ695">
        <f>0.000180091956012526*(10000)</f>
        <v>1.8009195601252599</v>
      </c>
      <c r="AR695">
        <f>0.0000628444095142474*(10000)</f>
        <v>0.62844409514247401</v>
      </c>
      <c r="AS695">
        <f>0.000148063151958873*(10000)</f>
        <v>1.4806315195887301</v>
      </c>
      <c r="AT695">
        <f>0.0000708830535011887*(10000)</f>
        <v>0.70883053501188698</v>
      </c>
      <c r="AU695">
        <f>0.0000501253796501401*(10000)</f>
        <v>0.50125379650140101</v>
      </c>
      <c r="AV695">
        <f>0.0000815836449956179*(10000)</f>
        <v>0.8158364499561791</v>
      </c>
      <c r="AW695">
        <f>0.0000430912304963589*(10000)</f>
        <v>0.43091230496358901</v>
      </c>
      <c r="AX695">
        <f>0.000035120135437016*(10000)</f>
        <v>0.35120135437016003</v>
      </c>
      <c r="AY695">
        <f>0.0000358399208102766*(10000)</f>
        <v>0.35839920810276599</v>
      </c>
      <c r="AZ695">
        <f>0.0000237771249237735*(10000)</f>
        <v>0.23777124923773502</v>
      </c>
      <c r="BA695">
        <f>0.0000211725462550588*(10000)</f>
        <v>0.211725462550588</v>
      </c>
      <c r="BB695">
        <f>0.0000247211086105791*(10000)</f>
        <v>0.24721108610579101</v>
      </c>
      <c r="BC695">
        <f>0.0000103412759726605*(10000)</f>
        <v>0.10341275972660501</v>
      </c>
      <c r="BD695">
        <f>8.83023156456738E-06*(10000)</f>
        <v>8.8302315645673798E-2</v>
      </c>
      <c r="BE695">
        <f>0.0000105435163156961*(10000)</f>
        <v>0.105435163156961</v>
      </c>
      <c r="BF695">
        <f>6.60729417692661E-06*(10000)</f>
        <v>6.6072941769266105E-2</v>
      </c>
      <c r="BG695">
        <f>0.0000067826170774743*(10000)</f>
        <v>6.7826170774743011E-2</v>
      </c>
      <c r="BH695">
        <f>4.52249863392653E-06*(10000)</f>
        <v>4.5224986339265305E-2</v>
      </c>
      <c r="BI695">
        <f>2.86377400497888E-06*(10000)</f>
        <v>2.86377400497888E-2</v>
      </c>
      <c r="BJ695">
        <f>8.39124369239319E-07*(10000)</f>
        <v>8.391243692393191E-3</v>
      </c>
    </row>
    <row r="696" spans="1:62">
      <c r="A696" t="str">
        <f>VLOOKUP(B696,info!$B$2:$F$49,2,FALSE)</f>
        <v>Daewoo</v>
      </c>
      <c r="B696" s="34">
        <v>23</v>
      </c>
      <c r="C696" t="s">
        <v>373</v>
      </c>
      <c r="D696" s="34" t="s">
        <v>77</v>
      </c>
      <c r="F696">
        <f>VLOOKUP(B696,info!$B$2:$I$49,8,FALSE)</f>
        <v>8501017</v>
      </c>
      <c r="H696">
        <f>8.34044493479392*(10000)</f>
        <v>83404.449347939197</v>
      </c>
      <c r="I696">
        <f>2.2439214364918*(10000)</f>
        <v>22439.214364918</v>
      </c>
      <c r="J696">
        <f>0.600355668468127*(10000)</f>
        <v>6003.5566846812708</v>
      </c>
      <c r="K696">
        <f>29.767257779623*(10000)</f>
        <v>297672.57779623003</v>
      </c>
      <c r="N696">
        <f>0.41527472027161*(10000)</f>
        <v>4152.7472027161002</v>
      </c>
      <c r="P696">
        <f>5.56218977378402*(10000)</f>
        <v>55621.897737840198</v>
      </c>
      <c r="R696">
        <f>0.0205121432255197*(10000)</f>
        <v>205.12143225519699</v>
      </c>
      <c r="T696">
        <f>0.00264359838383732*(10000)</f>
        <v>26.4359838383732</v>
      </c>
      <c r="U696">
        <f>0.374324625998901*(10000)</f>
        <v>3743.24625998901</v>
      </c>
      <c r="W696">
        <f>0.000101351939484016*(10000)</f>
        <v>1.01351939484016</v>
      </c>
      <c r="Y696">
        <f>0.00024040546211028*(10000)</f>
        <v>2.4040546211027998</v>
      </c>
      <c r="AA696">
        <f>0.00500600004014138*(10000)</f>
        <v>50.060000401413795</v>
      </c>
      <c r="AB696">
        <f>0.00123772994508252*(10000)</f>
        <v>12.3772994508252</v>
      </c>
      <c r="AF696">
        <f>0.00984321955663682*(10000)</f>
        <v>98.432195566368208</v>
      </c>
      <c r="AG696">
        <f>0.00633088886896021*(10000)</f>
        <v>63.308888689602099</v>
      </c>
      <c r="AH696">
        <f>0.000531937810080356*(10000)</f>
        <v>5.3193781008035597</v>
      </c>
      <c r="AI696">
        <f>0.00142068716972148*(10000)</f>
        <v>14.206871697214801</v>
      </c>
      <c r="AJ696">
        <f>0.00138069254970735*(10000)</f>
        <v>13.8069254970735</v>
      </c>
      <c r="AK696">
        <f>0.000353194717809077*(10000)</f>
        <v>3.5319471780907703</v>
      </c>
      <c r="AL696">
        <f>0.000329898977784412*(10000)</f>
        <v>3.29898977784412</v>
      </c>
      <c r="AM696">
        <f>0.000223300225303132*(10000)</f>
        <v>2.2330022530313203</v>
      </c>
      <c r="AN696">
        <f>0.000192624539359741*(10000)</f>
        <v>1.92624539359741</v>
      </c>
      <c r="AO696">
        <f>0.000288129951511728*(10000)</f>
        <v>2.8812995151172802</v>
      </c>
      <c r="AP696">
        <f>0.000210358075294998*(10000)</f>
        <v>2.1035807529499801</v>
      </c>
      <c r="AQ696">
        <f>0.000186063229709465*(10000)</f>
        <v>1.8606322970946501</v>
      </c>
      <c r="AR696">
        <f>0.0000574517570301565*(10000)</f>
        <v>0.57451757030156503</v>
      </c>
      <c r="AS696">
        <f>0.000193427181495209*(10000)</f>
        <v>1.9342718149520901</v>
      </c>
      <c r="AT696">
        <f>0.0000665868691293341*(10000)</f>
        <v>0.66586869129334092</v>
      </c>
      <c r="AU696">
        <f>0.0000488866012262023*(10000)</f>
        <v>0.48886601226202298</v>
      </c>
      <c r="AV696">
        <f>0.0000795778268646897*(10000)</f>
        <v>0.79577826864689705</v>
      </c>
      <c r="AW696">
        <f>0.0000426376385963973*(10000)</f>
        <v>0.42637638596397298</v>
      </c>
      <c r="AX696">
        <f>0.0000365781916013687*(10000)</f>
        <v>0.36578191601368698</v>
      </c>
      <c r="AY696">
        <f>0.0000345941481617911*(10000)</f>
        <v>0.345941481617911</v>
      </c>
      <c r="AZ696">
        <f>0.0000263140148214983*(10000)</f>
        <v>0.26314014821498299</v>
      </c>
      <c r="BA696">
        <f>0.0000226895822795646*(10000)</f>
        <v>0.22689582279564602</v>
      </c>
      <c r="BB696">
        <f>0.0000228504112372158*(10000)</f>
        <v>0.22850411237215798</v>
      </c>
      <c r="BC696">
        <f>0.0000117890546088329*(10000)</f>
        <v>0.117890546088329</v>
      </c>
      <c r="BD696">
        <f>9.82766635923612E-06*(10000)</f>
        <v>9.8276663592361202E-2</v>
      </c>
      <c r="BE696">
        <f>0.0000103126099525774*(10000)</f>
        <v>0.10312609952577399</v>
      </c>
      <c r="BF696">
        <f>6.89879244943808E-06*(10000)</f>
        <v>6.8987924494380806E-2</v>
      </c>
      <c r="BG696">
        <f>6.49803174555231E-06*(10000)</f>
        <v>6.4980317455523101E-2</v>
      </c>
      <c r="BH696">
        <f>3.72317329397673E-06*(10000)</f>
        <v>3.7231732939767302E-2</v>
      </c>
      <c r="BI696">
        <f>2.48355542239694E-06*(10000)</f>
        <v>2.4835554223969401E-2</v>
      </c>
      <c r="BJ696">
        <f>9.31018207059508E-07*(10000)</f>
        <v>9.3101820705950803E-3</v>
      </c>
    </row>
    <row r="697" spans="1:62">
      <c r="A697" t="str">
        <f>VLOOKUP(B697,info!$B$2:$F$49,2,FALSE)</f>
        <v>Mitsubishi</v>
      </c>
      <c r="B697" s="34">
        <v>24</v>
      </c>
      <c r="C697" t="s">
        <v>373</v>
      </c>
      <c r="D697" s="34" t="s">
        <v>77</v>
      </c>
      <c r="F697">
        <f>VLOOKUP(B697,info!$B$2:$I$49,8,FALSE)</f>
        <v>7027220</v>
      </c>
      <c r="H697">
        <f>7.95179607356849*(10000)</f>
        <v>79517.960735684901</v>
      </c>
      <c r="I697">
        <f>2.28363000156102*(10000)</f>
        <v>22836.300015610199</v>
      </c>
      <c r="J697">
        <f>0.893920633118026*(10000)</f>
        <v>8939.2063311802613</v>
      </c>
      <c r="K697">
        <f>29.2745791606825*(10000)</f>
        <v>292745.79160682502</v>
      </c>
      <c r="N697">
        <f>0.195966632668242*(10000)</f>
        <v>1959.6663266824198</v>
      </c>
      <c r="P697">
        <f>5.37367293379802*(10000)</f>
        <v>53736.729337980199</v>
      </c>
      <c r="R697">
        <f>0.0315528927310661*(10000)</f>
        <v>315.528927310661</v>
      </c>
      <c r="T697">
        <f>0.0138514695738683*(10000)</f>
        <v>138.514695738683</v>
      </c>
      <c r="U697">
        <f>0.220069478940939*(10000)</f>
        <v>2200.6947894093901</v>
      </c>
      <c r="W697">
        <f>0.000146854492361411*(10000)</f>
        <v>1.4685449236141099</v>
      </c>
      <c r="Y697">
        <f>0.00065859421297761*(10000)</f>
        <v>6.5859421297761003</v>
      </c>
      <c r="AA697">
        <f>0.00544017243675311*(10000)</f>
        <v>54.401724367531102</v>
      </c>
      <c r="AB697">
        <f>0.00243680320015091*(10000)</f>
        <v>24.3680320015091</v>
      </c>
      <c r="AF697">
        <f>0.0027856689634897*(10000)</f>
        <v>27.856689634897002</v>
      </c>
      <c r="AG697">
        <f>0.0134633030047604*(10000)</f>
        <v>134.633030047604</v>
      </c>
      <c r="AH697">
        <f>0.00112527191125884*(10000)</f>
        <v>11.2527191125884</v>
      </c>
      <c r="AI697">
        <f>0.000877471627104678*(10000)</f>
        <v>8.7747162710467794</v>
      </c>
      <c r="AJ697">
        <f>0.000433627388415595*(10000)</f>
        <v>4.3362738841559496</v>
      </c>
      <c r="AK697">
        <f>0.000385303328518993*(10000)</f>
        <v>3.8530332851899303</v>
      </c>
      <c r="AL697">
        <f>0.000930295739296261*(10000)</f>
        <v>9.3029573929626093</v>
      </c>
      <c r="AM697">
        <f>0.000518401843183698*(10000)</f>
        <v>5.1840184318369804</v>
      </c>
      <c r="AN697">
        <f>0.000487785510390916*(10000)</f>
        <v>4.8778551039091598</v>
      </c>
      <c r="AO697">
        <f>0.000113243045363419*(10000)</f>
        <v>1.13243045363419</v>
      </c>
      <c r="AP697">
        <f>0.000300421406478507*(10000)</f>
        <v>3.0042140647850699</v>
      </c>
      <c r="AQ697">
        <f>0.000361303525843229*(10000)</f>
        <v>3.6130352584322898</v>
      </c>
      <c r="AR697">
        <f>0.000143734196775612*(10000)</f>
        <v>1.4373419677561199</v>
      </c>
      <c r="AS697">
        <f>0.0000390634698785112*(10000)</f>
        <v>0.39063469878511198</v>
      </c>
      <c r="AT697">
        <f>0.0000644017211352857*(10000)</f>
        <v>0.64401721135285706</v>
      </c>
      <c r="AU697">
        <f>0.000186989505985676*(10000)</f>
        <v>1.8698950598567601</v>
      </c>
      <c r="AV697">
        <f>0.000193169083796304*(10000)</f>
        <v>1.93169083796304</v>
      </c>
      <c r="AW697">
        <f>0.0000975222584917597*(10000)</f>
        <v>0.97522258491759706</v>
      </c>
      <c r="AX697">
        <f>0.0000829824138755487*(10000)</f>
        <v>0.829824138755487</v>
      </c>
      <c r="AY697">
        <f>0.0000767587608797635*(10000)</f>
        <v>0.7675876087976351</v>
      </c>
      <c r="AZ697">
        <f>0.0000498424250494164*(10000)</f>
        <v>0.498424250494164</v>
      </c>
      <c r="BA697">
        <f>0.000046104703527371*(10000)</f>
        <v>0.46104703527370999</v>
      </c>
      <c r="BB697">
        <f>0.0000282301159044626*(10000)</f>
        <v>0.28230115904462599</v>
      </c>
      <c r="BC697">
        <f>0.0000131678914051876*(10000)</f>
        <v>0.13167891405187601</v>
      </c>
      <c r="BD697">
        <f>0.000019288628749844*(10000)</f>
        <v>0.19288628749844</v>
      </c>
      <c r="BE697">
        <f>0.0000173540072839995*(10000)</f>
        <v>0.17354007283999501</v>
      </c>
      <c r="BF697">
        <f>0.0000141584875219856*(10000)</f>
        <v>0.14158487521985599</v>
      </c>
      <c r="BG697">
        <f>0.0000114782750541873*(10000)</f>
        <v>0.11478275054187299</v>
      </c>
      <c r="BH697">
        <f>0.0000101388108909423*(10000)</f>
        <v>0.101388108909423</v>
      </c>
      <c r="BI697">
        <f>0.0000056790094675005*(10000)</f>
        <v>5.6790094675004996E-2</v>
      </c>
      <c r="BJ697">
        <f>7.03900467475667E-07*(10000)</f>
        <v>7.0390046747566696E-3</v>
      </c>
    </row>
    <row r="698" spans="1:62">
      <c r="A698" t="str">
        <f>VLOOKUP(B698,info!$B$2:$F$49,2,FALSE)</f>
        <v>Subaru</v>
      </c>
      <c r="B698" s="34">
        <v>25</v>
      </c>
      <c r="C698" t="s">
        <v>373</v>
      </c>
      <c r="D698" s="34" t="s">
        <v>77</v>
      </c>
      <c r="F698">
        <f>VLOOKUP(B698,info!$B$2:$I$49,8,FALSE)</f>
        <v>2675308</v>
      </c>
      <c r="H698">
        <f>8.11016067930019*(10000)</f>
        <v>81101.606793001905</v>
      </c>
      <c r="I698">
        <f>2.01524754104571*(10000)</f>
        <v>20152.4754104571</v>
      </c>
      <c r="J698">
        <f>0.814134924003275*(10000)</f>
        <v>8141.3492400327505</v>
      </c>
      <c r="K698">
        <f>28.6642116184704*(10000)</f>
        <v>286642.11618470401</v>
      </c>
      <c r="N698">
        <f>0.45307792701236*(10000)</f>
        <v>4530.7792701236003</v>
      </c>
      <c r="P698">
        <f>5.7227447858295*(10000)</f>
        <v>57227.447858294996</v>
      </c>
      <c r="R698">
        <f>0.0172887011776874*(10000)</f>
        <v>172.887011776874</v>
      </c>
      <c r="T698">
        <f>0.00560534410564293*(10000)</f>
        <v>56.0534410564293</v>
      </c>
      <c r="U698">
        <f>0.205285506997348*(10000)</f>
        <v>2052.8550699734797</v>
      </c>
      <c r="W698">
        <f>0.000148030268921551*(10000)</f>
        <v>1.48030268921551</v>
      </c>
      <c r="Y698">
        <f>0.000924473101536662*(10000)</f>
        <v>9.2447310153666198</v>
      </c>
      <c r="AA698">
        <f>0.00498379402025349*(10000)</f>
        <v>49.837940202534895</v>
      </c>
      <c r="AB698">
        <f>0.00164505691949083*(10000)</f>
        <v>16.450569194908301</v>
      </c>
      <c r="AF698">
        <f>0.00703484637362457*(10000)</f>
        <v>70.348463736245691</v>
      </c>
      <c r="AG698">
        <f>0.0020007671132497*(10000)</f>
        <v>20.007671132497002</v>
      </c>
      <c r="AH698">
        <f>0.000220715284061628*(10000)</f>
        <v>2.2071528406162799</v>
      </c>
      <c r="AI698">
        <f>0.00170583689391804*(10000)</f>
        <v>17.058368939180401</v>
      </c>
      <c r="AJ698">
        <f>0.000978423019462089*(10000)</f>
        <v>9.7842301946208909</v>
      </c>
      <c r="AK698">
        <f>0.000160543053549581*(10000)</f>
        <v>1.6054305354958101</v>
      </c>
      <c r="AL698">
        <f>0.000191246504328971*(10000)</f>
        <v>1.9124650432897101</v>
      </c>
      <c r="AM698">
        <f>0.00012886349635598*(10000)</f>
        <v>1.2886349635598</v>
      </c>
      <c r="AN698">
        <f>0.000207491731984138*(10000)</f>
        <v>2.0749173198413802</v>
      </c>
      <c r="AO698">
        <f>0.00029164437264487*(10000)</f>
        <v>2.9164437264487</v>
      </c>
      <c r="AP698">
        <f>0.0000728407940100367*(10000)</f>
        <v>0.72840794010036702</v>
      </c>
      <c r="AQ698">
        <f>0.0000612884897505213*(10000)</f>
        <v>0.61288489750521302</v>
      </c>
      <c r="AR698">
        <f>0.000032394025522808*(10000)</f>
        <v>0.32394025522807995</v>
      </c>
      <c r="AS698">
        <f>0.000134831976677442*(10000)</f>
        <v>1.34831976677442</v>
      </c>
      <c r="AT698">
        <f>0.0000646690893646603*(10000)</f>
        <v>0.64669089364660304</v>
      </c>
      <c r="AU698">
        <f>0.0000325222837921301*(10000)</f>
        <v>0.32522283792130102</v>
      </c>
      <c r="AV698">
        <f>0.0000451665168280362*(10000)</f>
        <v>0.45166516828036202</v>
      </c>
      <c r="AW698">
        <f>0.0000239269727229783*(10000)</f>
        <v>0.23926972722978301</v>
      </c>
      <c r="AX698">
        <f>0.0000229485361519852*(10000)</f>
        <v>0.22948536151985199</v>
      </c>
      <c r="AY698">
        <f>0.0000271195122708777*(10000)</f>
        <v>0.27119512270877699</v>
      </c>
      <c r="AZ698">
        <f>0.0000212402350260487*(10000)</f>
        <v>0.21240235026048698</v>
      </c>
      <c r="BA698">
        <f>0.0000165225010495085*(10000)</f>
        <v>0.16522501049508498</v>
      </c>
      <c r="BB698">
        <f>0.0000436879267694607*(10000)</f>
        <v>0.436879267694607</v>
      </c>
      <c r="BC698">
        <f>0.0000469493929158785*(10000)</f>
        <v>0.46949392915878496</v>
      </c>
      <c r="BD698">
        <f>8.02348283358531E-06*(10000)</f>
        <v>8.0234828335853089E-2</v>
      </c>
      <c r="BE698">
        <f>7.32110298029818E-06*(10000)</f>
        <v>7.3211029802981803E-2</v>
      </c>
      <c r="BF698">
        <f>5.12204107413008E-06*(10000)</f>
        <v>5.1220410741300799E-2</v>
      </c>
      <c r="BG698">
        <f>8.67985262362097E-06*(10000)</f>
        <v>8.6798526236209705E-2</v>
      </c>
      <c r="BH698">
        <f>3.32351062400182E-06*(10000)</f>
        <v>3.32351062400182E-2</v>
      </c>
      <c r="BI698">
        <f>2.28940125256787E-06*(10000)</f>
        <v>2.28940125256787E-2</v>
      </c>
      <c r="BJ698">
        <f>0.0000011803248155959*(10000)</f>
        <v>1.1803248155959E-2</v>
      </c>
    </row>
    <row r="699" spans="1:62">
      <c r="A699" t="str">
        <f>VLOOKUP(B699,info!$B$2:$F$49,2,FALSE)</f>
        <v>Mitsubishi</v>
      </c>
      <c r="B699" s="34">
        <v>26</v>
      </c>
      <c r="C699" t="s">
        <v>373</v>
      </c>
      <c r="D699" s="34" t="s">
        <v>77</v>
      </c>
      <c r="F699">
        <f>VLOOKUP(B699,info!$B$2:$I$49,8,FALSE)</f>
        <v>7027220</v>
      </c>
      <c r="H699">
        <f>8.08996134343513*(10000)</f>
        <v>80899.613434351297</v>
      </c>
      <c r="I699">
        <f>2.37550396690175*(10000)</f>
        <v>23755.0396690175</v>
      </c>
      <c r="J699">
        <f>0.869205309507088*(10000)</f>
        <v>8692.0530950708799</v>
      </c>
      <c r="K699">
        <f>28.5878560381022*(10000)</f>
        <v>285878.56038102199</v>
      </c>
      <c r="N699">
        <f>0.372894982905061*(10000)</f>
        <v>3728.9498290506103</v>
      </c>
      <c r="P699">
        <f>5.10143460898137*(10000)</f>
        <v>51014.346089813698</v>
      </c>
      <c r="R699">
        <f>0.04685226967352*(10000)</f>
        <v>468.52269673519999</v>
      </c>
      <c r="T699">
        <f>0.0107518658744041*(10000)</f>
        <v>107.51865874404101</v>
      </c>
      <c r="U699">
        <f>0.205895373797836*(10000)</f>
        <v>2058.9537379783601</v>
      </c>
      <c r="W699">
        <f>0.000225749099546765*(10000)</f>
        <v>2.2574909954676499</v>
      </c>
      <c r="Y699">
        <f>0.000497262512135391*(10000)</f>
        <v>4.9726251213539099</v>
      </c>
      <c r="AA699">
        <f>0.00433061413086016*(10000)</f>
        <v>43.306141308601603</v>
      </c>
      <c r="AB699">
        <f>0.00244109838793025*(10000)</f>
        <v>24.410983879302499</v>
      </c>
      <c r="AF699">
        <f>0.00338151559383789*(10000)</f>
        <v>33.815155938378901</v>
      </c>
      <c r="AG699">
        <f>0.0136803728583968*(10000)</f>
        <v>136.803728583968</v>
      </c>
      <c r="AH699">
        <f>0.000553171639920402*(10000)</f>
        <v>5.5317163992040204</v>
      </c>
      <c r="AI699">
        <f>0.000927385509555392*(10000)</f>
        <v>9.2738550955539196</v>
      </c>
      <c r="AJ699">
        <f>0.000513324438242925*(10000)</f>
        <v>5.1332443824292504</v>
      </c>
      <c r="AK699">
        <f>0.000513737771358658*(10000)</f>
        <v>5.1373777135865808</v>
      </c>
      <c r="AL699">
        <f>0.000321377601974482*(10000)</f>
        <v>3.2137760197448202</v>
      </c>
      <c r="AM699">
        <f>0.000295628021051954*(10000)</f>
        <v>2.95628021051954</v>
      </c>
      <c r="AN699">
        <f>0.000516457953309395*(10000)</f>
        <v>5.1645795330939501</v>
      </c>
      <c r="AO699">
        <f>0.000138952434929744*(10000)</f>
        <v>1.3895243492974398</v>
      </c>
      <c r="AP699">
        <f>0.000126324167284765*(10000)</f>
        <v>1.2632416728476501</v>
      </c>
      <c r="AQ699">
        <f>0.000393316187607371*(10000)</f>
        <v>3.9331618760737097</v>
      </c>
      <c r="AR699">
        <f>0.0000676082367970133*(10000)</f>
        <v>0.6760823679701331</v>
      </c>
      <c r="AS699">
        <f>0.0000680460443045035*(10000)</f>
        <v>0.68046044304503495</v>
      </c>
      <c r="AT699">
        <f>0.0000635089764533745*(10000)</f>
        <v>0.63508976453374499</v>
      </c>
      <c r="AU699">
        <f>0.000158947293948101*(10000)</f>
        <v>1.5894729394810099</v>
      </c>
      <c r="AV699">
        <f>0.0000919446773680566*(10000)</f>
        <v>0.91944677368056593</v>
      </c>
      <c r="AW699">
        <f>0.0000673583971443084*(10000)</f>
        <v>0.67358397144308391</v>
      </c>
      <c r="AX699">
        <f>0.0000791153953527003*(10000)</f>
        <v>0.79115395352700302</v>
      </c>
      <c r="AY699">
        <f>0.0000858145697476008*(10000)</f>
        <v>0.858145697476008</v>
      </c>
      <c r="AZ699">
        <f>0.0000684462842993981*(10000)</f>
        <v>0.68446284299398097</v>
      </c>
      <c r="BA699">
        <f>0.0000574494946671533*(10000)</f>
        <v>0.574494946671533</v>
      </c>
      <c r="BB699">
        <f>8.89783508060296E-06*(10000)</f>
        <v>8.8978350806029602E-2</v>
      </c>
      <c r="BC699">
        <f>0.0000359876403848584*(10000)</f>
        <v>0.35987640384858399</v>
      </c>
      <c r="BD699">
        <f>0.0000239237669133046*(10000)</f>
        <v>0.239237669133046</v>
      </c>
      <c r="BE699">
        <f>0.0000155257695522595*(10000)</f>
        <v>0.155257695522595</v>
      </c>
      <c r="BF699">
        <f>0.0000140196788207897*(10000)</f>
        <v>0.14019678820789699</v>
      </c>
      <c r="BG699">
        <f>0.0000129012017137973*(10000)</f>
        <v>0.129012017137973</v>
      </c>
      <c r="BH699">
        <f>9.69707846623317E-06*(10000)</f>
        <v>9.6970784662331708E-2</v>
      </c>
      <c r="BI699">
        <f>6.75494715863663E-06*(10000)</f>
        <v>6.7549471586366303E-2</v>
      </c>
      <c r="BJ699">
        <f>1.25514250091941E-06*(10000)</f>
        <v>1.25514250091941E-2</v>
      </c>
    </row>
    <row r="700" spans="1:62">
      <c r="A700" t="str">
        <f>VLOOKUP(B700,info!$B$2:$F$49,2,FALSE)</f>
        <v>Fiat</v>
      </c>
      <c r="B700" s="34">
        <v>27</v>
      </c>
      <c r="C700" t="s">
        <v>373</v>
      </c>
      <c r="D700" s="34" t="s">
        <v>77</v>
      </c>
      <c r="F700">
        <f>VLOOKUP(B700,info!$B$2:$I$49,8,FALSE)</f>
        <v>5751910</v>
      </c>
      <c r="H700">
        <f>8.24781291073523*(10000)</f>
        <v>82478.129107352288</v>
      </c>
      <c r="I700">
        <f>2.07499937335844*(10000)</f>
        <v>20749.993733584401</v>
      </c>
      <c r="J700">
        <f>0.314664220783618*(10000)</f>
        <v>3146.6422078361802</v>
      </c>
      <c r="K700">
        <f>29.0156754536756*(10000)</f>
        <v>290156.75453675597</v>
      </c>
      <c r="N700">
        <f>0.223691759334594*(10000)</f>
        <v>2236.9175933459401</v>
      </c>
      <c r="P700">
        <f>4.81099239618*(10000)</f>
        <v>48109.923961799999</v>
      </c>
      <c r="R700">
        <f>0.0210278939531729*(10000)</f>
        <v>210.27893953172901</v>
      </c>
      <c r="T700">
        <f>0.00429454890300098*(10000)</f>
        <v>42.945489030009803</v>
      </c>
      <c r="U700">
        <f>0.558605600726672*(10000)</f>
        <v>5586.0560072667195</v>
      </c>
      <c r="W700">
        <f>0.000108876909468908*(10000)</f>
        <v>1.08876909468908</v>
      </c>
      <c r="Y700">
        <f>0.000339645685983619*(10000)</f>
        <v>3.3964568598361899</v>
      </c>
      <c r="AA700">
        <f>0.00402371025490548*(10000)</f>
        <v>40.237102549054804</v>
      </c>
      <c r="AB700">
        <f>0.00250099239529785*(10000)</f>
        <v>25.0099239529785</v>
      </c>
      <c r="AF700">
        <f>0.0087359932818477*(10000)</f>
        <v>87.359932818477006</v>
      </c>
      <c r="AG700">
        <f>0.0111820143132631*(10000)</f>
        <v>111.820143132631</v>
      </c>
      <c r="AH700">
        <f>0.000700688772191086*(10000)</f>
        <v>7.0068877219108598</v>
      </c>
      <c r="AI700">
        <f>0.000646819173835228*(10000)</f>
        <v>6.4681917383522798</v>
      </c>
      <c r="AJ700">
        <f>0.00115234892680564*(10000)</f>
        <v>11.5234892680564</v>
      </c>
      <c r="AK700">
        <f>0.000192651664259497*(10000)</f>
        <v>1.92651664259497</v>
      </c>
      <c r="AL700">
        <f>0.000389474077470157*(10000)</f>
        <v>3.8947407747015697</v>
      </c>
      <c r="AM700">
        <f>0.000315736622199007*(10000)</f>
        <v>3.15736622199007</v>
      </c>
      <c r="AN700">
        <f>0.000226665690725919*(10000)</f>
        <v>2.2666569072591902</v>
      </c>
      <c r="AO700">
        <f>0.000198648764677495*(10000)</f>
        <v>1.9864876467749499</v>
      </c>
      <c r="AP700">
        <f>0.000121489245225926*(10000)</f>
        <v>1.2148924522592601</v>
      </c>
      <c r="AQ700">
        <f>0.000296614727459729*(10000)</f>
        <v>2.9661472745972901</v>
      </c>
      <c r="AR700">
        <f>0.0000821283823548837*(10000)</f>
        <v>0.821283823548837</v>
      </c>
      <c r="AS700">
        <f>0.0000642657085098089*(10000)</f>
        <v>0.64265708509808894</v>
      </c>
      <c r="AT700">
        <f>0.0000665315511752372*(10000)</f>
        <v>0.66531551175237191</v>
      </c>
      <c r="AU700">
        <f>0.0000622404363411236*(10000)</f>
        <v>0.62240436341123606</v>
      </c>
      <c r="AV700">
        <f>0.0000789979887976288*(10000)</f>
        <v>0.78997988797628793</v>
      </c>
      <c r="AW700">
        <f>0.0000593071409199887*(10000)</f>
        <v>0.59307140919988699</v>
      </c>
      <c r="AX700">
        <f>0.0000455167098263132*(10000)</f>
        <v>0.45516709826313201</v>
      </c>
      <c r="AY700">
        <f>0.0000380439801114433*(10000)</f>
        <v>0.38043980111443298</v>
      </c>
      <c r="AZ700">
        <f>0.0000267119583348668*(10000)</f>
        <v>0.26711958334866803</v>
      </c>
      <c r="BA700">
        <f>0.0000232502260277515*(10000)</f>
        <v>0.232502260277515</v>
      </c>
      <c r="BB700">
        <f>0.0000108366505148918*(10000)</f>
        <v>0.108366505148918</v>
      </c>
      <c r="BC700">
        <f>0.0000246811786547496*(10000)</f>
        <v>0.246811786547496</v>
      </c>
      <c r="BD700">
        <f>0.0000102383748040997*(10000)</f>
        <v>0.10238374804099701</v>
      </c>
      <c r="BE700">
        <f>0.0000112739471186196*(10000)</f>
        <v>0.112739471186196</v>
      </c>
      <c r="BF700">
        <f>8.14807076020151E-06*(10000)</f>
        <v>8.1480707602015104E-2</v>
      </c>
      <c r="BG700">
        <f>0.0000110513970563043*(10000)</f>
        <v>0.110513970563043</v>
      </c>
      <c r="BH700">
        <f>4.50146375655943E-06*(10000)</f>
        <v>4.5014637565594297E-2</v>
      </c>
      <c r="BI700">
        <f>3.21163355925598E-06*(10000)</f>
        <v>3.2116335592559796E-2</v>
      </c>
      <c r="BJ700">
        <f>2.12811581236073E-06*(10000)</f>
        <v>2.1281158123607299E-2</v>
      </c>
    </row>
    <row r="701" spans="1:62">
      <c r="A701" t="str">
        <f>VLOOKUP(B701,info!$B$2:$F$49,2,FALSE)</f>
        <v>Subaru</v>
      </c>
      <c r="B701" s="34">
        <v>28</v>
      </c>
      <c r="C701" t="s">
        <v>373</v>
      </c>
      <c r="D701" s="34" t="s">
        <v>77</v>
      </c>
      <c r="F701">
        <f>VLOOKUP(B701,info!$B$2:$I$49,8,FALSE)</f>
        <v>2675308</v>
      </c>
      <c r="H701">
        <f>8.11459670562481*(10000)</f>
        <v>81145.967056248104</v>
      </c>
      <c r="I701">
        <f>1.95007046640467*(10000)</f>
        <v>19500.704664046698</v>
      </c>
      <c r="J701">
        <f>0.772887426428302*(10000)</f>
        <v>7728.8742642830202</v>
      </c>
      <c r="K701">
        <f>28.8015589970996*(10000)</f>
        <v>288015.58997099602</v>
      </c>
      <c r="N701">
        <f>0.436714344037041*(10000)</f>
        <v>4367.1434403704097</v>
      </c>
      <c r="P701">
        <f>5.58342764309953*(10000)</f>
        <v>55834.276430995305</v>
      </c>
      <c r="R701">
        <f>0.0163235105302223*(10000)</f>
        <v>163.23510530222299</v>
      </c>
      <c r="T701">
        <f>0.00556062389322237*(10000)</f>
        <v>55.606238932223697</v>
      </c>
      <c r="U701">
        <f>0.204258547425316*(10000)</f>
        <v>2042.5854742531599</v>
      </c>
      <c r="W701">
        <f>0.000163491730687383*(10000)</f>
        <v>1.6349173068738301</v>
      </c>
      <c r="Y701">
        <f>0.000930841458148854*(10000)</f>
        <v>9.30841458148854</v>
      </c>
      <c r="AA701">
        <f>0.00516710755512819*(10000)</f>
        <v>51.671075551281895</v>
      </c>
      <c r="AB701">
        <f>0.00166223767060822*(10000)</f>
        <v>16.6223767060822</v>
      </c>
      <c r="AF701">
        <f>0.00711135592060643*(10000)</f>
        <v>71.113559206064309</v>
      </c>
      <c r="AG701">
        <f>0.00192281362922701*(10000)</f>
        <v>19.228136292270101</v>
      </c>
      <c r="AH701">
        <f>0.000218905262503906*(10000)</f>
        <v>2.1890526250390598</v>
      </c>
      <c r="AI701">
        <f>0.00176011753715794*(10000)</f>
        <v>17.601175371579398</v>
      </c>
      <c r="AJ701">
        <f>0.00101135629438355*(10000)</f>
        <v>10.1135629438355</v>
      </c>
      <c r="AK701">
        <f>0.000321086107099161*(10000)</f>
        <v>3.2108610709916103</v>
      </c>
      <c r="AL701">
        <f>0.000196910859094754*(10000)</f>
        <v>1.9691085909475401</v>
      </c>
      <c r="AM701">
        <f>0.000116019258974093*(10000)</f>
        <v>1.16019258974093</v>
      </c>
      <c r="AN701">
        <f>0.000211267526936366*(10000)</f>
        <v>2.1126752693636601</v>
      </c>
      <c r="AO701">
        <f>0.000291073792775843*(10000)</f>
        <v>2.9107379277584302</v>
      </c>
      <c r="AP701">
        <f>0.00007622528866755*(10000)</f>
        <v>0.76225288667549995</v>
      </c>
      <c r="AQ701">
        <f>0.0000623251692117953*(10000)</f>
        <v>0.62325169211795306</v>
      </c>
      <c r="AR701">
        <f>0.0000299740012631629*(10000)</f>
        <v>0.29974001263162897</v>
      </c>
      <c r="AS701">
        <f>0.000112149961909274*(10000)</f>
        <v>1.12149961909274</v>
      </c>
      <c r="AT701">
        <f>0.000067480788567842*(10000)</f>
        <v>0.67480788567842009</v>
      </c>
      <c r="AU701">
        <f>0.0000340607529733044*(10000)</f>
        <v>0.34060752973304398</v>
      </c>
      <c r="AV701">
        <f>0.0000480832743690388*(10000)</f>
        <v>0.48083274369038803</v>
      </c>
      <c r="AW701">
        <f>0.0000252877484228633*(10000)</f>
        <v>0.25287748422863299</v>
      </c>
      <c r="AX701">
        <f>0.0000252941047642047*(10000)</f>
        <v>0.252941047642047</v>
      </c>
      <c r="AY701">
        <f>0.0000259216539550263*(10000)</f>
        <v>0.25921653955026303</v>
      </c>
      <c r="AZ701">
        <f>0.000020792548573509*(10000)</f>
        <v>0.20792548573508998</v>
      </c>
      <c r="BA701">
        <f>0.0000180725161180253*(10000)</f>
        <v>0.180725161180253</v>
      </c>
      <c r="BB701">
        <f>0.0000411668563721674*(10000)</f>
        <v>0.41166856372167399</v>
      </c>
      <c r="BC701">
        <f>0.0000244743531352964*(10000)</f>
        <v>0.24474353135296398</v>
      </c>
      <c r="BD701">
        <f>7.68611518244735E-06*(10000)</f>
        <v>7.6861151824473492E-2</v>
      </c>
      <c r="BE701">
        <f>6.16711391461372E-06*(10000)</f>
        <v>6.1671139146137206E-2</v>
      </c>
      <c r="BF701">
        <f>4.96935150281455E-06*(10000)</f>
        <v>4.96935150281455E-2</v>
      </c>
      <c r="BG701">
        <f>8.72728351227464E-06*(10000)</f>
        <v>8.7272835122746389E-2</v>
      </c>
      <c r="BH701">
        <f>2.75556893509012E-06*(10000)</f>
        <v>2.7555689350901202E-2</v>
      </c>
      <c r="BI701">
        <f>2.19232416765333E-06*(10000)</f>
        <v>2.1923241676533298E-2</v>
      </c>
      <c r="BJ701">
        <f>1.44716267215469E-06*(10000)</f>
        <v>1.44716267215469E-2</v>
      </c>
    </row>
    <row r="702" spans="1:62">
      <c r="A702" t="str">
        <f>VLOOKUP(B702,info!$B$2:$F$49,2,FALSE)</f>
        <v>Renault</v>
      </c>
      <c r="B702" s="34">
        <v>29</v>
      </c>
      <c r="C702" t="s">
        <v>373</v>
      </c>
      <c r="D702" s="34" t="s">
        <v>77</v>
      </c>
      <c r="F702">
        <f>VLOOKUP(B702,info!$B$2:$I$49,8,FALSE)</f>
        <v>1147816</v>
      </c>
      <c r="H702">
        <f>8.42974258281055*(10000)</f>
        <v>84297.425828105494</v>
      </c>
      <c r="I702">
        <f>2.25246356232441*(10000)</f>
        <v>22524.635623244099</v>
      </c>
      <c r="J702">
        <f>0.480196068294452*(10000)</f>
        <v>4801.9606829445202</v>
      </c>
      <c r="K702">
        <f>28.6169302745538*(10000)</f>
        <v>286169.30274553801</v>
      </c>
      <c r="N702">
        <f>0.0945175058247881*(10000)</f>
        <v>945.175058247881</v>
      </c>
      <c r="P702">
        <f>5.25501966391559*(10000)</f>
        <v>52550.196639155896</v>
      </c>
      <c r="R702">
        <f>0.0256770183695891*(10000)</f>
        <v>256.77018369589098</v>
      </c>
      <c r="T702">
        <f>0.0181041152857036*(10000)</f>
        <v>181.041152857036</v>
      </c>
      <c r="U702">
        <f>0.423115288877487*(10000)</f>
        <v>4231.15288877487</v>
      </c>
      <c r="W702">
        <f>0.0000773660976571725*(10000)</f>
        <v>0.77366097657172506</v>
      </c>
      <c r="Y702">
        <f>0.00140528402575722*(10000)</f>
        <v>14.0528402575722</v>
      </c>
      <c r="AA702">
        <f>0.0048827034329892*(10000)</f>
        <v>48.827034329891994</v>
      </c>
      <c r="AB702">
        <f>0.0016133202542323*(10000)</f>
        <v>16.133202542323001</v>
      </c>
      <c r="AF702">
        <f>0.00381968191295568*(10000)</f>
        <v>38.1968191295568</v>
      </c>
      <c r="AG702">
        <f>0.00473651489009525*(10000)</f>
        <v>47.365148900952498</v>
      </c>
      <c r="AH702">
        <f>0.00193646929741869*(10000)</f>
        <v>19.364692974186902</v>
      </c>
      <c r="AI702">
        <f>0.000372962257043854*(10000)</f>
        <v>3.72962257043854</v>
      </c>
      <c r="AJ702">
        <f>0.000485461145862937*(10000)</f>
        <v>4.8546114586293703</v>
      </c>
      <c r="AK702">
        <f>0.000770606657037987*(10000)</f>
        <v>7.7060665703798703</v>
      </c>
      <c r="AL702">
        <f>0.00113289579681805*(10000)</f>
        <v>11.3289579681805</v>
      </c>
      <c r="AM702">
        <f>0.00096510757442424*(10000)</f>
        <v>9.6510757442423998</v>
      </c>
      <c r="AN702">
        <f>0.000978048886219232*(10000)</f>
        <v>9.7804888621923194</v>
      </c>
      <c r="AO702">
        <f>0.000322068835978401*(10000)</f>
        <v>3.2206883597840097</v>
      </c>
      <c r="AP702">
        <f>0.000350514593490279*(10000)</f>
        <v>3.50514593490279</v>
      </c>
      <c r="AQ702">
        <f>0.000131824160295607*(10000)</f>
        <v>1.31824160295607</v>
      </c>
      <c r="AR702">
        <f>0.000237848368573935*(10000)</f>
        <v>2.3784836857393499</v>
      </c>
      <c r="AS702">
        <f>0.000063005596578244*(10000)</f>
        <v>0.63005596578243994</v>
      </c>
      <c r="AT702">
        <f>0.0000942169550362123*(10000)</f>
        <v>0.94216955036212302</v>
      </c>
      <c r="AU702">
        <f>0.0000833006452276245*(10000)</f>
        <v>0.83300645227624492</v>
      </c>
      <c r="AV702">
        <f>0.000060013047564322*(10000)</f>
        <v>0.60013047564321997</v>
      </c>
      <c r="AW702">
        <f>0.000182457341759583*(10000)</f>
        <v>1.8245734175958299</v>
      </c>
      <c r="AX702">
        <f>0.000191766082485512*(10000)</f>
        <v>1.9176608248551199</v>
      </c>
      <c r="AY702">
        <f>0.000174264427790075*(10000)</f>
        <v>1.74264427790075</v>
      </c>
      <c r="AZ702">
        <f>0.0000937654403374749*(10000)</f>
        <v>0.93765440337474903</v>
      </c>
      <c r="BA702">
        <f>0.0000932317574190829*(10000)</f>
        <v>0.93231757419082895</v>
      </c>
      <c r="BB702">
        <f>0.0000112440424586759*(10000)</f>
        <v>0.11244042458675899</v>
      </c>
      <c r="BC702">
        <f>0.0000200620753869613*(10000)</f>
        <v>0.20062075386961301</v>
      </c>
      <c r="BD702">
        <f>0.0000445912025851907*(10000)</f>
        <v>0.44591202585190703</v>
      </c>
      <c r="BE702">
        <f>0.0000361981635087432*(10000)</f>
        <v>0.36198163508743203</v>
      </c>
      <c r="BF702">
        <f>0.0000329393047937959*(10000)</f>
        <v>0.32939304793795898</v>
      </c>
      <c r="BG702">
        <f>0.0000080632510711233*(10000)</f>
        <v>8.0632510711233008E-2</v>
      </c>
      <c r="BH702">
        <f>0.0000144299258738307*(10000)</f>
        <v>0.14429925873830701</v>
      </c>
      <c r="BI702">
        <f>0.0000108483642391997*(10000)</f>
        <v>0.108483642391997</v>
      </c>
      <c r="BJ702">
        <f>7.42090398373008E-07*(10000)</f>
        <v>7.4209039837300796E-3</v>
      </c>
    </row>
    <row r="703" spans="1:62">
      <c r="A703" t="str">
        <f>VLOOKUP(B703,info!$B$2:$F$49,2,FALSE)</f>
        <v>Ford</v>
      </c>
      <c r="B703" s="34">
        <v>30</v>
      </c>
      <c r="C703" t="s">
        <v>373</v>
      </c>
      <c r="D703" s="34" t="s">
        <v>77</v>
      </c>
      <c r="F703">
        <f>VLOOKUP(B703,info!$B$2:$I$49,8,FALSE)</f>
        <v>6917835</v>
      </c>
      <c r="H703">
        <f>8.15499016211544*(10000)</f>
        <v>81549.901621154408</v>
      </c>
      <c r="I703">
        <f>2.28619343382556*(10000)</f>
        <v>22861.9343382556</v>
      </c>
      <c r="J703">
        <f>0.442818979338399*(10000)</f>
        <v>4428.18979338399</v>
      </c>
      <c r="K703">
        <f>29.0715098808883*(10000)</f>
        <v>290715.09880888299</v>
      </c>
      <c r="N703">
        <f>0.224253708269444*(10000)</f>
        <v>2242.53708269444</v>
      </c>
      <c r="P703">
        <f>5.43943652913024*(10000)</f>
        <v>54394.365291302398</v>
      </c>
      <c r="R703">
        <f>0.0222730635670783*(10000)</f>
        <v>222.73063567078299</v>
      </c>
      <c r="T703">
        <f>0.0028247680632891*(10000)</f>
        <v>28.247680632891001</v>
      </c>
      <c r="U703">
        <f>0.689810197383352*(10000)</f>
        <v>6898.1019738335199</v>
      </c>
      <c r="W703">
        <f>0.000107583555252755*(10000)</f>
        <v>1.07583555252755</v>
      </c>
      <c r="Y703">
        <f>0.000543963793958139*(10000)</f>
        <v>5.4396379395813899</v>
      </c>
      <c r="AA703">
        <f>0.00810684969793888*(10000)</f>
        <v>81.068496979388797</v>
      </c>
      <c r="AB703">
        <f>0.00205262251544243*(10000)</f>
        <v>20.526225154424299</v>
      </c>
      <c r="AF703">
        <f>0.00677047459069651*(10000)</f>
        <v>67.704745906965101</v>
      </c>
      <c r="AG703">
        <f>0.00271029807384295*(10000)</f>
        <v>27.102980738429498</v>
      </c>
      <c r="AH703">
        <f>0.000627440661066052*(10000)</f>
        <v>6.2744066106605203</v>
      </c>
      <c r="AI703">
        <f>0.000621084841538012*(10000)</f>
        <v>6.2108484153801191</v>
      </c>
      <c r="AJ703">
        <f>0.000853641087880582*(10000)</f>
        <v>8.5364108788058193</v>
      </c>
      <c r="AK703">
        <f>0.00195862525330488*(10000)</f>
        <v>19.5862525330488</v>
      </c>
      <c r="AL703">
        <f>0.000374418818750573*(10000)</f>
        <v>3.7441881875057299</v>
      </c>
      <c r="AM703">
        <f>0.00029678610802901*(10000)</f>
        <v>2.9678610802901</v>
      </c>
      <c r="AN703">
        <f>0.000266488528112696*(10000)</f>
        <v>2.6648852811269599</v>
      </c>
      <c r="AO703">
        <f>0.000290898351950679*(10000)</f>
        <v>2.9089835195067897</v>
      </c>
      <c r="AP703">
        <f>0.000171028677586828*(10000)</f>
        <v>1.71028677586828</v>
      </c>
      <c r="AQ703">
        <f>0.0000761337396359655*(10000)</f>
        <v>0.76133739635965492</v>
      </c>
      <c r="AR703">
        <f>0.0000731533317541528*(10000)</f>
        <v>0.73153331754152806</v>
      </c>
      <c r="AS703">
        <f>0.0000371733019811639*(10000)</f>
        <v>0.37173301981163903</v>
      </c>
      <c r="AT703">
        <f>0.0000772709279883203*(10000)</f>
        <v>0.77270927988320304</v>
      </c>
      <c r="AU703">
        <f>0.000152742784501001*(10000)</f>
        <v>1.5274278450100101</v>
      </c>
      <c r="AV703">
        <f>0.000103674580287693*(10000)</f>
        <v>1.0367458028769301</v>
      </c>
      <c r="AW703">
        <f>0.00005692578344519*(10000)</f>
        <v>0.56925783445189992</v>
      </c>
      <c r="AX703">
        <f>0.0000496373033342663*(10000)</f>
        <v>0.49637303334266303</v>
      </c>
      <c r="AY703">
        <f>0.0000451832156739182*(10000)</f>
        <v>0.45183215673918203</v>
      </c>
      <c r="AZ703">
        <f>0.0000279057888749726*(10000)</f>
        <v>0.27905788874972598</v>
      </c>
      <c r="BA703">
        <f>0.0000270428160890159*(10000)</f>
        <v>0.27042816089015903</v>
      </c>
      <c r="BB703">
        <f>0.0000310641680608776*(10000)</f>
        <v>0.31064168060877601</v>
      </c>
      <c r="BC703">
        <f>0.0000223371561009466*(10000)</f>
        <v>0.22337156100946601</v>
      </c>
      <c r="BD703">
        <f>0.0000115585090911613*(10000)</f>
        <v>0.11558509091161299</v>
      </c>
      <c r="BE703">
        <f>8.86395468352993E-06*(10000)</f>
        <v>8.8639546835299288E-2</v>
      </c>
      <c r="BF703">
        <f>0.0000088421142661812*(10000)</f>
        <v>8.8421142661811988E-2</v>
      </c>
      <c r="BG703">
        <f>0.0000119525839407239*(10000)</f>
        <v>0.119525839407239</v>
      </c>
      <c r="BH703">
        <f>4.18594059605293E-06*(10000)</f>
        <v>4.1859405960529297E-2</v>
      </c>
      <c r="BI703">
        <f>0.0000032925311300181*(10000)</f>
        <v>3.2925311300181004E-2</v>
      </c>
      <c r="BJ703">
        <f>2.53515790032113E-06*(10000)</f>
        <v>2.5351579003211302E-2</v>
      </c>
    </row>
    <row r="704" spans="1:62">
      <c r="A704" t="str">
        <f>VLOOKUP(B704,info!$B$2:$F$49,2,FALSE)</f>
        <v>Hyundai</v>
      </c>
      <c r="B704" s="34">
        <v>31</v>
      </c>
      <c r="C704" t="s">
        <v>373</v>
      </c>
      <c r="D704" s="34" t="s">
        <v>77</v>
      </c>
      <c r="F704">
        <f>VLOOKUP(B704,info!$B$2:$I$49,8,FALSE)</f>
        <v>9602910</v>
      </c>
      <c r="H704">
        <f>8.44744416195331*(10000)</f>
        <v>84474.4416195331</v>
      </c>
      <c r="I704">
        <f>2.12910458404639*(10000)</f>
        <v>21291.045840463899</v>
      </c>
      <c r="J704">
        <f>0.555868085965741*(10000)</f>
        <v>5558.6808596574101</v>
      </c>
      <c r="K704">
        <f>29.1233168333652*(10000)</f>
        <v>291233.16833365202</v>
      </c>
      <c r="N704">
        <f>0.307769032685878*(10000)</f>
        <v>3077.6903268587803</v>
      </c>
      <c r="P704">
        <f>6.06943865249359*(10000)</f>
        <v>60694.386524935901</v>
      </c>
      <c r="R704">
        <f>0.0239639891670268*(10000)</f>
        <v>239.63989167026801</v>
      </c>
      <c r="T704">
        <f>0.00669764409720649*(10000)</f>
        <v>66.976440972064907</v>
      </c>
      <c r="U704">
        <f>0.358522171617376*(10000)</f>
        <v>3585.2217161737599</v>
      </c>
      <c r="W704">
        <f>0.000116578245937822*(10000)</f>
        <v>1.16578245937822</v>
      </c>
      <c r="Y704">
        <f>0.000165046575532665*(10000)</f>
        <v>1.65046575532665</v>
      </c>
      <c r="AA704">
        <f>0.00394297928980223*(10000)</f>
        <v>39.429792898022299</v>
      </c>
      <c r="AB704">
        <f>0.00141478713020904*(10000)</f>
        <v>14.147871302090399</v>
      </c>
      <c r="AF704">
        <f>0.00493299028481045*(10000)</f>
        <v>49.329902848104503</v>
      </c>
      <c r="AG704">
        <f>0.00634298553178892*(10000)</f>
        <v>63.429855317889199</v>
      </c>
      <c r="AH704">
        <f>0.000987406059237998*(10000)</f>
        <v>9.8740605923799816</v>
      </c>
      <c r="AI704">
        <f>0.00107396511561912*(10000)</f>
        <v>10.739651156191201</v>
      </c>
      <c r="AJ704">
        <f>0.000674463814273335*(10000)</f>
        <v>6.7446381427333497</v>
      </c>
      <c r="AK704">
        <f>0.000866932489167735*(10000)</f>
        <v>8.6693248916773502</v>
      </c>
      <c r="AL704">
        <f>0.000584422287325889*(10000)</f>
        <v>5.8442228732588903</v>
      </c>
      <c r="AM704">
        <f>0.000368166378069332*(10000)</f>
        <v>3.6816637806933197</v>
      </c>
      <c r="AN704">
        <f>0.00031622282724907*(10000)</f>
        <v>3.1622282724906996</v>
      </c>
      <c r="AO704">
        <f>0.000225632148853706*(10000)</f>
        <v>2.2563214885370599</v>
      </c>
      <c r="AP704">
        <f>0.00029733499701274*(10000)</f>
        <v>2.9733499701274</v>
      </c>
      <c r="AQ704">
        <f>0.000178018597089978*(10000)</f>
        <v>1.78018597089978</v>
      </c>
      <c r="AR704">
        <f>0.000100840695921588*(10000)</f>
        <v>1.00840695921588</v>
      </c>
      <c r="AS704">
        <f>0.0000560749809546371*(10000)</f>
        <v>0.56074980954637099</v>
      </c>
      <c r="AT704">
        <f>0.0000721013355628597*(10000)</f>
        <v>0.72101335562859703</v>
      </c>
      <c r="AU704">
        <f>0.0000599771728463804*(10000)</f>
        <v>0.599771728463804</v>
      </c>
      <c r="AV704">
        <f>0.0000621621291713887*(10000)</f>
        <v>0.62162129171388703</v>
      </c>
      <c r="AW704">
        <f>0.0000659976214444234*(10000)</f>
        <v>0.65997621444423393</v>
      </c>
      <c r="AX704">
        <f>0.00005642043418582*(10000)</f>
        <v>0.56420434185820001</v>
      </c>
      <c r="AY704">
        <f>0.0000556764545207773*(10000)</f>
        <v>0.55676454520777297</v>
      </c>
      <c r="AZ704">
        <f>0.0000342231421496991*(10000)</f>
        <v>0.34223142149699098</v>
      </c>
      <c r="BA704">
        <f>0.0000282300616734117*(10000)</f>
        <v>0.28230061673411699</v>
      </c>
      <c r="BB704">
        <f>0.0000266799130219216*(10000)</f>
        <v>0.26679913021921597</v>
      </c>
      <c r="BC704">
        <f>0.0000285419216845428*(10000)</f>
        <v>0.28541921684542804</v>
      </c>
      <c r="BD704">
        <f>0.0000140227597603429*(10000)</f>
        <v>0.14022759760342898</v>
      </c>
      <c r="BE704">
        <f>0.0000138816788813586*(10000)</f>
        <v>0.138816788813586</v>
      </c>
      <c r="BF704">
        <f>0.0000102996056287385*(10000)</f>
        <v>0.10299605628738501</v>
      </c>
      <c r="BG704">
        <f>5.35969041786431E-06*(10000)</f>
        <v>5.3596904178643101E-2</v>
      </c>
      <c r="BH704">
        <f>4.83802179443303E-06*(10000)</f>
        <v>4.8380217944330298E-2</v>
      </c>
      <c r="BI704">
        <f>3.93162193903881E-06*(10000)</f>
        <v>3.9316219390388103E-2</v>
      </c>
      <c r="BJ704">
        <f>1.62893332256969E-06*(10000)</f>
        <v>1.6289333225696898E-2</v>
      </c>
    </row>
    <row r="705" spans="1:62">
      <c r="A705" t="str">
        <f>VLOOKUP(B705,info!$B$2:$F$49,2,FALSE)</f>
        <v>Hyundai</v>
      </c>
      <c r="B705" s="34">
        <v>32</v>
      </c>
      <c r="C705" t="s">
        <v>373</v>
      </c>
      <c r="D705" s="34" t="s">
        <v>77</v>
      </c>
      <c r="F705">
        <f>VLOOKUP(B705,info!$B$2:$I$49,8,FALSE)</f>
        <v>9602910</v>
      </c>
      <c r="H705">
        <f>8.25198531862898*(10000)</f>
        <v>82519.853186289809</v>
      </c>
      <c r="I705">
        <f>2.13612269641723*(10000)</f>
        <v>21361.2269641723</v>
      </c>
      <c r="J705">
        <f>0.564371926619028*(10000)</f>
        <v>5643.71926619028</v>
      </c>
      <c r="K705">
        <f>28.7658808201138*(10000)</f>
        <v>287658.80820113799</v>
      </c>
      <c r="N705">
        <f>0.321320558439887*(10000)</f>
        <v>3213.2055843988701</v>
      </c>
      <c r="P705">
        <f>6.27632337945515*(10000)</f>
        <v>62763.233794551496</v>
      </c>
      <c r="R705">
        <f>0.0249733870197194*(10000)</f>
        <v>249.73387019719399</v>
      </c>
      <c r="T705">
        <f>0.00683321324509558*(10000)</f>
        <v>68.332132450955811</v>
      </c>
      <c r="U705">
        <f>0.354949219943814*(10000)</f>
        <v>3549.4921994381402</v>
      </c>
      <c r="W705">
        <f>0.000120458308586281*(10000)</f>
        <v>1.2045830858628099</v>
      </c>
      <c r="Y705">
        <f>0.0001783139851414*(10000)</f>
        <v>1.783139851414</v>
      </c>
      <c r="AA705">
        <f>0.00383240862696869*(10000)</f>
        <v>38.324086269686902</v>
      </c>
      <c r="AB705">
        <f>0.00141908231798839*(10000)</f>
        <v>14.190823179883902</v>
      </c>
      <c r="AF705">
        <f>0.00470645440550679*(10000)</f>
        <v>47.064544055067898</v>
      </c>
      <c r="AG705">
        <f>0.00607721961385657*(10000)</f>
        <v>60.772196138565697</v>
      </c>
      <c r="AH705">
        <f>0.000932835263725808*(10000)</f>
        <v>9.3283526372580798</v>
      </c>
      <c r="AI705">
        <f>0.00104948808359678*(10000)</f>
        <v>10.4948808359678</v>
      </c>
      <c r="AJ705">
        <f>0.000635581032464215*(10000)</f>
        <v>6.3558103246421496</v>
      </c>
      <c r="AK705">
        <f>0.000802715267747903*(10000)</f>
        <v>8.0271526774790303</v>
      </c>
      <c r="AL705">
        <f>0.000575801536870946*(10000)</f>
        <v>5.7580153687094606</v>
      </c>
      <c r="AM705">
        <f>0.000378694441497108*(10000)</f>
        <v>3.7869444149710798</v>
      </c>
      <c r="AN705">
        <f>0.000306783339868501*(10000)</f>
        <v>3.0678333986850101</v>
      </c>
      <c r="AO705">
        <f>0.000223724307844372*(10000)</f>
        <v>2.2372430784437198</v>
      </c>
      <c r="AP705">
        <f>0.000295696610538761*(10000)</f>
        <v>2.9569661053876102</v>
      </c>
      <c r="AQ705">
        <f>0.00017897234219435*(10000)</f>
        <v>1.7897234219435001</v>
      </c>
      <c r="AR705">
        <f>0.0000989732756267438*(10000)</f>
        <v>0.98973275626743806</v>
      </c>
      <c r="AS705">
        <f>0.0000510345332283776*(10000)</f>
        <v>0.51034533228377599</v>
      </c>
      <c r="AT705">
        <f>0.0000662096190881549*(10000)</f>
        <v>0.66209619088154903</v>
      </c>
      <c r="AU705">
        <f>0.0000579984830128837*(10000)</f>
        <v>0.57998483012883706</v>
      </c>
      <c r="AV705">
        <f>0.0000622692335092806*(10000)</f>
        <v>0.62269233509280608</v>
      </c>
      <c r="AW705">
        <f>0.0000646368457445384*(10000)</f>
        <v>0.64636845744538407</v>
      </c>
      <c r="AX705">
        <f>0.0000534409281108384*(10000)</f>
        <v>0.53440928110838404</v>
      </c>
      <c r="AY705">
        <f>0.0000528015945627337*(10000)</f>
        <v>0.528015945627337</v>
      </c>
      <c r="AZ705">
        <f>0.0000300447352593288*(10000)</f>
        <v>0.30044735259328798</v>
      </c>
      <c r="BA705">
        <f>0.0000311651965903903*(10000)</f>
        <v>0.31165196590390298</v>
      </c>
      <c r="BB705">
        <f>0.0000247617755053955*(10000)</f>
        <v>0.24761775505395497</v>
      </c>
      <c r="BC705">
        <f>0.0000220613887416756*(10000)</f>
        <v>0.220613887416756</v>
      </c>
      <c r="BD705">
        <f>0.0000127319617907716*(10000)</f>
        <v>0.12731961790771601</v>
      </c>
      <c r="BE705">
        <f>0.0000139492507146456*(10000)</f>
        <v>0.139492507146456</v>
      </c>
      <c r="BF705">
        <f>9.89706039527032E-06*(10000)</f>
        <v>9.8970603952703198E-2</v>
      </c>
      <c r="BG705">
        <f>0.0000083478364030453*(10000)</f>
        <v>8.3478364030453001E-2</v>
      </c>
      <c r="BH705">
        <f>5.00630081336983E-06*(10000)</f>
        <v>5.0063008133698302E-2</v>
      </c>
      <c r="BI705">
        <f>3.49477505692338E-06*(10000)</f>
        <v>3.4947750569233799E-2</v>
      </c>
      <c r="BJ705">
        <f>0.0000018590367553154*(10000)</f>
        <v>1.8590367553154002E-2</v>
      </c>
    </row>
    <row r="706" spans="1:62">
      <c r="A706" t="str">
        <f>VLOOKUP(B706,info!$B$2:$F$49,2,FALSE)</f>
        <v>Hyundai</v>
      </c>
      <c r="B706" s="34">
        <v>33</v>
      </c>
      <c r="C706" t="s">
        <v>373</v>
      </c>
      <c r="D706" s="34" t="s">
        <v>77</v>
      </c>
      <c r="F706">
        <f>VLOOKUP(B706,info!$B$2:$I$49,8,FALSE)</f>
        <v>9602910</v>
      </c>
      <c r="H706">
        <f>8.35440063795316*(10000)</f>
        <v>83544.006379531609</v>
      </c>
      <c r="I706">
        <f>2.16108633769905*(10000)</f>
        <v>21610.863376990503</v>
      </c>
      <c r="J706">
        <f>0.540375393176899*(10000)</f>
        <v>5403.7539317689898</v>
      </c>
      <c r="K706">
        <f>28.8390635630693*(10000)</f>
        <v>288390.635630693</v>
      </c>
      <c r="N706">
        <f>0.274274101112315*(10000)</f>
        <v>2742.7410111231497</v>
      </c>
      <c r="P706">
        <f>6.23122365697047*(10000)</f>
        <v>62312.236569704699</v>
      </c>
      <c r="R706">
        <f>0.0234887617108322*(10000)</f>
        <v>234.88761710832199</v>
      </c>
      <c r="T706">
        <f>0.00660116111922827*(10000)</f>
        <v>66.0116111922827</v>
      </c>
      <c r="U706">
        <f>0.370677871573746*(10000)</f>
        <v>3706.7787157374601</v>
      </c>
      <c r="W706">
        <f>0.000123868060610685*(10000)</f>
        <v>1.23868060610685</v>
      </c>
      <c r="Y706">
        <f>0.000136919667162147*(10000)</f>
        <v>1.3691966716214701</v>
      </c>
      <c r="AA706">
        <f>0.00369953761239067*(10000)</f>
        <v>36.995376123906702</v>
      </c>
      <c r="AB706">
        <f>0.00135107517814869*(10000)</f>
        <v>13.510751781486899</v>
      </c>
      <c r="AF706">
        <f>0.00396879814994989*(10000)</f>
        <v>39.687981499498903</v>
      </c>
      <c r="AG706">
        <f>0.00665430538828195*(10000)</f>
        <v>66.543053882819507</v>
      </c>
      <c r="AH706">
        <f>0.00100209427091247*(10000)</f>
        <v>10.0209427091247</v>
      </c>
      <c r="AI706">
        <f>0.000984043431569194*(10000)</f>
        <v>9.8404343156919403</v>
      </c>
      <c r="AJ706">
        <f>0.000556271024967236*(10000)</f>
        <v>5.5627102496723593</v>
      </c>
      <c r="AK706">
        <f>0.00112380137484706*(10000)</f>
        <v>11.238013748470602</v>
      </c>
      <c r="AL706">
        <f>0.00057590091151596*(10000)</f>
        <v>5.7590091151595999</v>
      </c>
      <c r="AM706">
        <f>0.000389011943656329*(10000)</f>
        <v>3.8901194365632898</v>
      </c>
      <c r="AN706">
        <f>0.000323007458803854*(10000)</f>
        <v>3.2300745880385402</v>
      </c>
      <c r="AO706">
        <f>0.000167185345457223*(10000)</f>
        <v>1.6718534545722301</v>
      </c>
      <c r="AP706">
        <f>0.000308319122546977*(10000)</f>
        <v>3.0831912254697702</v>
      </c>
      <c r="AQ706">
        <f>0.000202276896483791*(10000)</f>
        <v>2.0227689648379101</v>
      </c>
      <c r="AR706">
        <f>0.000103394107345151*(10000)</f>
        <v>1.03394107345151</v>
      </c>
      <c r="AS706">
        <f>0.0000554449249888547*(10000)</f>
        <v>0.55444924988854705</v>
      </c>
      <c r="AT706">
        <f>0.0000695358401772277*(10000)</f>
        <v>0.69535840177227692</v>
      </c>
      <c r="AU706">
        <f>0.0000627670878394436*(10000)</f>
        <v>0.62767087839443592</v>
      </c>
      <c r="AV706">
        <f>0.0000608011651438341*(10000)</f>
        <v>0.60801165143834102</v>
      </c>
      <c r="AW706">
        <f>0.0000731416938688198*(10000)</f>
        <v>0.73141693868819802</v>
      </c>
      <c r="AX706">
        <f>0.0000559766779618865*(10000)</f>
        <v>0.55976677961886501</v>
      </c>
      <c r="AY706">
        <f>0.0000519870509079547*(10000)</f>
        <v>0.51987050907954702</v>
      </c>
      <c r="AZ706">
        <f>0.0000339744274538437*(10000)</f>
        <v>0.33974427453843703</v>
      </c>
      <c r="BA706">
        <f>0.0000297141186539065*(10000)</f>
        <v>0.29714118653906502</v>
      </c>
      <c r="BB706">
        <f>0.0000257964370325281*(10000)</f>
        <v>0.25796437032528097</v>
      </c>
      <c r="BC706">
        <f>0.0000196484243480548*(10000)</f>
        <v>0.19648424348054799</v>
      </c>
      <c r="BD706">
        <f>0.000014609486110148*(10000)</f>
        <v>0.14609486110148001</v>
      </c>
      <c r="BE706">
        <f>0.0000130112044712761*(10000)</f>
        <v>0.130112044712761</v>
      </c>
      <c r="BF706">
        <f>9.18913601917104E-06*(10000)</f>
        <v>9.1891360191710403E-2</v>
      </c>
      <c r="BG706">
        <f>0.0000100079175059236*(10000)</f>
        <v>0.100079175059236</v>
      </c>
      <c r="BH706">
        <f>5.59527737964864E-06*(10000)</f>
        <v>5.5952773796486402E-2</v>
      </c>
      <c r="BI706">
        <f>3.89926291073396E-06*(10000)</f>
        <v>3.8992629107339603E-2</v>
      </c>
      <c r="BJ706">
        <f>2.39790513787834E-06*(10000)</f>
        <v>2.3979051378783398E-2</v>
      </c>
    </row>
    <row r="707" spans="1:62">
      <c r="A707" t="str">
        <f>VLOOKUP(B707,info!$B$2:$F$49,2,FALSE)</f>
        <v>Hyundai</v>
      </c>
      <c r="B707" s="34">
        <v>34</v>
      </c>
      <c r="C707" t="s">
        <v>373</v>
      </c>
      <c r="D707" s="34" t="s">
        <v>77</v>
      </c>
      <c r="F707">
        <f>VLOOKUP(B707,info!$B$2:$I$49,8,FALSE)</f>
        <v>9602910</v>
      </c>
      <c r="H707">
        <f>8.29665430931092*(10000)</f>
        <v>82966.543093109198</v>
      </c>
      <c r="I707">
        <f>2.04660023334661*(10000)</f>
        <v>20466.002333466098</v>
      </c>
      <c r="J707">
        <f>0.523411945112323*(10000)</f>
        <v>5234.1194511232306</v>
      </c>
      <c r="K707">
        <f>27.9621108510724*(10000)</f>
        <v>279621.10851072398</v>
      </c>
      <c r="N707">
        <f>0.255419904956609*(10000)</f>
        <v>2554.1990495660898</v>
      </c>
      <c r="P707">
        <f>5.93102350421331*(10000)</f>
        <v>59310.235042133099</v>
      </c>
      <c r="R707">
        <f>0.0237097977369692*(10000)</f>
        <v>237.09797736969199</v>
      </c>
      <c r="T707">
        <f>0.00670662335245628*(10000)</f>
        <v>67.066233524562804</v>
      </c>
      <c r="U707">
        <f>0.367181323502717*(10000)</f>
        <v>3671.8132350271699</v>
      </c>
      <c r="W707">
        <f>0.000109582375404992*(10000)</f>
        <v>1.0958237540499201</v>
      </c>
      <c r="Y707">
        <f>0.000149656380386532*(10000)</f>
        <v>1.49656380386532</v>
      </c>
      <c r="AA707">
        <f>0.0034800576171248*(10000)</f>
        <v>34.800576171247997</v>
      </c>
      <c r="AB707">
        <f>0.00150116812888262*(10000)</f>
        <v>15.011681288826201</v>
      </c>
      <c r="AF707">
        <f>0.00348939700002903*(10000)</f>
        <v>34.893970000290302</v>
      </c>
      <c r="AG707">
        <f>0.00605279879369074*(10000)</f>
        <v>60.527987936907394</v>
      </c>
      <c r="AH707">
        <f>0.000964418583275486*(10000)</f>
        <v>9.6441858327548609</v>
      </c>
      <c r="AI707">
        <f>0.000863616414795645*(10000)</f>
        <v>8.6361641479564497</v>
      </c>
      <c r="AJ707">
        <f>0.000502792565567673*(10000)</f>
        <v>5.0279256556767304</v>
      </c>
      <c r="AK707">
        <f>0.000706389435618154*(10000)</f>
        <v>7.0638943561815406</v>
      </c>
      <c r="AL707">
        <f>0.000594583344778546*(10000)</f>
        <v>5.9458334477854597</v>
      </c>
      <c r="AM707">
        <f>0.000393223169027439*(10000)</f>
        <v>3.9322316902743903</v>
      </c>
      <c r="AN707">
        <f>0.000263538688306268*(10000)</f>
        <v>2.6353868830626799</v>
      </c>
      <c r="AO707">
        <f>0.000139186409826094*(10000)</f>
        <v>1.39186409826094</v>
      </c>
      <c r="AP707">
        <f>0.00030353681448608*(10000)</f>
        <v>3.0353681448608003</v>
      </c>
      <c r="AQ707">
        <f>0.000173996280780235*(10000)</f>
        <v>1.7399628078023499</v>
      </c>
      <c r="AR707">
        <f>0.0000983063398071566*(10000)</f>
        <v>0.98306339807156606</v>
      </c>
      <c r="AS707">
        <f>0.0000472541974336829*(10000)</f>
        <v>0.47254197433682898</v>
      </c>
      <c r="AT707">
        <f>0.0000609384526273694*(10000)</f>
        <v>0.60938452627369399</v>
      </c>
      <c r="AU707">
        <f>0.0000560481598464267*(10000)</f>
        <v>0.56048159846426704</v>
      </c>
      <c r="AV707">
        <f>0.0000637899769226376*(10000)</f>
        <v>0.63789976922637603</v>
      </c>
      <c r="AW707">
        <f>0.0000602143247199121*(10000)</f>
        <v>0.60214324719912105</v>
      </c>
      <c r="AX707">
        <f>0.0000524266281704192*(10000)</f>
        <v>0.52426628170419198</v>
      </c>
      <c r="AY707">
        <f>0.0000429312420401174*(10000)</f>
        <v>0.42931242040117401</v>
      </c>
      <c r="AZ707">
        <f>0.0000306913934685528*(10000)</f>
        <v>0.30691393468552797</v>
      </c>
      <c r="BA707">
        <f>0.000026614088516873*(10000)</f>
        <v>0.26614088516873002</v>
      </c>
      <c r="BB707">
        <f>0.0000231858774879457*(10000)</f>
        <v>0.231858774879457</v>
      </c>
      <c r="BC707">
        <f>0.000018821122270242*(10000)</f>
        <v>0.18821122270242002</v>
      </c>
      <c r="BD707">
        <f>0.0000118372041073187*(10000)</f>
        <v>0.118372041073187</v>
      </c>
      <c r="BE707">
        <f>0.0000136113631276964*(10000)</f>
        <v>0.13611363127696399</v>
      </c>
      <c r="BF707">
        <f>0.0000094945151618021*(10000)</f>
        <v>9.4945151618021001E-2</v>
      </c>
      <c r="BG707">
        <f>8.96443795554296E-06*(10000)</f>
        <v>8.9644379555429601E-2</v>
      </c>
      <c r="BH707">
        <f>4.03869645448323E-06*(10000)</f>
        <v>4.0386964544832295E-2</v>
      </c>
      <c r="BI707">
        <f>3.55140335645687E-06*(10000)</f>
        <v>3.5514033564568698E-2</v>
      </c>
      <c r="BJ707">
        <f>1.59637586981018E-06*(10000)</f>
        <v>1.59637586981018E-2</v>
      </c>
    </row>
    <row r="708" spans="1:62">
      <c r="A708" t="str">
        <f>VLOOKUP(B708,info!$B$2:$F$49,2,FALSE)</f>
        <v>Hyundai</v>
      </c>
      <c r="B708" s="34">
        <v>35</v>
      </c>
      <c r="C708" t="s">
        <v>373</v>
      </c>
      <c r="D708" s="34" t="s">
        <v>77</v>
      </c>
      <c r="F708">
        <f>VLOOKUP(B708,info!$B$2:$I$49,8,FALSE)</f>
        <v>5826120</v>
      </c>
      <c r="H708">
        <f>8.42835437735924*(10000)</f>
        <v>84283.543773592392</v>
      </c>
      <c r="I708">
        <f>2.07668268356418*(10000)</f>
        <v>20766.826835641798</v>
      </c>
      <c r="J708">
        <f>0.49263666743045*(10000)</f>
        <v>4926.3666743044996</v>
      </c>
      <c r="K708">
        <f>28.729784955644*(10000)</f>
        <v>287297.84955644002</v>
      </c>
      <c r="N708">
        <f>0.211844580761592*(10000)</f>
        <v>2118.4458076159199</v>
      </c>
      <c r="P708">
        <f>6.01810696835648*(10000)</f>
        <v>60181.069683564798</v>
      </c>
      <c r="R708">
        <f>0.0252865213900803*(10000)</f>
        <v>252.86521390080301</v>
      </c>
      <c r="T708">
        <f>0.0079156536622672*(10000)</f>
        <v>79.156536622671993</v>
      </c>
      <c r="U708">
        <f>0.350831869832115*(10000)</f>
        <v>3508.3186983211499</v>
      </c>
      <c r="W708">
        <f>0.000126513557871*(10000)</f>
        <v>1.2651355787099998</v>
      </c>
      <c r="Y708">
        <f>0.000174599110450954*(10000)</f>
        <v>1.74599110450954</v>
      </c>
      <c r="AA708">
        <f>0.00374282404339018*(10000)</f>
        <v>37.428240433901799</v>
      </c>
      <c r="AB708">
        <f>0.00122842370489393*(10000)</f>
        <v>12.284237048939302</v>
      </c>
      <c r="AF708">
        <f>0.0031934697478826*(10000)</f>
        <v>31.934697478825999</v>
      </c>
      <c r="AG708">
        <f>0.00576616173642763*(10000)</f>
        <v>57.661617364276303</v>
      </c>
      <c r="AH708">
        <f>0.00103757655412534*(10000)</f>
        <v>10.375765541253399</v>
      </c>
      <c r="AI708">
        <f>0.000798712345012759*(10000)</f>
        <v>7.9871234501275898</v>
      </c>
      <c r="AJ708">
        <f>0.000437449423331143*(10000)</f>
        <v>4.3744942333114301</v>
      </c>
      <c r="AK708">
        <f>0.000866932489167735*(10000)</f>
        <v>8.6693248916773502</v>
      </c>
      <c r="AL708">
        <f>0.000580372770541579*(10000)</f>
        <v>5.8037277054157901</v>
      </c>
      <c r="AM708">
        <f>0.000396802710592883*(10000)</f>
        <v>3.9680271059288299</v>
      </c>
      <c r="AN708">
        <f>0.000331090019873467*(10000)</f>
        <v>3.3109001987346698</v>
      </c>
      <c r="AO708">
        <f>0.000130994056374187*(10000)</f>
        <v>1.30994056374187</v>
      </c>
      <c r="AP708">
        <f>0.000304209591770473*(10000)</f>
        <v>3.0420959177047302</v>
      </c>
      <c r="AQ708">
        <f>0.000170056898827394*(10000)</f>
        <v>1.7005689882739399</v>
      </c>
      <c r="AR708">
        <f>0.000105337748876519*(10000)</f>
        <v>1.0533774887651899</v>
      </c>
      <c r="AS708">
        <f>0.0000541848130572898*(10000)</f>
        <v>0.54184813057289793</v>
      </c>
      <c r="AT708">
        <f>0.0000703832407801121*(10000)</f>
        <v>0.703832407801121</v>
      </c>
      <c r="AU708">
        <f>0.0000556495409811031*(10000)</f>
        <v>0.55649540981103096</v>
      </c>
      <c r="AV708">
        <f>0.000061770211372949*(10000)</f>
        <v>0.61770211372949002</v>
      </c>
      <c r="AW708">
        <f>0.000068605774869203*(10000)</f>
        <v>0.68605774869203007</v>
      </c>
      <c r="AX708">
        <f>0.000062379446335783*(10000)</f>
        <v>0.62379446335782995</v>
      </c>
      <c r="AY708">
        <f>0.0000513162502510779*(10000)</f>
        <v>0.513162502510779</v>
      </c>
      <c r="AZ708">
        <f>0.0000358646591423445*(10000)</f>
        <v>0.35864659142344502</v>
      </c>
      <c r="BA708">
        <f>0.0000310662594583573*(10000)</f>
        <v>0.31066259458357304</v>
      </c>
      <c r="BB708">
        <f>0.0000235183868832144*(10000)</f>
        <v>0.23518386883214401</v>
      </c>
      <c r="BC708">
        <f>0.0000187521804304243*(10000)</f>
        <v>0.18752180430424301</v>
      </c>
      <c r="BD708">
        <f>0.0000140080916015977*(10000)</f>
        <v>0.140080916015977</v>
      </c>
      <c r="BE708">
        <f>0.000016833471454738*(10000)</f>
        <v>0.16833471454738</v>
      </c>
      <c r="BF708">
        <f>0.000010216320408021*(10000)</f>
        <v>0.10216320408021001</v>
      </c>
      <c r="BG708">
        <f>6.16601552497665E-06*(10000)</f>
        <v>6.16601552497665E-2</v>
      </c>
      <c r="BH708">
        <f>5.76355639858544E-06*(10000)</f>
        <v>5.7635563985854399E-2</v>
      </c>
      <c r="BI708">
        <f>4.22285319378242E-06*(10000)</f>
        <v>4.22285319378242E-2</v>
      </c>
      <c r="BJ708">
        <f>2.87976299240456E-06*(10000)</f>
        <v>2.8797629924045599E-2</v>
      </c>
    </row>
    <row r="709" spans="1:62">
      <c r="A709" t="str">
        <f>VLOOKUP(B709,info!$B$2:$F$49,2,FALSE)</f>
        <v>Hyundai</v>
      </c>
      <c r="B709" s="34">
        <v>36</v>
      </c>
      <c r="C709" t="s">
        <v>373</v>
      </c>
      <c r="D709" s="34" t="s">
        <v>77</v>
      </c>
      <c r="F709">
        <f>VLOOKUP(B709,info!$B$2:$I$49,8,FALSE)</f>
        <v>5826120</v>
      </c>
      <c r="H709">
        <f>7.99912920128572*(10000)</f>
        <v>79991.2920128572</v>
      </c>
      <c r="I709">
        <f>2.2248851588474*(10000)</f>
        <v>22248.851588474001</v>
      </c>
      <c r="J709">
        <f>0.888712168953982*(10000)</f>
        <v>8887.1216895398193</v>
      </c>
      <c r="K709">
        <f>28.9130112391989*(10000)</f>
        <v>289130.11239198904</v>
      </c>
      <c r="N709">
        <f>0.520856368705921*(10000)</f>
        <v>5208.5636870592098</v>
      </c>
      <c r="P709">
        <f>5.27010757107411*(10000)</f>
        <v>52701.075710741105</v>
      </c>
      <c r="R709">
        <f>0.0277400212802017*(10000)</f>
        <v>277.40021280201699</v>
      </c>
      <c r="T709">
        <f>0.0170924525275598*(10000)</f>
        <v>170.924525275598</v>
      </c>
      <c r="U709">
        <f>0.34587760395114*(10000)</f>
        <v>3458.7760395113996</v>
      </c>
      <c r="W709">
        <f>0.000173191887308534*(10000)</f>
        <v>1.7319188730853399</v>
      </c>
      <c r="Y709">
        <f>0.000940924689451493*(10000)</f>
        <v>9.4092468945149292</v>
      </c>
      <c r="AA709">
        <f>0.00538835984951534*(10000)</f>
        <v>53.8835984951534</v>
      </c>
      <c r="AB709">
        <f>0.00158396980440675*(10000)</f>
        <v>15.8396980440675</v>
      </c>
      <c r="AF709">
        <f>0.0155990534346091*(10000)</f>
        <v>155.99053434609101</v>
      </c>
      <c r="AG709">
        <f>0.00451024434225533*(10000)</f>
        <v>45.1024434225533</v>
      </c>
      <c r="AH709">
        <f>0.00299580429750161*(10000)</f>
        <v>29.958042975016102</v>
      </c>
      <c r="AI709">
        <f>0.00217506455328423*(10000)</f>
        <v>21.750645532842302</v>
      </c>
      <c r="AJ709">
        <f>0.00200918051521016*(10000)</f>
        <v>20.0918051521016</v>
      </c>
      <c r="AK709">
        <f>0.000899041099877651*(10000)</f>
        <v>8.9904109987765111</v>
      </c>
      <c r="AL709">
        <f>0.000554137864257948*(10000)</f>
        <v>5.5413786425794802</v>
      </c>
      <c r="AM709">
        <f>0.000432177003710211*(10000)</f>
        <v>4.3217700371021106</v>
      </c>
      <c r="AN709">
        <f>0.000559702604871628*(10000)</f>
        <v>5.5970260487162795</v>
      </c>
      <c r="AO709">
        <f>0.000432863933764951*(10000)</f>
        <v>4.32863933764951</v>
      </c>
      <c r="AP709">
        <f>0.000191556691430879*(10000)</f>
        <v>1.9155669143087901</v>
      </c>
      <c r="AQ709">
        <f>0.000124235666639081*(10000)</f>
        <v>1.2423566663908101</v>
      </c>
      <c r="AR709">
        <f>0.000109587082812746*(10000)</f>
        <v>1.0958708281274601</v>
      </c>
      <c r="AS709">
        <f>0.0000459940855021181*(10000)</f>
        <v>0.45994085502118104</v>
      </c>
      <c r="AT709">
        <f>0.0000788223802363953*(10000)</f>
        <v>0.78822380236395306</v>
      </c>
      <c r="AU709">
        <f>0.0000937551437283153*(10000)</f>
        <v>0.93755143728315304</v>
      </c>
      <c r="AV709">
        <f>0.0000783019808271446*(10000)</f>
        <v>0.78301980827144591</v>
      </c>
      <c r="AW709">
        <f>0.0000909451759423154*(10000)</f>
        <v>0.90945175942315393</v>
      </c>
      <c r="AX709">
        <f>0.0000861521011893588*(10000)</f>
        <v>0.86152101189358798</v>
      </c>
      <c r="AY709">
        <f>0.0000822689091326804*(10000)</f>
        <v>0.82268909132680401</v>
      </c>
      <c r="AZ709">
        <f>0.0000565577218375114*(10000)</f>
        <v>0.56557721837511399</v>
      </c>
      <c r="BA709">
        <f>0.0000498643145446245*(10000)</f>
        <v>0.498643145446245</v>
      </c>
      <c r="BB709">
        <f>0.0000545475617539105*(10000)</f>
        <v>0.54547561753910501</v>
      </c>
      <c r="BC709">
        <f>0.0000321958391948828*(10000)</f>
        <v>0.32195839194882803</v>
      </c>
      <c r="BD709">
        <f>0.0000220022381176928*(10000)</f>
        <v>0.22002238117692799</v>
      </c>
      <c r="BE709">
        <f>0.0000242740248357913*(10000)</f>
        <v>0.242740248357913</v>
      </c>
      <c r="BF709">
        <f>0.0000156576214949017*(10000)</f>
        <v>0.15657621494901702</v>
      </c>
      <c r="BG709">
        <f>6.97234063208898E-06*(10000)</f>
        <v>6.9723406320889803E-2</v>
      </c>
      <c r="BH709">
        <f>8.96085775838466E-06*(10000)</f>
        <v>8.9608577583846591E-2</v>
      </c>
      <c r="BI709">
        <f>6.48798517512165E-06*(10000)</f>
        <v>6.4879851751216494E-2</v>
      </c>
      <c r="BJ709">
        <f>1.34198830429847E-06*(10000)</f>
        <v>1.34198830429847E-2</v>
      </c>
    </row>
    <row r="710" spans="1:62">
      <c r="A710" t="str">
        <f>VLOOKUP(B710,info!$B$2:$F$49,2,FALSE)</f>
        <v>Ford</v>
      </c>
      <c r="B710" s="34">
        <v>37</v>
      </c>
      <c r="C710" t="s">
        <v>373</v>
      </c>
      <c r="D710" s="34" t="s">
        <v>77</v>
      </c>
      <c r="F710">
        <f>VLOOKUP(B710,info!$B$2:$I$49,8,FALSE)</f>
        <v>6917835</v>
      </c>
      <c r="H710">
        <f>8.3973464590144*(10000)</f>
        <v>83973.464590144009</v>
      </c>
      <c r="I710">
        <f>2.200366976299*(10000)</f>
        <v>22003.669762990001</v>
      </c>
      <c r="J710">
        <f>0.436272459617584*(10000)</f>
        <v>4362.7245961758399</v>
      </c>
      <c r="K710">
        <f>29.7060344288482*(10000)</f>
        <v>297060.34428848198</v>
      </c>
      <c r="N710">
        <f>0.222012850171213*(10000)</f>
        <v>2220.1285017121299</v>
      </c>
      <c r="P710">
        <f>5.35981501907092*(10000)</f>
        <v>53598.150190709202</v>
      </c>
      <c r="R710">
        <f>0.0214147069989127*(10000)</f>
        <v>214.147069989127</v>
      </c>
      <c r="T710">
        <f>0.00274765210643791*(10000)</f>
        <v>27.476521064379099</v>
      </c>
      <c r="U710">
        <f>0.673178034294775*(10000)</f>
        <v>6731.7803429477499</v>
      </c>
      <c r="W710">
        <f>0.000109993897201041*(10000)</f>
        <v>1.09993897201041</v>
      </c>
      <c r="Y710">
        <f>0.000560415381872971*(10000)</f>
        <v>5.6041538187297109</v>
      </c>
      <c r="AA710">
        <f>0.00869998165517022*(10000)</f>
        <v>86.999816551702196</v>
      </c>
      <c r="AB710">
        <f>0.00198652434794911*(10000)</f>
        <v>19.865243479491099</v>
      </c>
      <c r="AF710">
        <f>0.00729825599714202*(10000)</f>
        <v>72.982559971420201</v>
      </c>
      <c r="AG710">
        <f>0.00314773498863265*(10000)</f>
        <v>31.477349886326497</v>
      </c>
      <c r="AH710">
        <f>0.000630982602358771*(10000)</f>
        <v>6.3098260235877106</v>
      </c>
      <c r="AI710">
        <f>0.000667166589827519*(10000)</f>
        <v>6.6716658982751902</v>
      </c>
      <c r="AJ710">
        <f>0.000922615662536907*(10000)</f>
        <v>9.2261566253690699</v>
      </c>
      <c r="AK710">
        <f>0.00205495108543463*(10000)</f>
        <v>20.549510854346302</v>
      </c>
      <c r="AL710">
        <f>0.00035720216150194*(10000)</f>
        <v>3.5720216150194002</v>
      </c>
      <c r="AM710">
        <f>0.000306787768285397*(10000)</f>
        <v>3.06787768285397</v>
      </c>
      <c r="AN710">
        <f>0.00027940882646485*(10000)</f>
        <v>2.7940882646484999</v>
      </c>
      <c r="AO710">
        <f>0.000292505803725221*(10000)</f>
        <v>2.9250580372522101</v>
      </c>
      <c r="AP710">
        <f>0.000182915457482645*(10000)</f>
        <v>1.8291545748264499</v>
      </c>
      <c r="AQ710">
        <f>0.0000892788352049204*(10000)</f>
        <v>0.89278835204920393</v>
      </c>
      <c r="AR710">
        <f>0.0000754971347772736*(10000)</f>
        <v>0.754971347772736</v>
      </c>
      <c r="AS710">
        <f>0.0000371733019811639*(10000)</f>
        <v>0.37173301981163903</v>
      </c>
      <c r="AT710">
        <f>0.000071086631422759*(10000)</f>
        <v>0.71086631422758995</v>
      </c>
      <c r="AU710">
        <f>0.00016722308853562*(10000)</f>
        <v>1.6722308853562</v>
      </c>
      <c r="AV710">
        <f>0.000105861447377936*(10000)</f>
        <v>1.0586144737793601</v>
      </c>
      <c r="AW710">
        <f>0.0000612349064948259*(10000)</f>
        <v>0.61234906494825903</v>
      </c>
      <c r="AX710">
        <f>0.0000510319657523428*(10000)</f>
        <v>0.51031965752342801</v>
      </c>
      <c r="AY710">
        <f>0.0000493996769457155*(10000)</f>
        <v>0.49399676945715498</v>
      </c>
      <c r="AZ710">
        <f>0.000029497562928447*(10000)</f>
        <v>0.29497562928447002</v>
      </c>
      <c r="BA710">
        <f>0.0000268779208689609*(10000)</f>
        <v>0.26877920868960897</v>
      </c>
      <c r="BB710">
        <f>0.00003398346190073*(10000)</f>
        <v>0.3398346190073</v>
      </c>
      <c r="BC710">
        <f>0.000017786994672976*(10000)</f>
        <v>0.17786994672976</v>
      </c>
      <c r="BD710">
        <f>0.0000118518722660639*(10000)</f>
        <v>0.11851872266063899</v>
      </c>
      <c r="BE710">
        <f>8.05069414493284E-06*(10000)</f>
        <v>8.0506941449328406E-2</v>
      </c>
      <c r="BF710">
        <f>8.77270991558323E-06*(10000)</f>
        <v>8.7727099155832294E-2</v>
      </c>
      <c r="BG710">
        <f>0.0000110039661676506*(10000)</f>
        <v>0.110039661676506</v>
      </c>
      <c r="BH710">
        <f>4.54353351129363E-06*(10000)</f>
        <v>4.54353351129363E-2</v>
      </c>
      <c r="BI710">
        <f>3.34106967247537E-06*(10000)</f>
        <v>3.3410696724753698E-2</v>
      </c>
      <c r="BJ710">
        <f>2.54256366849859E-06*(10000)</f>
        <v>2.5425636684985903E-2</v>
      </c>
    </row>
    <row r="711" spans="1:62">
      <c r="A711" t="str">
        <f>VLOOKUP(B711,info!$B$2:$F$49,2,FALSE)</f>
        <v>Hyundai</v>
      </c>
      <c r="B711" s="34">
        <v>38</v>
      </c>
      <c r="C711" t="s">
        <v>373</v>
      </c>
      <c r="D711" s="34" t="s">
        <v>77</v>
      </c>
      <c r="F711">
        <f>VLOOKUP(B711,info!$B$2:$I$49,8,FALSE)</f>
        <v>5826120</v>
      </c>
      <c r="H711">
        <f>8.2704587153425*(10000)</f>
        <v>82704.587153424989</v>
      </c>
      <c r="I711">
        <f>2.01795541250712*(10000)</f>
        <v>20179.554125071201</v>
      </c>
      <c r="J711">
        <f>0.47912341219351*(10000)</f>
        <v>4791.2341219351001</v>
      </c>
      <c r="K711">
        <f>27.6369188049541*(10000)</f>
        <v>276369.18804954097</v>
      </c>
      <c r="N711">
        <f>0.204301052261664*(10000)</f>
        <v>2043.0105226166402</v>
      </c>
      <c r="P711">
        <f>5.76751651033247*(10000)</f>
        <v>57675.165103324704</v>
      </c>
      <c r="R711">
        <f>0.0255628164227516*(10000)</f>
        <v>255.62816422751601</v>
      </c>
      <c r="T711">
        <f>0.00789804727942446*(10000)</f>
        <v>78.980472794244591</v>
      </c>
      <c r="U711">
        <f>0.345814578674445*(10000)</f>
        <v>3458.1457867444497</v>
      </c>
      <c r="W711">
        <f>0.000115696413517717*(10000)</f>
        <v>1.15696413517717</v>
      </c>
      <c r="Y711">
        <f>0.000157616826151773*(10000)</f>
        <v>1.5761682615177302</v>
      </c>
      <c r="AA711">
        <f>0.00383245678359619*(10000)</f>
        <v>38.324567835961901</v>
      </c>
      <c r="AB711">
        <f>0.00116662072517996*(10000)</f>
        <v>11.666207251799602</v>
      </c>
      <c r="AF711">
        <f>0.00322821796382429*(10000)</f>
        <v>32.282179638242901</v>
      </c>
      <c r="AG711">
        <f>0.00583270699135038*(10000)</f>
        <v>58.327069913503806</v>
      </c>
      <c r="AH711">
        <f>0.00108199978525429*(10000)</f>
        <v>10.819997852542899</v>
      </c>
      <c r="AI711">
        <f>0.000842919216196719*(10000)</f>
        <v>8.4291921619671903</v>
      </c>
      <c r="AJ711">
        <f>0.000448762040019874*(10000)</f>
        <v>4.4876204001987396</v>
      </c>
      <c r="AK711">
        <f>0.000706389435618154*(10000)</f>
        <v>7.0638943561815406</v>
      </c>
      <c r="AL711">
        <f>0.000571379365167834*(10000)</f>
        <v>5.7137936516783405</v>
      </c>
      <c r="AM711">
        <f>0.000361744259378389*(10000)</f>
        <v>3.6174425937838901</v>
      </c>
      <c r="AN711">
        <f>0.000299408740352431*(10000)</f>
        <v>2.9940874035243099</v>
      </c>
      <c r="AO711">
        <f>0.000142837353031127*(10000)</f>
        <v>1.4283735303112699</v>
      </c>
      <c r="AP711">
        <f>0.000285835529143657*(10000)</f>
        <v>2.8583552914365704</v>
      </c>
      <c r="AQ711">
        <f>0.000149696514207971*(10000)</f>
        <v>1.4969651420797099</v>
      </c>
      <c r="AR711">
        <f>0.0000988398884628264*(10000)</f>
        <v>0.98839888462826397</v>
      </c>
      <c r="AS711">
        <f>0.0000497744212968128*(10000)</f>
        <v>0.49774421296812799</v>
      </c>
      <c r="AT711">
        <f>0.000052752723576482*(10000)</f>
        <v>0.52752723576481997</v>
      </c>
      <c r="AU711">
        <f>0.0000520475397955307*(10000)</f>
        <v>0.52047539795530695</v>
      </c>
      <c r="AV711">
        <f>0.0000608798323403305*(10000)</f>
        <v>0.60879832340330498</v>
      </c>
      <c r="AW711">
        <f>0.0000580597631950942*(10000)</f>
        <v>0.58059763195094205</v>
      </c>
      <c r="AX711">
        <f>0.00005141232823*(10000)</f>
        <v>0.51412328229999993</v>
      </c>
      <c r="AY711">
        <f>0.0000524661942342953*(10000)</f>
        <v>0.52466194234295305</v>
      </c>
      <c r="AZ711">
        <f>0.0000312385657994346*(10000)</f>
        <v>0.31238565799434603</v>
      </c>
      <c r="BA711">
        <f>0.0000289556006416536*(10000)</f>
        <v>0.289556006416536</v>
      </c>
      <c r="BB711">
        <f>0.0000223644710636678*(10000)</f>
        <v>0.22364471063667801</v>
      </c>
      <c r="BC711">
        <f>0.0000145467282015424*(10000)</f>
        <v>0.145467282015424</v>
      </c>
      <c r="BD711">
        <f>0.0000126879573145362*(10000)</f>
        <v>0.126879573145362</v>
      </c>
      <c r="BE711">
        <f>0.0000167641353015044*(10000)</f>
        <v>0.16764135301504399</v>
      </c>
      <c r="BF711">
        <f>0.0000107715552128047*(10000)</f>
        <v>0.107715552128047</v>
      </c>
      <c r="BG711">
        <f>4.60079619940565E-06*(10000)</f>
        <v>4.6007961994056504E-2</v>
      </c>
      <c r="BH711">
        <f>5.65838201174994E-06*(10000)</f>
        <v>5.6583820117499399E-2</v>
      </c>
      <c r="BI711">
        <f>0.0000036484804413714*(10000)</f>
        <v>3.6484804413714003E-2</v>
      </c>
      <c r="BJ711">
        <f>3.66484037483598E-06*(10000)</f>
        <v>3.6648403748359801E-2</v>
      </c>
    </row>
    <row r="712" spans="1:62">
      <c r="A712" t="str">
        <f>VLOOKUP(B712,info!$B$2:$F$49,2,FALSE)</f>
        <v>Renault</v>
      </c>
      <c r="B712" s="34">
        <v>39</v>
      </c>
      <c r="C712" t="s">
        <v>373</v>
      </c>
      <c r="D712" s="34" t="s">
        <v>77</v>
      </c>
      <c r="F712">
        <f>VLOOKUP(B712,info!$B$2:$I$49,8,FALSE)</f>
        <v>1147816</v>
      </c>
      <c r="H712">
        <f>8.39544774054856*(10000)</f>
        <v>83954.477405485595</v>
      </c>
      <c r="I712">
        <f>2.16282229212365*(10000)</f>
        <v>21628.222921236498</v>
      </c>
      <c r="J712">
        <f>0.459129987095114*(10000)</f>
        <v>4591.2998709511403</v>
      </c>
      <c r="K712">
        <f>28.1985293924098*(10000)</f>
        <v>281985.29392409802</v>
      </c>
      <c r="N712">
        <f>0.0935693615314189*(10000)</f>
        <v>935.69361531418895</v>
      </c>
      <c r="P712">
        <f>5.09118467205304*(10000)</f>
        <v>50911.846720530397</v>
      </c>
      <c r="R712">
        <f>0.0258759507931125*(10000)</f>
        <v>258.75950793112503</v>
      </c>
      <c r="T712">
        <f>0.0173931695465138*(10000)</f>
        <v>173.93169546513801</v>
      </c>
      <c r="U712">
        <f>0.398104668823269*(10000)</f>
        <v>3981.04668823269</v>
      </c>
      <c r="W712">
        <f>0.0000716635813404964*(10000)</f>
        <v>0.71663581340496396</v>
      </c>
      <c r="Y712">
        <f>0.00136813527885276*(10000)</f>
        <v>13.681352788527601</v>
      </c>
      <c r="AA712">
        <f>0.00549625311247481*(10000)</f>
        <v>54.962531124748104</v>
      </c>
      <c r="AB712">
        <f>0.00157776564428102*(10000)</f>
        <v>15.777656442810201</v>
      </c>
      <c r="AF712">
        <f>0.00432853747888034*(10000)</f>
        <v>43.285374788803402</v>
      </c>
      <c r="AG712">
        <f>0.00532814398113292*(10000)</f>
        <v>53.2814398113292</v>
      </c>
      <c r="AH712">
        <f>0.00218693397924913*(10000)</f>
        <v>21.869339792491299</v>
      </c>
      <c r="AI712">
        <f>0.000395411048688706*(10000)</f>
        <v>3.95411048688706</v>
      </c>
      <c r="AJ712">
        <f>0.000559795995336417*(10000)</f>
        <v>5.5979599533641702</v>
      </c>
      <c r="AK712">
        <f>0.00073849804632807*(10000)</f>
        <v>7.3849804632807006</v>
      </c>
      <c r="AL712">
        <f>0.0010761031871927*(10000)</f>
        <v>10.761031871927001</v>
      </c>
      <c r="AM712">
        <f>0.00101364194682629*(10000)</f>
        <v>10.136419468262899</v>
      </c>
      <c r="AN712">
        <f>0.00096872739243092*(10000)</f>
        <v>9.6872739243091992</v>
      </c>
      <c r="AO712">
        <f>0.000368401439059996*(10000)</f>
        <v>3.6840143905999603</v>
      </c>
      <c r="AP712">
        <f>0.000324781999253201*(10000)</f>
        <v>3.2478199925320101</v>
      </c>
      <c r="AQ712">
        <f>0.000124525936888238*(10000)</f>
        <v>1.2452593688823801</v>
      </c>
      <c r="AR712">
        <f>0.000241659430400147*(10000)</f>
        <v>2.4165943040014701</v>
      </c>
      <c r="AS712">
        <f>0.0000535547570915074*(10000)</f>
        <v>0.53554757091507399</v>
      </c>
      <c r="AT712">
        <f>0.000110679825952663*(10000)</f>
        <v>1.1067982595266299</v>
      </c>
      <c r="AU712">
        <f>0.0000771545808973005*(10000)</f>
        <v>0.77154580897300507</v>
      </c>
      <c r="AV712">
        <f>0.0000649849177907978*(10000)</f>
        <v>0.64984917790797803</v>
      </c>
      <c r="AW712">
        <f>0.00018982821013396*(10000)</f>
        <v>1.8982821013395998</v>
      </c>
      <c r="AX712">
        <f>0.00018796245770894*(10000)</f>
        <v>1.8796245770894</v>
      </c>
      <c r="AY712">
        <f>0.000159602642004053*(10000)</f>
        <v>1.5960264200405301</v>
      </c>
      <c r="AZ712">
        <f>0.0000930690391890798*(10000)</f>
        <v>0.93069039189079794</v>
      </c>
      <c r="BA712">
        <f>0.0000896040625778735*(10000)</f>
        <v>0.896040625778735</v>
      </c>
      <c r="BB712">
        <f>0.0000121958563762273*(10000)</f>
        <v>0.12195856376227299</v>
      </c>
      <c r="BC712">
        <f>0.0000139951934830005*(10000)</f>
        <v>0.13995193483000498</v>
      </c>
      <c r="BD712">
        <f>0.0000406014634065158*(10000)</f>
        <v>0.40601463406515798</v>
      </c>
      <c r="BE712">
        <f>0.0000398202333433995*(10000)</f>
        <v>0.39820233343399503</v>
      </c>
      <c r="BF712">
        <f>0.0000324257125993709*(10000)</f>
        <v>0.32425712599370898</v>
      </c>
      <c r="BG712">
        <f>9.58103950804063E-06*(10000)</f>
        <v>9.5810395080406299E-2</v>
      </c>
      <c r="BH712">
        <f>0.0000131047285997034*(10000)</f>
        <v>0.131047285997034</v>
      </c>
      <c r="BI712">
        <f>0.0000108969027816569*(10000)</f>
        <v>0.108969027816569</v>
      </c>
      <c r="BJ712">
        <f>7.11991384742741E-07*(10000)</f>
        <v>7.1199138474274098E-3</v>
      </c>
    </row>
    <row r="713" spans="1:62">
      <c r="A713" t="str">
        <f>VLOOKUP(B713,info!$B$2:$F$49,2,FALSE)</f>
        <v>Subaru</v>
      </c>
      <c r="B713" s="34">
        <v>40</v>
      </c>
      <c r="C713" t="s">
        <v>373</v>
      </c>
      <c r="D713" s="34" t="s">
        <v>77</v>
      </c>
      <c r="F713">
        <f>VLOOKUP(B713,info!$B$2:$I$49,8,FALSE)</f>
        <v>2675308</v>
      </c>
      <c r="H713">
        <f>8.21367692943302*(10000)</f>
        <v>82136.76929433021</v>
      </c>
      <c r="I713">
        <f>1.898554333176*(10000)</f>
        <v>18985.54333176</v>
      </c>
      <c r="J713">
        <f>0.728643126753914*(10000)</f>
        <v>7286.4312675391393</v>
      </c>
      <c r="K713">
        <f>28.8061297727227*(10000)</f>
        <v>288061.29772722698</v>
      </c>
      <c r="N713">
        <f>0.417603455158007*(10000)</f>
        <v>4176.03455158007</v>
      </c>
      <c r="P713">
        <f>5.25739764928296*(10000)</f>
        <v>52573.976492829599</v>
      </c>
      <c r="R713">
        <f>0.0156014595115079*(10000)</f>
        <v>156.014595115079</v>
      </c>
      <c r="T713">
        <f>0.00501817123783758*(10000)</f>
        <v>50.181712378375799</v>
      </c>
      <c r="U713">
        <f>0.197252622924326*(10000)</f>
        <v>1972.5262292432599</v>
      </c>
      <c r="W713">
        <f>0.000121104985694358*(10000)</f>
        <v>1.2110498569435799</v>
      </c>
      <c r="Y713">
        <f>0.00079179900544931*(10000)</f>
        <v>7.9179900544930994</v>
      </c>
      <c r="AA713">
        <f>0.00558136470664012*(10000)</f>
        <v>55.813647066401195</v>
      </c>
      <c r="AB713">
        <f>0.00164553416257742*(10000)</f>
        <v>16.455341625774199</v>
      </c>
      <c r="AF713">
        <f>0.00731422541945194*(10000)</f>
        <v>73.142254194519396</v>
      </c>
      <c r="AG713">
        <f>0.00306144513440116*(10000)</f>
        <v>30.614451344011599</v>
      </c>
      <c r="AH713">
        <f>0.000234883044261079*(10000)</f>
        <v>2.3488304426107902</v>
      </c>
      <c r="AI713">
        <f>0.00182839589810035*(10000)</f>
        <v>18.283958981003501</v>
      </c>
      <c r="AJ713">
        <f>0.00101398702820813*(10000)</f>
        <v>10.139870282081301</v>
      </c>
      <c r="AK713">
        <f>0.000385303328518993*(10000)</f>
        <v>3.8530332851899303</v>
      </c>
      <c r="AL713">
        <f>0.000190103695911312*(10000)</f>
        <v>1.90103695911312</v>
      </c>
      <c r="AM713">
        <f>0.000127494848110369*(10000)</f>
        <v>1.2749484811036902</v>
      </c>
      <c r="AN713">
        <f>0.000225249767618834*(10000)</f>
        <v>2.25249767618834</v>
      </c>
      <c r="AO713">
        <f>0.000314008057193886*(10000)</f>
        <v>3.1400805719388605</v>
      </c>
      <c r="AP713">
        <f>0.0000740180442494062*(10000)</f>
        <v>0.74018044249406201</v>
      </c>
      <c r="AQ713">
        <f>0.0000801975231241598*(10000)</f>
        <v>0.80197523124159797</v>
      </c>
      <c r="AR713">
        <f>0.0000320700852675799*(10000)</f>
        <v>0.32070085267579901</v>
      </c>
      <c r="AS713">
        <f>0.000119710633498664*(10000)</f>
        <v>1.19710633498664</v>
      </c>
      <c r="AT713">
        <f>0.0000704979483346714*(10000)</f>
        <v>0.70497948334671401</v>
      </c>
      <c r="AU713">
        <f>0.0000327217185984003*(10000)</f>
        <v>0.32721718598400301</v>
      </c>
      <c r="AV713">
        <f>0.0000488684499355558*(10000)</f>
        <v>0.48868449935555802</v>
      </c>
      <c r="AW713">
        <f>0.0000243805646229399*(10000)</f>
        <v>0.24380564622939901</v>
      </c>
      <c r="AX713">
        <f>0.0000210467237636991*(10000)</f>
        <v>0.21046723763699102</v>
      </c>
      <c r="AY713">
        <f>0.0000254425106286857*(10000)</f>
        <v>0.25442510628685699</v>
      </c>
      <c r="AZ713">
        <f>0.0000205438338776536*(10000)</f>
        <v>0.205438338776536</v>
      </c>
      <c r="BA713">
        <f>0.0000189299712623111*(10000)</f>
        <v>0.18929971262311099</v>
      </c>
      <c r="BB713">
        <f>0.000042841193987359*(10000)</f>
        <v>0.42841193987359</v>
      </c>
      <c r="BC713">
        <f>0.0000148224955608133*(10000)</f>
        <v>0.14822495560813301</v>
      </c>
      <c r="BD713">
        <f>8.68354997711609E-06*(10000)</f>
        <v>8.6835499771160896E-2</v>
      </c>
      <c r="BE713">
        <f>7.21638977978309E-06*(10000)</f>
        <v>7.2163897797830903E-2</v>
      </c>
      <c r="BF713">
        <f>4.56680626934633E-06*(10000)</f>
        <v>4.5668062693463303E-2</v>
      </c>
      <c r="BG713">
        <f>8.39526729169896E-06*(10000)</f>
        <v>8.3952672916989601E-2</v>
      </c>
      <c r="BH713">
        <f>3.19730135979922E-06*(10000)</f>
        <v>3.1973013597992199E-2</v>
      </c>
      <c r="BI713">
        <f>2.58872226438769E-06*(10000)</f>
        <v>2.5887222643876901E-2</v>
      </c>
      <c r="BJ713">
        <f>1.13515328178377E-06*(10000)</f>
        <v>1.13515328178377E-2</v>
      </c>
    </row>
    <row r="714" spans="1:62">
      <c r="A714" t="str">
        <f>VLOOKUP(B714,info!$B$2:$F$49,2,FALSE)</f>
        <v>Fiat</v>
      </c>
      <c r="B714" s="34">
        <v>41</v>
      </c>
      <c r="C714" t="s">
        <v>373</v>
      </c>
      <c r="D714" s="34" t="s">
        <v>77</v>
      </c>
      <c r="F714">
        <f>VLOOKUP(B714,info!$B$2:$I$49,8,FALSE)</f>
        <v>5751910</v>
      </c>
      <c r="H714">
        <f>8.42553279858572*(10000)</f>
        <v>84255.327985857206</v>
      </c>
      <c r="I714">
        <f>2.06499526421768*(10000)</f>
        <v>20649.952642176799</v>
      </c>
      <c r="J714">
        <f>0.296727641410743*(10000)</f>
        <v>2967.2764141074299</v>
      </c>
      <c r="K714">
        <f>28.9484247809615*(10000)</f>
        <v>289484.24780961499</v>
      </c>
      <c r="N714">
        <f>0.0682677841808016*(10000)</f>
        <v>682.67784180801596</v>
      </c>
      <c r="P714">
        <f>5.17966212761845*(10000)</f>
        <v>51796.621276184494</v>
      </c>
      <c r="R714">
        <f>0.0158003919350313*(10000)</f>
        <v>158.003919350313</v>
      </c>
      <c r="T714">
        <f>0.0112668525725542*(10000)</f>
        <v>112.668525725542</v>
      </c>
      <c r="U714">
        <f>0.548440557892855*(10000)</f>
        <v>5484.4055789285494</v>
      </c>
      <c r="W714">
        <f>0.000119694053822191*(10000)</f>
        <v>1.19694053822191</v>
      </c>
      <c r="Y714">
        <f>0.00100673104111082*(10000)</f>
        <v>10.067310411108199</v>
      </c>
      <c r="AA714">
        <f>0.00465967352452985*(10000)</f>
        <v>46.596735245298497</v>
      </c>
      <c r="AB714">
        <f>0.00103704922716959*(10000)</f>
        <v>10.3704922716959</v>
      </c>
      <c r="AF714">
        <f>0.00375357595774016*(10000)</f>
        <v>37.535759577401599</v>
      </c>
      <c r="AG714">
        <f>0.00275893931834364*(10000)</f>
        <v>27.5893931834364</v>
      </c>
      <c r="AH714">
        <f>0.000492787081600833*(10000)</f>
        <v>4.9278708160083307</v>
      </c>
      <c r="AI714">
        <f>0.000189363756574384*(10000)</f>
        <v>1.8936375657438398</v>
      </c>
      <c r="AJ714">
        <f>0.000465762015776333*(10000)</f>
        <v>4.65762015776333</v>
      </c>
      <c r="AK714">
        <f>0.000642172214198322*(10000)</f>
        <v>6.4217221419832207</v>
      </c>
      <c r="AL714">
        <f>0.000341997840814836*(10000)</f>
        <v>3.4199784081483604</v>
      </c>
      <c r="AM714">
        <f>0.000282573222401512*(10000)</f>
        <v>2.8257322240151201</v>
      </c>
      <c r="AN714">
        <f>0.000394157594934895*(10000)</f>
        <v>3.9415759493489499</v>
      </c>
      <c r="AO714">
        <f>0.000302346156709304*(10000)</f>
        <v>3.0234615670930398</v>
      </c>
      <c r="AP714">
        <f>0.0000834788487598763*(10000)</f>
        <v>0.83478848759876301</v>
      </c>
      <c r="AQ714">
        <f>0.0000865834686056079*(10000)</f>
        <v>0.86583468605607894</v>
      </c>
      <c r="AR714">
        <f>0.0000661219226847904*(10000)</f>
        <v>0.66121922684790402</v>
      </c>
      <c r="AS714">
        <f>0.0000554449249888547*(10000)</f>
        <v>0.55444924988854705</v>
      </c>
      <c r="AT714">
        <f>0.0000640967951807145*(10000)</f>
        <v>0.64096795180714505</v>
      </c>
      <c r="AU714">
        <f>0.0000802277407747349*(10000)</f>
        <v>0.80227740774734901</v>
      </c>
      <c r="AV714">
        <f>0.0000468825863068241*(10000)</f>
        <v>0.46882586306824098</v>
      </c>
      <c r="AW714">
        <f>0.0000622554882697396*(10000)</f>
        <v>0.62255488269739601</v>
      </c>
      <c r="AX714">
        <f>0.0000543918343049815*(10000)</f>
        <v>0.54391834304981501</v>
      </c>
      <c r="AY714">
        <f>0.0000557722831860454*(10000)</f>
        <v>0.55772283186045402</v>
      </c>
      <c r="AZ714">
        <f>0.000029497562928447*(10000)</f>
        <v>0.29497562928447002</v>
      </c>
      <c r="BA714">
        <f>0.0000314949870305002*(10000)</f>
        <v>0.31494987030500199</v>
      </c>
      <c r="BB714">
        <f>5.96285940368665E-06*(10000)</f>
        <v>5.9628594036866503E-2</v>
      </c>
      <c r="BC714">
        <f>0.0000131678914051876*(10000)</f>
        <v>0.13167891405187601</v>
      </c>
      <c r="BD714">
        <f>0.0000139494189666172*(10000)</f>
        <v>0.139494189666172</v>
      </c>
      <c r="BE714">
        <f>0.0000117211833007762*(10000)</f>
        <v>0.117211833007762</v>
      </c>
      <c r="BF714">
        <f>9.73048995383519E-06*(10000)</f>
        <v>9.7304899538351905E-2</v>
      </c>
      <c r="BG714">
        <f>5.31225952921065E-06*(10000)</f>
        <v>5.31225952921065E-2</v>
      </c>
      <c r="BH714">
        <f>5.02733569073693E-06*(10000)</f>
        <v>5.0273356907369303E-2</v>
      </c>
      <c r="BI714">
        <f>3.80218582581942E-06*(10000)</f>
        <v>3.8021858258194201E-2</v>
      </c>
      <c r="BJ714">
        <f>3.56932954433313E-07*(10000)</f>
        <v>3.5693295443331302E-3</v>
      </c>
    </row>
    <row r="715" spans="1:62">
      <c r="A715" t="str">
        <f>VLOOKUP(B715,info!$B$2:$F$49,2,FALSE)</f>
        <v>Renault</v>
      </c>
      <c r="B715" s="34">
        <v>42</v>
      </c>
      <c r="C715" t="s">
        <v>373</v>
      </c>
      <c r="D715" s="34" t="s">
        <v>77</v>
      </c>
      <c r="F715">
        <f>VLOOKUP(B715,info!$B$2:$I$49,8,FALSE)</f>
        <v>1147816</v>
      </c>
      <c r="H715">
        <f>8.06594587051365*(10000)</f>
        <v>80659.458705136494</v>
      </c>
      <c r="I715">
        <f>2.17632800588293*(10000)</f>
        <v>21763.280058829299</v>
      </c>
      <c r="J715">
        <f>0.87599511206359*(10000)</f>
        <v>8759.9511206359002</v>
      </c>
      <c r="K715">
        <f>29.3453848860477*(10000)</f>
        <v>293453.84886047698</v>
      </c>
      <c r="N715">
        <f>0.678921272598804*(10000)</f>
        <v>6789.2127259880399</v>
      </c>
      <c r="P715">
        <f>5.53537593877948*(10000)</f>
        <v>55353.759387794802</v>
      </c>
      <c r="R715">
        <f>0.0232935132210778*(10000)</f>
        <v>232.93513221077799</v>
      </c>
      <c r="T715">
        <f>0.00456815209237716*(10000)</f>
        <v>45.681520923771608</v>
      </c>
      <c r="U715">
        <f>0.5486050604955*(10000)</f>
        <v>5486.0506049549995</v>
      </c>
      <c r="W715">
        <f>0.000140975609560714*(10000)</f>
        <v>1.40975609560714</v>
      </c>
      <c r="Y715">
        <f>0.000290290922239124*(10000)</f>
        <v>2.9029092223912398</v>
      </c>
      <c r="AA715">
        <f>0.00289385137514453*(10000)</f>
        <v>28.938513751445299</v>
      </c>
      <c r="AB715">
        <f>0.00158993534298917*(10000)</f>
        <v>15.899353429891701</v>
      </c>
      <c r="AF715">
        <f>0.00422500597055551*(10000)</f>
        <v>42.250059705555095</v>
      </c>
      <c r="AG715">
        <f>0.00679429118993274*(10000)</f>
        <v>67.942911899327399</v>
      </c>
      <c r="AH715">
        <f>0.000610002160697058*(10000)</f>
        <v>6.1000216069705795</v>
      </c>
      <c r="AI715">
        <f>0.00179732979174792*(10000)</f>
        <v>17.973297917479201</v>
      </c>
      <c r="AJ715">
        <f>0.000628550494124281*(10000)</f>
        <v>6.2855049412428095</v>
      </c>
      <c r="AK715">
        <f>0.0021833855282743*(10000)</f>
        <v>21.833855282743002</v>
      </c>
      <c r="AL715">
        <f>0.000382840819915489*(10000)</f>
        <v>3.8284081991548899</v>
      </c>
      <c r="AM715">
        <f>0.000321842898987117*(10000)</f>
        <v>3.2184289898711698</v>
      </c>
      <c r="AN715">
        <f>0.000319231663851626*(10000)</f>
        <v>3.1923166385162602</v>
      </c>
      <c r="AO715">
        <f>0.00035904017951024*(10000)</f>
        <v>3.5904017951023999</v>
      </c>
      <c r="AP715">
        <f>0.000160371400563411*(10000)</f>
        <v>1.6037140056341099</v>
      </c>
      <c r="AQ715">
        <f>0.000196969097642068*(10000)</f>
        <v>1.96969097642068</v>
      </c>
      <c r="AR715">
        <f>0.0000795368603130591*(10000)</f>
        <v>0.7953686031305911</v>
      </c>
      <c r="AS715">
        <f>0.000115930297703969*(10000)</f>
        <v>1.1593029770396901</v>
      </c>
      <c r="AT715">
        <f>0.0000767590998576941*(10000)</f>
        <v>0.76759099857694091</v>
      </c>
      <c r="AU715">
        <f>0.0000726155117419905*(10000)</f>
        <v>0.72615511741990491</v>
      </c>
      <c r="AV715">
        <f>0.000106293554036202*(10000)</f>
        <v>1.06293554036202</v>
      </c>
      <c r="AW715">
        <f>0.0000601009267449217*(10000)</f>
        <v>0.60100926744921701</v>
      </c>
      <c r="AX715">
        <f>0.0000527435969018002*(10000)</f>
        <v>0.52743596901800194</v>
      </c>
      <c r="AY715">
        <f>0.0000540473672112193*(10000)</f>
        <v>0.54047367211219299</v>
      </c>
      <c r="AZ715">
        <f>0.0000372077184999635*(10000)</f>
        <v>0.37207718499963505</v>
      </c>
      <c r="BA715">
        <f>0.0000321215888667092*(10000)</f>
        <v>0.321215888667092</v>
      </c>
      <c r="BB715">
        <f>0.0000661737470262286*(10000)</f>
        <v>0.66173747026228602</v>
      </c>
      <c r="BC715">
        <f>0.0000382627210988437*(10000)</f>
        <v>0.38262721098843705</v>
      </c>
      <c r="BD715">
        <f>0.0000136413876329695*(10000)</f>
        <v>0.13641387632969501</v>
      </c>
      <c r="BE715">
        <f>0.0000126023180842442*(10000)</f>
        <v>0.12602318084244199</v>
      </c>
      <c r="BF715">
        <f>9.84153691479195E-06*(10000)</f>
        <v>9.8415369147919499E-2</v>
      </c>
      <c r="BG715">
        <f>8.53755995765996E-06*(10000)</f>
        <v>8.5375599576599598E-2</v>
      </c>
      <c r="BH715">
        <f>6.60495149326945E-06*(10000)</f>
        <v>6.6049514932694495E-2</v>
      </c>
      <c r="BI715">
        <f>4.28757125039212E-06*(10000)</f>
        <v>4.28757125039212E-2</v>
      </c>
      <c r="BJ715">
        <f>7.49791150703859E-07*(10000)</f>
        <v>7.4979115070385894E-3</v>
      </c>
    </row>
    <row r="716" spans="1:62">
      <c r="A716" t="str">
        <f>VLOOKUP(B716,info!$B$2:$F$49,2,FALSE)</f>
        <v>Fiat</v>
      </c>
      <c r="B716" s="34">
        <v>43</v>
      </c>
      <c r="C716" t="s">
        <v>373</v>
      </c>
      <c r="D716" s="34" t="s">
        <v>77</v>
      </c>
      <c r="F716">
        <f>VLOOKUP(B716,info!$B$2:$I$49,8,FALSE)</f>
        <v>5751910</v>
      </c>
      <c r="H716">
        <f>8.51734769368106*(10000)</f>
        <v>85173.476936810606</v>
      </c>
      <c r="I716">
        <f>2.11687989695184*(10000)</f>
        <v>21168.798969518397</v>
      </c>
      <c r="J716">
        <f>0.303130403099076*(10000)</f>
        <v>3031.3040309907601</v>
      </c>
      <c r="K716">
        <f>29.7049372795954*(10000)</f>
        <v>297049.372795954</v>
      </c>
      <c r="N716">
        <f>0.0708555243375825*(10000)</f>
        <v>708.55524337582506</v>
      </c>
      <c r="P716">
        <f>5.19188005243703*(10000)</f>
        <v>51918.800524370301</v>
      </c>
      <c r="R716">
        <f>0.0164377124770597*(10000)</f>
        <v>164.37712477059702</v>
      </c>
      <c r="T716">
        <f>0.0117210972498969*(10000)</f>
        <v>117.210972498969</v>
      </c>
      <c r="U716">
        <f>0.56333238377567*(10000)</f>
        <v>5633.3238377566995</v>
      </c>
      <c r="W716">
        <f>0.000125749303106909*(10000)</f>
        <v>1.2574930310690899</v>
      </c>
      <c r="Y716">
        <f>0.000991340845964688*(10000)</f>
        <v>9.9134084596468792</v>
      </c>
      <c r="AA716">
        <f>0.00469396400739433*(10000)</f>
        <v>46.939640073943302</v>
      </c>
      <c r="AB716">
        <f>0.00105613895063336*(10000)</f>
        <v>10.561389506333601</v>
      </c>
      <c r="AF716">
        <f>0.00364591814194022*(10000)</f>
        <v>36.459181419402199</v>
      </c>
      <c r="AG716">
        <f>0.00275776776675627*(10000)</f>
        <v>27.5776776675627</v>
      </c>
      <c r="AH716">
        <f>0.000491769386539879*(10000)</f>
        <v>4.9176938653987898</v>
      </c>
      <c r="AI716">
        <f>0.000194797417720158*(10000)</f>
        <v>1.9479741772015799</v>
      </c>
      <c r="AJ716">
        <f>0.000470357059610105*(10000)</f>
        <v>4.7035705961010503</v>
      </c>
      <c r="AK716">
        <f>0.000449520549938825*(10000)</f>
        <v>4.4952054993882502</v>
      </c>
      <c r="AL716">
        <f>0.000362195737413882*(10000)</f>
        <v>3.62195737413882</v>
      </c>
      <c r="AM716">
        <f>0.000290469269972344*(10000)</f>
        <v>2.9046926997234399</v>
      </c>
      <c r="AN716">
        <f>0.000385013091534968*(10000)</f>
        <v>3.8501309153496801</v>
      </c>
      <c r="AO716">
        <f>0.000235886212878597*(10000)</f>
        <v>2.3588621287859701</v>
      </c>
      <c r="AP716">
        <f>0.000085759089505062*(10000)</f>
        <v>0.85759089505062003</v>
      </c>
      <c r="AQ716">
        <f>0.0000826855538312175*(10000)</f>
        <v>0.82685553831217495</v>
      </c>
      <c r="AR716">
        <f>0.0000686372234900907*(10000)</f>
        <v>0.68637223490090704</v>
      </c>
      <c r="AS716">
        <f>0.0000459940855021181*(10000)</f>
        <v>0.45994085502118104</v>
      </c>
      <c r="AT716">
        <f>0.0000665540613629872*(10000)</f>
        <v>0.66554061362987205</v>
      </c>
      <c r="AU716">
        <f>0.0000811667108985071*(10000)</f>
        <v>0.811667108985071</v>
      </c>
      <c r="AV716">
        <f>0.0000476755677568702*(10000)</f>
        <v>0.47675567756870196</v>
      </c>
      <c r="AW716">
        <f>0.0000571525793951708*(10000)</f>
        <v>0.57152579395170799</v>
      </c>
      <c r="AX716">
        <f>0.000062379446335783*(10000)</f>
        <v>0.62379446335782995</v>
      </c>
      <c r="AY716">
        <f>0.0000579284281545781*(10000)</f>
        <v>0.57928428154578104</v>
      </c>
      <c r="AZ716">
        <f>0.0000354169726898048*(10000)</f>
        <v>0.35416972689804799</v>
      </c>
      <c r="BA716">
        <f>0.000033374792539127*(10000)</f>
        <v>0.33374792539127002</v>
      </c>
      <c r="BB716">
        <f>7.42367715399446E-06*(10000)</f>
        <v>7.4236771539944596E-2</v>
      </c>
      <c r="BC716">
        <f>0.0000110996362106555*(10000)</f>
        <v>0.110996362106555</v>
      </c>
      <c r="BD716">
        <f>0.0000145361453164224*(10000)</f>
        <v>0.145361453164224</v>
      </c>
      <c r="BE716">
        <f>0.0000134528699286459*(10000)</f>
        <v>0.134528699286459</v>
      </c>
      <c r="BF716">
        <f>0.0000111463387060338*(10000)</f>
        <v>0.11146338706033801</v>
      </c>
      <c r="BG716">
        <f>5.21739775190331E-06*(10000)</f>
        <v>5.2173977519033098E-2</v>
      </c>
      <c r="BH716">
        <f>5.32182397387634E-06*(10000)</f>
        <v>5.3218239738763405E-2</v>
      </c>
      <c r="BI716">
        <f>4.19049416547758E-06*(10000)</f>
        <v>4.1904941654775797E-2</v>
      </c>
      <c r="BJ716">
        <f>2.82332521395691E-07*(10000)</f>
        <v>2.8233252139569101E-3</v>
      </c>
    </row>
    <row r="717" spans="1:62">
      <c r="A717" t="str">
        <f>VLOOKUP(B717,info!$B$2:$F$49,2,FALSE)</f>
        <v>Hyundai</v>
      </c>
      <c r="B717" s="34">
        <v>44</v>
      </c>
      <c r="C717" t="s">
        <v>373</v>
      </c>
      <c r="D717" s="34" t="s">
        <v>77</v>
      </c>
      <c r="F717">
        <f>VLOOKUP(B717,info!$B$2:$I$49,8,FALSE)</f>
        <v>9602910</v>
      </c>
      <c r="H717">
        <f>8.39284964759009*(10000)</f>
        <v>83928.496475900902</v>
      </c>
      <c r="I717">
        <f>2.06803927756473*(10000)</f>
        <v>20680.392775647302</v>
      </c>
      <c r="J717">
        <f>0.519729527771006*(10000)</f>
        <v>5197.29527771006</v>
      </c>
      <c r="K717">
        <f>28.3547989032301*(10000)</f>
        <v>283547.989032301</v>
      </c>
      <c r="N717">
        <f>0.256062793038454*(10000)</f>
        <v>2560.6279303845399</v>
      </c>
      <c r="P717">
        <f>6.05992671102409*(10000)</f>
        <v>60599.2671102409</v>
      </c>
      <c r="R717">
        <f>0.0241776573256261*(10000)</f>
        <v>241.776573256261</v>
      </c>
      <c r="T717">
        <f>0.00648583931160834*(10000)</f>
        <v>64.858393116083406</v>
      </c>
      <c r="U717">
        <f>0.3484249489905*(10000)</f>
        <v>3484.2494899050002</v>
      </c>
      <c r="W717">
        <f>0.000105702312756533*(10000)</f>
        <v>1.0570231275653301</v>
      </c>
      <c r="Y717">
        <f>0.000130020614165604*(10000)</f>
        <v>1.3002061416560402</v>
      </c>
      <c r="AA717">
        <f>0.00378774385047387*(10000)</f>
        <v>37.877438504738699</v>
      </c>
      <c r="AB717">
        <f>0.0015035543443156*(10000)</f>
        <v>15.035543443156</v>
      </c>
      <c r="AF717">
        <f>0.00350240254807042*(10000)</f>
        <v>35.024025480704204</v>
      </c>
      <c r="AG717">
        <f>0.00611483225251324*(10000)</f>
        <v>61.1483225251324</v>
      </c>
      <c r="AH717">
        <f>0.000969085278694244*(10000)</f>
        <v>9.6908527869424397</v>
      </c>
      <c r="AI717">
        <f>0.000925101617796218*(10000)</f>
        <v>9.25101617796218</v>
      </c>
      <c r="AJ717">
        <f>0.000493793019354198*(10000)</f>
        <v>4.9379301935419804</v>
      </c>
      <c r="AK717">
        <f>0.000770606657037987*(10000)</f>
        <v>7.7060665703798703</v>
      </c>
      <c r="AL717">
        <f>0.000600098637576809*(10000)</f>
        <v>6.0009863757680906</v>
      </c>
      <c r="AM717">
        <f>0.000402066742306771*(10000)</f>
        <v>4.0206674230677102</v>
      </c>
      <c r="AN717">
        <f>0.000280824749571935*(10000)</f>
        <v>2.8082474957193502</v>
      </c>
      <c r="AO717">
        <f>0.000139272077354464*(10000)</f>
        <v>1.3927207735446401</v>
      </c>
      <c r="AP717">
        <f>0.000313758808283505*(10000)</f>
        <v>3.13758808283505</v>
      </c>
      <c r="AQ717">
        <f>0.000184860681534387*(10000)</f>
        <v>1.8486068153438699</v>
      </c>
      <c r="AR717">
        <f>0.000107814939063557*(10000)</f>
        <v>1.0781493906355699</v>
      </c>
      <c r="AS717">
        <f>0.0000516645891941601*(10000)</f>
        <v>0.51664589194160104</v>
      </c>
      <c r="AT717">
        <f>0.0000707110245449514*(10000)</f>
        <v>0.70711024544951406</v>
      </c>
      <c r="AU717">
        <f>0.0000599914076411655*(10000)</f>
        <v>0.59991407641165506</v>
      </c>
      <c r="AV717">
        <f>0.0000633350414748044*(10000)</f>
        <v>0.63335041474804399</v>
      </c>
      <c r="AW717">
        <f>0.0000692861627191456*(10000)</f>
        <v>0.69286162719145594</v>
      </c>
      <c r="AX717">
        <f>0.0000597169089921825*(10000)</f>
        <v>0.59716908992182494</v>
      </c>
      <c r="AY717">
        <f>0.0000437937000275305*(10000)</f>
        <v>0.43793700027530502</v>
      </c>
      <c r="AZ717">
        <f>0.0000303431928943553*(10000)</f>
        <v>0.30343192894355303</v>
      </c>
      <c r="BA717">
        <f>0.0000254598219764882*(10000)</f>
        <v>0.25459821976488201</v>
      </c>
      <c r="BB717">
        <f>0.0000222857256391247*(10000)</f>
        <v>0.22285725639124698</v>
      </c>
      <c r="BC717">
        <f>0.0000133057750848232*(10000)</f>
        <v>0.13305775084823199</v>
      </c>
      <c r="BD717">
        <f>0.0000120278901710054*(10000)</f>
        <v>0.120278901710054</v>
      </c>
      <c r="BE717">
        <f>0.0000132934540534386*(10000)</f>
        <v>0.132934540534386</v>
      </c>
      <c r="BF717">
        <f>0.0000088421142661812*(10000)</f>
        <v>8.8421142661811988E-2</v>
      </c>
      <c r="BG717">
        <f>9.67590128534796E-06*(10000)</f>
        <v>9.6759012853479612E-2</v>
      </c>
      <c r="BH717">
        <f>4.83802179443303E-06*(10000)</f>
        <v>4.8380217944330298E-2</v>
      </c>
      <c r="BI717">
        <f>3.55949311353308E-06*(10000)</f>
        <v>3.5594931135330798E-2</v>
      </c>
      <c r="BJ717">
        <f>0.0000014465666214841*(10000)</f>
        <v>1.4465666214841001E-2</v>
      </c>
    </row>
    <row r="718" spans="1:62">
      <c r="A718" t="str">
        <f>VLOOKUP(B718,info!$B$2:$F$49,2,FALSE)</f>
        <v>Subaru</v>
      </c>
      <c r="B718" s="34">
        <v>45</v>
      </c>
      <c r="C718" t="s">
        <v>373</v>
      </c>
      <c r="D718" s="34" t="s">
        <v>77</v>
      </c>
      <c r="F718">
        <f>VLOOKUP(B718,info!$B$2:$I$49,8,FALSE)</f>
        <v>2675308</v>
      </c>
      <c r="H718">
        <f>8.06256894304244*(10000)</f>
        <v>80625.689430424391</v>
      </c>
      <c r="I718">
        <f>1.9388851951861*(10000)</f>
        <v>19388.851951861001</v>
      </c>
      <c r="J718">
        <f>0.761707474678364*(10000)</f>
        <v>7617.07474678364</v>
      </c>
      <c r="K718">
        <f>28.7277375995391*(10000)</f>
        <v>287277.37599539099</v>
      </c>
      <c r="N718">
        <f>0.428164857567318*(10000)</f>
        <v>4281.6485756731799</v>
      </c>
      <c r="P718">
        <f>5.50495412597618*(10000)</f>
        <v>55049.541259761805</v>
      </c>
      <c r="R718">
        <f>0.0158630188091034*(10000)</f>
        <v>158.63018809103397</v>
      </c>
      <c r="T718">
        <f>0.00551343878720384*(10000)</f>
        <v>55.134387872038403</v>
      </c>
      <c r="U718">
        <f>0.210654995361788*(10000)</f>
        <v>2106.54995361788</v>
      </c>
      <c r="W718">
        <f>0.000124514737718762*(10000)</f>
        <v>1.24514737718762</v>
      </c>
      <c r="Y718">
        <f>0.00082735566320072*(10000)</f>
        <v>8.2735566320071996</v>
      </c>
      <c r="AA718">
        <f>0.00463788277813086*(10000)</f>
        <v>46.378827781308601</v>
      </c>
      <c r="AB718">
        <f>0.00165388591659282*(10000)</f>
        <v>16.538859165928201</v>
      </c>
      <c r="AF718">
        <f>0.00633010852683374*(10000)</f>
        <v>63.301085268337403</v>
      </c>
      <c r="AG718">
        <f>0.00448076794776786*(10000)</f>
        <v>44.807679477678597</v>
      </c>
      <c r="AH718">
        <f>0.000207435914162351*(10000)</f>
        <v>2.0743591416235101</v>
      </c>
      <c r="AI718">
        <f>0.00162789999589871*(10000)</f>
        <v>16.2789999589871</v>
      </c>
      <c r="AJ718">
        <f>0.00089841755336627*(10000)</f>
        <v>8.9841755336627003</v>
      </c>
      <c r="AK718">
        <f>0.000160543053549581*(10000)</f>
        <v>1.6054305354958101</v>
      </c>
      <c r="AL718">
        <f>0.000183197158082857*(10000)</f>
        <v>1.8319715808285699</v>
      </c>
      <c r="AM718">
        <f>0.000123915306544925*(10000)</f>
        <v>1.23915306544925</v>
      </c>
      <c r="AN718">
        <f>0.000224069831696263*(10000)</f>
        <v>2.24069831696263</v>
      </c>
      <c r="AO718">
        <f>0.000268604448929202*(10000)</f>
        <v>2.6860444892920201</v>
      </c>
      <c r="AP718">
        <f>0.0000738561745368079*(10000)</f>
        <v>0.73856174536807906</v>
      </c>
      <c r="AQ718">
        <f>0.00013626114838986*(10000)</f>
        <v>1.3626114838986001</v>
      </c>
      <c r="AR718">
        <f>0.0000310982645018956*(10000)</f>
        <v>0.31098264501895601</v>
      </c>
      <c r="AS718">
        <f>0.000103329178388321*(10000)</f>
        <v>1.0332917838832101</v>
      </c>
      <c r="AT718">
        <f>0.0000637921269711851*(10000)</f>
        <v>0.63792126971185104</v>
      </c>
      <c r="AU718">
        <f>0.0000326220013299114*(10000)</f>
        <v>0.32622001329911399</v>
      </c>
      <c r="AV718">
        <f>0.0000427232949857616*(10000)</f>
        <v>0.42723294985761595</v>
      </c>
      <c r="AW718">
        <f>0.0000240403706979687*(10000)</f>
        <v>0.24040370697968699</v>
      </c>
      <c r="AX718">
        <f>0.0000258012547344143*(10000)</f>
        <v>0.25801254734414297</v>
      </c>
      <c r="AY718">
        <f>0.0000270715979382437*(10000)</f>
        <v>0.27071597938243702</v>
      </c>
      <c r="AZ718">
        <f>0.0000213894638435619*(10000)</f>
        <v>0.21389463843561898</v>
      </c>
      <c r="BA718">
        <f>0.0000173799561937944*(10000)</f>
        <v>0.17379956193794399</v>
      </c>
      <c r="BB718">
        <f>0.0000384488984685972*(10000)</f>
        <v>0.38448898468597198</v>
      </c>
      <c r="BC718">
        <f>0.0000134436587644586*(10000)</f>
        <v>0.13443658764458599</v>
      </c>
      <c r="BD718">
        <f>7.05538435640682E-06*(10000)</f>
        <v>7.05538435640682E-2</v>
      </c>
      <c r="BE718">
        <f>6.06422627154063E-06*(10000)</f>
        <v>6.0642262715406299E-2</v>
      </c>
      <c r="BF718">
        <f>5.21920716496724E-06*(10000)</f>
        <v>5.2192071649672399E-2</v>
      </c>
      <c r="BG718">
        <f>0.0000087747144009283*(10000)</f>
        <v>8.774714400928299E-2</v>
      </c>
      <c r="BH718">
        <f>3.38661525610312E-06*(10000)</f>
        <v>3.3866152561031204E-2</v>
      </c>
      <c r="BI718">
        <f>2.28940125256787E-06*(10000)</f>
        <v>2.28940125256787E-2</v>
      </c>
      <c r="BJ718">
        <f>1.13857988661383E-06*(10000)</f>
        <v>1.1385798866138301E-2</v>
      </c>
    </row>
    <row r="719" spans="1:62">
      <c r="A719" t="str">
        <f>VLOOKUP(B719,info!$B$2:$F$49,2,FALSE)</f>
        <v>Renault</v>
      </c>
      <c r="B719" s="34">
        <v>46</v>
      </c>
      <c r="C719" t="s">
        <v>373</v>
      </c>
      <c r="D719" s="34" t="s">
        <v>77</v>
      </c>
      <c r="F719">
        <f>VLOOKUP(B719,info!$B$2:$I$49,8,FALSE)</f>
        <v>1147816</v>
      </c>
      <c r="H719">
        <f>8.19945938139923*(10000)</f>
        <v>81994.593813992295</v>
      </c>
      <c r="I719">
        <f>2.08862250204458*(10000)</f>
        <v>20886.2250204458</v>
      </c>
      <c r="J719">
        <f>0.338306888297847*(10000)</f>
        <v>3383.0688829784699</v>
      </c>
      <c r="K719">
        <f>29.4057421831612*(10000)</f>
        <v>294057.42183161201</v>
      </c>
      <c r="N719">
        <f>0.163632599717293*(10000)</f>
        <v>1636.3259971729299</v>
      </c>
      <c r="P719">
        <f>5.51504006391366*(10000)</f>
        <v>55150.400639136598</v>
      </c>
      <c r="R719">
        <f>0.0158556509415655*(10000)</f>
        <v>158.55650941565503</v>
      </c>
      <c r="T719">
        <f>0.00689642015950102*(10000)</f>
        <v>68.964201595010209</v>
      </c>
      <c r="U719">
        <f>0.57685767052293*(10000)</f>
        <v>5768.5767052293004</v>
      </c>
      <c r="W719">
        <f>0.000152145486882039*(10000)</f>
        <v>1.5214548688203899</v>
      </c>
      <c r="Y719">
        <f>0.000786492041605817*(10000)</f>
        <v>7.8649204160581698</v>
      </c>
      <c r="AA719">
        <f>0.00841802927319831*(10000)</f>
        <v>84.180292731983101</v>
      </c>
      <c r="AB719">
        <f>0.00129332876467077*(10000)</f>
        <v>12.933287646707699</v>
      </c>
      <c r="AF719">
        <f>0.0066919154476825*(10000)</f>
        <v>66.919154476825</v>
      </c>
      <c r="AG719">
        <f>0.00320775710012285*(10000)</f>
        <v>32.077571001228499</v>
      </c>
      <c r="AH719">
        <f>0.000368779074351126*(10000)</f>
        <v>3.6877907435112602</v>
      </c>
      <c r="AI719">
        <f>0.000311465332887089*(10000)</f>
        <v>3.1146533288708902</v>
      </c>
      <c r="AJ719">
        <f>0.000846220000438448*(10000)</f>
        <v>8.4622000043844796</v>
      </c>
      <c r="AK719">
        <f>0.000353194717809077*(10000)</f>
        <v>3.5319471780907703</v>
      </c>
      <c r="AL719">
        <f>0.000305055316530972*(10000)</f>
        <v>3.05055316530972</v>
      </c>
      <c r="AM719">
        <f>0.000220984051349021*(10000)</f>
        <v>2.2098405134902102</v>
      </c>
      <c r="AN719">
        <f>0.000256459072770841*(10000)</f>
        <v>2.5645907277084099</v>
      </c>
      <c r="AO719">
        <f>0.000243296778473089*(10000)</f>
        <v>2.4329677847308901</v>
      </c>
      <c r="AP719">
        <f>0.0000529985567103465*(10000)</f>
        <v>0.52998556710346501</v>
      </c>
      <c r="AQ719">
        <f>0.0000976137380735637*(10000)</f>
        <v>0.97613738073563694</v>
      </c>
      <c r="AR719">
        <f>0.0000530499806208808*(10000)</f>
        <v>0.53049980620880799</v>
      </c>
      <c r="AS719">
        <f>0.0000459940855021181*(10000)</f>
        <v>0.45994085502118104</v>
      </c>
      <c r="AT719">
        <f>0.0000563638744986242*(10000)</f>
        <v>0.563638744986242</v>
      </c>
      <c r="AU719">
        <f>0.0000457253921576626*(10000)</f>
        <v>0.45725392157662598</v>
      </c>
      <c r="AV719">
        <f>0.0000701914655632322*(10000)</f>
        <v>0.70191465563232203</v>
      </c>
      <c r="AW719">
        <f>0.0000405964750465697*(10000)</f>
        <v>0.40596475046569697</v>
      </c>
      <c r="AX719">
        <f>0.000040445210124217*(10000)</f>
        <v>0.40445210124217001</v>
      </c>
      <c r="AY719">
        <f>0.0000385231234377839*(10000)</f>
        <v>0.38523123437783896</v>
      </c>
      <c r="AZ719">
        <f>0.0000216381785394173*(10000)</f>
        <v>0.21638178539417299</v>
      </c>
      <c r="BA719">
        <f>0.0000217331900032457*(10000)</f>
        <v>0.217331900032457</v>
      </c>
      <c r="BB719">
        <f>4.04914509896155E-06*(10000)</f>
        <v>4.0491450989615499E-2</v>
      </c>
      <c r="BC719">
        <f>0.0000131678914051876*(10000)</f>
        <v>0.13167891405187601</v>
      </c>
      <c r="BD719">
        <f>0.0000101063613753936*(10000)</f>
        <v>0.10106361375393599</v>
      </c>
      <c r="BE719">
        <f>7.94651107202088E-06*(10000)</f>
        <v>7.9465110720208801E-2</v>
      </c>
      <c r="BF719">
        <f>6.71834113788336E-06*(10000)</f>
        <v>6.7183411378833602E-2</v>
      </c>
      <c r="BG719">
        <f>6.87747885478164E-06*(10000)</f>
        <v>6.8774788547816393E-2</v>
      </c>
      <c r="BH719">
        <f>2.60832479352042E-06*(10000)</f>
        <v>2.6083247935204203E-2</v>
      </c>
      <c r="BI719">
        <f>3.00938963235069E-06*(10000)</f>
        <v>3.00938963235069E-2</v>
      </c>
      <c r="BJ719">
        <f>4.99308003630529E-06*(10000)</f>
        <v>4.9930800363052898E-2</v>
      </c>
    </row>
    <row r="720" spans="1:62">
      <c r="A720" t="str">
        <f>VLOOKUP(B720,info!$B$2:$F$49,2,FALSE)</f>
        <v>Renault</v>
      </c>
      <c r="B720" s="34">
        <v>47</v>
      </c>
      <c r="C720" t="s">
        <v>373</v>
      </c>
      <c r="D720" s="34" t="s">
        <v>77</v>
      </c>
      <c r="F720">
        <f>VLOOKUP(B720,info!$B$2:$I$49,8,FALSE)</f>
        <v>1147816</v>
      </c>
      <c r="H720">
        <f>8.09654933551883*(10000)</f>
        <v>80965.4933551883</v>
      </c>
      <c r="I720">
        <f>2.10923137588861*(10000)</f>
        <v>21092.313758886099</v>
      </c>
      <c r="J720">
        <f>0.335907234953725*(10000)</f>
        <v>3359.0723495372499</v>
      </c>
      <c r="K720">
        <f>29.015779180923*(10000)</f>
        <v>290157.79180923</v>
      </c>
      <c r="N720">
        <f>0.160309469596387*(10000)</f>
        <v>1603.09469596387</v>
      </c>
      <c r="P720">
        <f>5.49462218955241*(10000)</f>
        <v>54946.221895524097</v>
      </c>
      <c r="R720">
        <f>0.0159219617494066*(10000)</f>
        <v>159.219617494066</v>
      </c>
      <c r="T720">
        <f>0.00668232654413331*(10000)</f>
        <v>66.823265441333106</v>
      </c>
      <c r="U720">
        <f>0.553982674077862*(10000)</f>
        <v>5539.8267407786198</v>
      </c>
      <c r="W720">
        <f>0.000148500579545606*(10000)</f>
        <v>1.48500579545606</v>
      </c>
      <c r="Y720">
        <f>0.000769509757306636*(10000)</f>
        <v>7.6950975730663593</v>
      </c>
      <c r="AA720">
        <f>0.0086966554827553*(10000)</f>
        <v>86.966554827552997</v>
      </c>
      <c r="AB720">
        <f>0.00118642631327362*(10000)</f>
        <v>11.864263132736198</v>
      </c>
      <c r="AF720">
        <f>0.00661585279949291*(10000)</f>
        <v>66.158527994929102</v>
      </c>
      <c r="AG720">
        <f>0.00356537698436386*(10000)</f>
        <v>35.653769843638599</v>
      </c>
      <c r="AH720">
        <f>0.000355831418504244*(10000)</f>
        <v>3.5583141850424398</v>
      </c>
      <c r="AI720">
        <f>0.000334059699045308*(10000)</f>
        <v>3.3405969904530801</v>
      </c>
      <c r="AJ720">
        <f>0.000846873421775689*(10000)</f>
        <v>8.4687342177568894</v>
      </c>
      <c r="AK720">
        <f>0.000192651664259497*(10000)</f>
        <v>1.92651664259497</v>
      </c>
      <c r="AL720">
        <f>0.000298546277282572*(10000)</f>
        <v>2.9854627728257204</v>
      </c>
      <c r="AM720">
        <f>0.000225195276720132*(10000)</f>
        <v>2.25195276720132</v>
      </c>
      <c r="AN720">
        <f>0.000256636063159227*(10000)</f>
        <v>2.56636063159227</v>
      </c>
      <c r="AO720">
        <f>0.000318849350984688*(10000)</f>
        <v>3.1884935098468801</v>
      </c>
      <c r="AP720">
        <f>0.0000517028518511273*(10000)</f>
        <v>0.51702851851127307</v>
      </c>
      <c r="AQ720">
        <f>0.000114034740740144*(10000)</f>
        <v>1.1403474074014399</v>
      </c>
      <c r="AR720">
        <f>0.0000537359717495991*(10000)</f>
        <v>0.53735971749599099</v>
      </c>
      <c r="AS720">
        <f>0.0000447339735705532*(10000)</f>
        <v>0.44733973570553204</v>
      </c>
      <c r="AT720">
        <f>0.0000650330788967415*(10000)</f>
        <v>0.65033078896741503</v>
      </c>
      <c r="AU720">
        <f>0.0000440449997351866*(10000)</f>
        <v>0.44044999735186596</v>
      </c>
      <c r="AV720">
        <f>0.0000748534131839392*(10000)</f>
        <v>0.74853413183939199</v>
      </c>
      <c r="AW720">
        <f>0.0000379883216217901*(10000)</f>
        <v>0.37988321621790105</v>
      </c>
      <c r="AX720">
        <f>0.0000358808603923304*(10000)</f>
        <v>0.35880860392330405</v>
      </c>
      <c r="AY720">
        <f>0.0000327254891890627*(10000)</f>
        <v>0.32725489189062701</v>
      </c>
      <c r="AZ720">
        <f>0.0000221853508702991*(10000)</f>
        <v>0.22185350870299098</v>
      </c>
      <c r="BA720">
        <f>0.0000191608245703881*(10000)</f>
        <v>0.19160824570388102</v>
      </c>
      <c r="BB720">
        <f>6.67666071015173E-06*(10000)</f>
        <v>6.67666071015173E-2</v>
      </c>
      <c r="BC720">
        <f>0.0000132368332450054*(10000)</f>
        <v>0.132368332450054</v>
      </c>
      <c r="BD720">
        <f>9.94501162919715E-06*(10000)</f>
        <v>9.9450116291971494E-2</v>
      </c>
      <c r="BE720">
        <f>7.18598281528803E-06*(10000)</f>
        <v>7.1859828152880292E-2</v>
      </c>
      <c r="BF720">
        <f>6.77386461836173E-06*(10000)</f>
        <v>6.7738646183617301E-2</v>
      </c>
      <c r="BG720">
        <f>6.11858463632298E-06*(10000)</f>
        <v>6.1185846363229802E-2</v>
      </c>
      <c r="BH720">
        <f>2.96591770876112E-06*(10000)</f>
        <v>2.9659177087611198E-2</v>
      </c>
      <c r="BI720">
        <f>2.45928615116831E-06*(10000)</f>
        <v>2.4592861511683099E-2</v>
      </c>
      <c r="BJ720">
        <f>1.02162585725743E-06*(10000)</f>
        <v>1.0216258572574299E-2</v>
      </c>
    </row>
    <row r="721" spans="1:64" ht="15.75" thickBot="1">
      <c r="A721" t="str">
        <f>VLOOKUP(B721,info!$B$2:$F$49,2,FALSE)</f>
        <v>Hyundai</v>
      </c>
      <c r="B721" s="34">
        <v>48</v>
      </c>
      <c r="C721" t="s">
        <v>373</v>
      </c>
      <c r="D721" s="34" t="s">
        <v>77</v>
      </c>
      <c r="F721">
        <f>VLOOKUP(B721,info!$B$2:$I$49,8,FALSE)</f>
        <v>5826120</v>
      </c>
      <c r="H721">
        <f>8.33707231021382*(10000)</f>
        <v>83370.723102138203</v>
      </c>
      <c r="I721">
        <f>2.04624518756829*(10000)</f>
        <v>20462.451875682902</v>
      </c>
      <c r="J721">
        <f>0.482474080229014*(10000)</f>
        <v>4824.74080229014</v>
      </c>
      <c r="K721">
        <f>27.9717877854001*(10000)</f>
        <v>279717.87785400101</v>
      </c>
      <c r="N721">
        <f>0.202187384251567*(10000)</f>
        <v>2021.8738425156698</v>
      </c>
      <c r="P721">
        <f>5.86140593259605*(10000)</f>
        <v>58614.059325960494</v>
      </c>
      <c r="R721">
        <f>0.0249807548872573*(10000)</f>
        <v>249.80754887257299</v>
      </c>
      <c r="T721">
        <f>0.00778695100368677*(10000)</f>
        <v>77.869510036867695</v>
      </c>
      <c r="U721">
        <f>0.340693372937879*(10000)</f>
        <v>3406.9337293787898</v>
      </c>
      <c r="W721">
        <f>0.000121869240458449*(10000)</f>
        <v>1.21869240458449</v>
      </c>
      <c r="Y721">
        <f>0.000167700057454411*(10000)</f>
        <v>1.6770005745441101</v>
      </c>
      <c r="AA721">
        <f>0.00347290199156471*(10000)</f>
        <v>34.7290199156471</v>
      </c>
      <c r="AB721">
        <f>0.00114705375862959*(10000)</f>
        <v>11.470537586295901</v>
      </c>
      <c r="AF721">
        <f>0.0028954611711815*(10000)</f>
        <v>28.954611711815001</v>
      </c>
      <c r="AG721">
        <f>0.00532198938102093*(10000)</f>
        <v>53.2198938102093</v>
      </c>
      <c r="AH721">
        <f>0.00099366272427677*(10000)</f>
        <v>9.9366272427677007</v>
      </c>
      <c r="AI721">
        <f>0.000753017255836706*(10000)</f>
        <v>7.5301725583670605</v>
      </c>
      <c r="AJ721">
        <f>0.000410409678814505*(10000)</f>
        <v>4.1040967881450499</v>
      </c>
      <c r="AK721">
        <f>0.000706389435618154*(10000)</f>
        <v>7.0638943561815406</v>
      </c>
      <c r="AL721">
        <f>0.000567329848383524*(10000)</f>
        <v>5.6732984838352403</v>
      </c>
      <c r="AM721">
        <f>0.000394802378541606*(10000)</f>
        <v>3.9480237854160602</v>
      </c>
      <c r="AN721">
        <f>0.000312447032296842*(10000)</f>
        <v>3.1244703229684201</v>
      </c>
      <c r="AO721">
        <f>0.000122013439458027*(10000)</f>
        <v>1.2201343945802701</v>
      </c>
      <c r="AP721">
        <f>0.000294116670353631*(10000)</f>
        <v>2.9411667035363096</v>
      </c>
      <c r="AQ721">
        <f>0.000160643849319025*(10000)</f>
        <v>1.60643849319025</v>
      </c>
      <c r="AR721">
        <f>0.000104594591820408*(10000)</f>
        <v>1.04594591820408</v>
      </c>
      <c r="AS721">
        <f>0.0000333929661864693*(10000)</f>
        <v>0.33392966186469297</v>
      </c>
      <c r="AT721">
        <f>0.0000675416735575488*(10000)</f>
        <v>0.67541673557548798</v>
      </c>
      <c r="AU721">
        <f>0.0000539268885759683*(10000)</f>
        <v>0.53926888575968301</v>
      </c>
      <c r="AV721">
        <f>0.0000558840017238813*(10000)</f>
        <v>0.55884001723881305</v>
      </c>
      <c r="AW721">
        <f>0.0000673583971443084*(10000)</f>
        <v>0.67358397144308391</v>
      </c>
      <c r="AX721">
        <f>0.000058639215305487*(10000)</f>
        <v>0.58639215305487002</v>
      </c>
      <c r="AY721">
        <f>0.0000539036242133171*(10000)</f>
        <v>0.53903624213317103</v>
      </c>
      <c r="AZ721">
        <f>0.0000394461507626618*(10000)</f>
        <v>0.39446150762661802</v>
      </c>
      <c r="BA721">
        <f>0.0000325503164388521*(10000)</f>
        <v>0.325503164388521</v>
      </c>
      <c r="BB721">
        <f>0.0000205749611972113*(10000)</f>
        <v>0.20574961197211297</v>
      </c>
      <c r="BC721">
        <f>0.0000139951934830005*(10000)</f>
        <v>0.13995193483000498</v>
      </c>
      <c r="BD721">
        <f>0.0000140667642365783*(10000)</f>
        <v>0.140667642365783</v>
      </c>
      <c r="BE721">
        <f>0.0000140466000037727*(10000)</f>
        <v>0.140466000037727</v>
      </c>
      <c r="BF721">
        <f>0.000010660508251848*(10000)</f>
        <v>0.10660508251848</v>
      </c>
      <c r="BG721">
        <f>5.73913752709365E-06*(10000)</f>
        <v>5.7391375270936497E-2</v>
      </c>
      <c r="BH721">
        <f>5.13251007757244E-06*(10000)</f>
        <v>5.13251007757244E-2</v>
      </c>
      <c r="BI721">
        <f>4.07723756641062E-06*(10000)</f>
        <v>4.07723756641062E-2</v>
      </c>
      <c r="BJ721">
        <f>0.0000027571926967514*(10000)</f>
        <v>2.7571926967514003E-2</v>
      </c>
    </row>
    <row r="722" spans="1:64" ht="16.5" thickBot="1">
      <c r="A722" t="str">
        <f>VLOOKUP(B722,info!$B$2:$F$49,2,FALSE)</f>
        <v>Mazda</v>
      </c>
      <c r="B722" s="34">
        <v>1</v>
      </c>
      <c r="C722" t="s">
        <v>405</v>
      </c>
      <c r="D722" s="34" t="s">
        <v>77</v>
      </c>
      <c r="F722" s="31">
        <f>VLOOKUP(B722,info!$B$2:$I$49,8,FALSE)</f>
        <v>3550828</v>
      </c>
      <c r="G722" s="47"/>
      <c r="H722" s="31">
        <v>89032.258064516122</v>
      </c>
      <c r="I722" s="31">
        <v>25559.999999999996</v>
      </c>
      <c r="J722" s="31">
        <v>8364.7058823529424</v>
      </c>
      <c r="K722" s="31">
        <v>334133.33333333331</v>
      </c>
      <c r="L722" s="31"/>
      <c r="M722" s="31"/>
      <c r="N722" s="31"/>
      <c r="O722" s="31"/>
      <c r="P722" s="31">
        <v>44857.142857142855</v>
      </c>
      <c r="Q722" s="31"/>
      <c r="R722" s="31"/>
      <c r="S722" s="48">
        <v>2.29</v>
      </c>
      <c r="T722" s="31"/>
      <c r="U722" s="31">
        <v>3570</v>
      </c>
      <c r="V722" s="48">
        <v>1.64</v>
      </c>
      <c r="W722" s="31"/>
      <c r="X722" s="31"/>
      <c r="Y722" s="48">
        <v>9.9499999999999993</v>
      </c>
      <c r="Z722" s="31"/>
      <c r="AA722" s="31"/>
      <c r="AB722" s="31"/>
      <c r="AC722" s="31"/>
      <c r="AD722" s="31"/>
      <c r="AE722" s="31"/>
      <c r="AF722" s="48">
        <v>87.9</v>
      </c>
      <c r="AG722" s="48">
        <v>34.200000000000003</v>
      </c>
      <c r="AH722" s="48">
        <v>108</v>
      </c>
      <c r="AI722" s="48">
        <v>22.8</v>
      </c>
      <c r="AJ722" s="31"/>
      <c r="AK722" s="31"/>
      <c r="AL722" s="48">
        <v>3.88</v>
      </c>
      <c r="AM722" s="31"/>
      <c r="AN722" s="31"/>
      <c r="AO722" s="31"/>
      <c r="AP722" s="49">
        <v>2.0699999999999998</v>
      </c>
      <c r="AQ722" s="48">
        <v>0.79</v>
      </c>
      <c r="AR722" s="31"/>
      <c r="AS722" s="31"/>
      <c r="AT722" s="31"/>
      <c r="AU722" s="31"/>
      <c r="AV722" s="31"/>
      <c r="AW722" s="48">
        <v>0.37</v>
      </c>
      <c r="AX722" s="31"/>
      <c r="AY722" s="31"/>
      <c r="AZ722" s="48">
        <v>0.16</v>
      </c>
      <c r="BA722" s="31"/>
      <c r="BB722" s="48">
        <v>0.66</v>
      </c>
      <c r="BC722" s="31"/>
      <c r="BD722" s="31"/>
      <c r="BE722" s="48">
        <v>0.11</v>
      </c>
      <c r="BF722" s="31"/>
      <c r="BG722" s="31"/>
      <c r="BH722" s="31"/>
      <c r="BI722" s="31"/>
      <c r="BJ722" s="31"/>
      <c r="BK722" s="48">
        <v>0.36</v>
      </c>
      <c r="BL722" s="48">
        <v>0.08</v>
      </c>
    </row>
    <row r="723" spans="1:64" ht="16.5" thickBot="1">
      <c r="A723" t="str">
        <f>VLOOKUP(B723,info!$B$2:$F$49,2,FALSE)</f>
        <v>Mazda</v>
      </c>
      <c r="B723" s="34">
        <v>2</v>
      </c>
      <c r="C723" t="s">
        <v>405</v>
      </c>
      <c r="D723" s="34" t="s">
        <v>77</v>
      </c>
      <c r="F723" s="31">
        <f>VLOOKUP(B723,info!$B$2:$I$49,8,FALSE)</f>
        <v>3550828</v>
      </c>
      <c r="G723" s="47"/>
      <c r="H723" s="31">
        <v>94225.806451612894</v>
      </c>
      <c r="I723" s="31">
        <v>25920</v>
      </c>
      <c r="J723" s="31">
        <v>7464.7058823529414</v>
      </c>
      <c r="K723" s="31">
        <v>331800</v>
      </c>
      <c r="L723" s="31"/>
      <c r="M723" s="31"/>
      <c r="N723" s="31"/>
      <c r="O723" s="31"/>
      <c r="P723" s="31">
        <v>49428.571428571428</v>
      </c>
      <c r="Q723" s="31"/>
      <c r="R723" s="31"/>
      <c r="S723" s="48">
        <v>1.99</v>
      </c>
      <c r="T723" s="31"/>
      <c r="U723" s="31">
        <v>3570</v>
      </c>
      <c r="V723" s="48">
        <v>1.05</v>
      </c>
      <c r="W723" s="31"/>
      <c r="X723" s="31"/>
      <c r="Y723" s="48">
        <v>12.6</v>
      </c>
      <c r="Z723" s="31"/>
      <c r="AA723" s="31"/>
      <c r="AB723" s="31"/>
      <c r="AC723" s="31"/>
      <c r="AD723" s="31"/>
      <c r="AE723" s="31"/>
      <c r="AF723" s="48">
        <v>81.8</v>
      </c>
      <c r="AG723" s="48">
        <v>25.1</v>
      </c>
      <c r="AH723" s="48">
        <v>53.7</v>
      </c>
      <c r="AI723" s="48">
        <v>22.5</v>
      </c>
      <c r="AJ723" s="31"/>
      <c r="AK723" s="31"/>
      <c r="AL723" s="48">
        <v>2.92</v>
      </c>
      <c r="AM723" s="31"/>
      <c r="AN723" s="31"/>
      <c r="AO723" s="31"/>
      <c r="AP723" s="50">
        <v>0.69</v>
      </c>
      <c r="AQ723" s="48">
        <v>0.73</v>
      </c>
      <c r="AR723" s="31"/>
      <c r="AS723" s="31"/>
      <c r="AT723" s="31"/>
      <c r="AU723" s="31"/>
      <c r="AV723" s="31"/>
      <c r="AW723" s="48">
        <v>0.42</v>
      </c>
      <c r="AX723" s="31"/>
      <c r="AY723" s="31"/>
      <c r="AZ723" s="48">
        <v>0.17</v>
      </c>
      <c r="BA723" s="31"/>
      <c r="BB723" s="48">
        <v>0.62</v>
      </c>
      <c r="BC723" s="31"/>
      <c r="BD723" s="31"/>
      <c r="BE723" s="48">
        <v>0.11</v>
      </c>
      <c r="BF723" s="31"/>
      <c r="BG723" s="31"/>
      <c r="BH723" s="31"/>
      <c r="BI723" s="31"/>
      <c r="BJ723" s="31"/>
      <c r="BK723" s="48">
        <v>0.33</v>
      </c>
      <c r="BL723" s="48">
        <v>7.0000000000000007E-2</v>
      </c>
    </row>
    <row r="724" spans="1:64" ht="16.5" thickBot="1">
      <c r="A724" t="str">
        <f>VLOOKUP(B724,info!$B$2:$F$49,2,FALSE)</f>
        <v>Mazda</v>
      </c>
      <c r="B724" s="34">
        <v>3</v>
      </c>
      <c r="C724" t="s">
        <v>405</v>
      </c>
      <c r="D724" s="34" t="s">
        <v>77</v>
      </c>
      <c r="F724" s="31">
        <f>VLOOKUP(B724,info!$B$2:$I$49,8,FALSE)</f>
        <v>3550828</v>
      </c>
      <c r="G724" s="47"/>
      <c r="H724" s="31">
        <v>88290.322580645166</v>
      </c>
      <c r="I724" s="31">
        <v>24720</v>
      </c>
      <c r="J724" s="31">
        <v>7570.588235294118</v>
      </c>
      <c r="K724" s="31">
        <v>332266.66666666669</v>
      </c>
      <c r="L724" s="31"/>
      <c r="M724" s="31"/>
      <c r="N724" s="31"/>
      <c r="O724" s="31"/>
      <c r="P724" s="31">
        <v>52571.42857142858</v>
      </c>
      <c r="Q724" s="31"/>
      <c r="R724" s="31"/>
      <c r="S724" s="48">
        <v>2</v>
      </c>
      <c r="T724" s="31"/>
      <c r="U724" s="31">
        <v>3640</v>
      </c>
      <c r="V724" s="48">
        <v>1.07</v>
      </c>
      <c r="W724" s="31"/>
      <c r="X724" s="31"/>
      <c r="Y724" s="48">
        <v>11.6</v>
      </c>
      <c r="Z724" s="31"/>
      <c r="AA724" s="31"/>
      <c r="AB724" s="31"/>
      <c r="AC724" s="31"/>
      <c r="AD724" s="31"/>
      <c r="AE724" s="31"/>
      <c r="AF724" s="48">
        <v>81.7</v>
      </c>
      <c r="AG724" s="48">
        <v>28.8</v>
      </c>
      <c r="AH724" s="48">
        <v>49.9</v>
      </c>
      <c r="AI724" s="48">
        <v>22.3</v>
      </c>
      <c r="AJ724" s="31"/>
      <c r="AK724" s="31"/>
      <c r="AL724" s="48">
        <v>3.33</v>
      </c>
      <c r="AM724" s="31"/>
      <c r="AN724" s="31"/>
      <c r="AO724" s="31"/>
      <c r="AP724" s="50">
        <v>0.73</v>
      </c>
      <c r="AQ724" s="48">
        <v>0.98</v>
      </c>
      <c r="AR724" s="31"/>
      <c r="AS724" s="31"/>
      <c r="AT724" s="31"/>
      <c r="AU724" s="31"/>
      <c r="AV724" s="31"/>
      <c r="AW724" s="48">
        <v>0.38</v>
      </c>
      <c r="AX724" s="31"/>
      <c r="AY724" s="31"/>
      <c r="AZ724" s="48">
        <v>0.15</v>
      </c>
      <c r="BA724" s="31"/>
      <c r="BB724" s="48">
        <v>0.64</v>
      </c>
      <c r="BC724" s="31"/>
      <c r="BD724" s="31"/>
      <c r="BE724" s="48">
        <v>0.12</v>
      </c>
      <c r="BF724" s="31"/>
      <c r="BG724" s="31"/>
      <c r="BH724" s="31"/>
      <c r="BI724" s="31"/>
      <c r="BJ724" s="31"/>
      <c r="BK724" s="48">
        <v>0.33</v>
      </c>
      <c r="BL724" s="48">
        <v>0.06</v>
      </c>
    </row>
    <row r="725" spans="1:64" ht="16.5" thickBot="1">
      <c r="A725" t="str">
        <f>VLOOKUP(B725,info!$B$2:$F$49,2,FALSE)</f>
        <v>Peugeot</v>
      </c>
      <c r="B725" s="34">
        <v>4</v>
      </c>
      <c r="C725" t="s">
        <v>405</v>
      </c>
      <c r="D725" s="34" t="s">
        <v>77</v>
      </c>
      <c r="F725" s="31">
        <f>VLOOKUP(B725,info!$B$2:$I$49,8,FALSE)</f>
        <v>9367324</v>
      </c>
      <c r="G725" s="47"/>
      <c r="H725" s="31">
        <v>97935.483870967742</v>
      </c>
      <c r="I725" s="31">
        <v>19860</v>
      </c>
      <c r="J725" s="31">
        <v>4817.6470588235297</v>
      </c>
      <c r="K725" s="31">
        <v>341133.33333333331</v>
      </c>
      <c r="L725" s="31"/>
      <c r="M725" s="31"/>
      <c r="N725" s="31"/>
      <c r="O725" s="31"/>
      <c r="P725" s="31">
        <v>54928.571428571435</v>
      </c>
      <c r="Q725" s="31"/>
      <c r="R725" s="31"/>
      <c r="S725" s="48">
        <v>3.74</v>
      </c>
      <c r="T725" s="31"/>
      <c r="U725" s="31">
        <v>5460</v>
      </c>
      <c r="V725" s="48">
        <v>1.1000000000000001</v>
      </c>
      <c r="W725" s="31"/>
      <c r="X725" s="31"/>
      <c r="Y725" s="48">
        <v>31.8</v>
      </c>
      <c r="Z725" s="31"/>
      <c r="AA725" s="31"/>
      <c r="AB725" s="31"/>
      <c r="AC725" s="31"/>
      <c r="AD725" s="31"/>
      <c r="AE725" s="31"/>
      <c r="AF725" s="48">
        <v>52.4</v>
      </c>
      <c r="AG725" s="48">
        <v>34.299999999999997</v>
      </c>
      <c r="AH725" s="48">
        <v>4.33</v>
      </c>
      <c r="AI725" s="48">
        <v>3.17</v>
      </c>
      <c r="AJ725" s="31"/>
      <c r="AK725" s="31"/>
      <c r="AL725" s="48">
        <v>3.06</v>
      </c>
      <c r="AM725" s="31"/>
      <c r="AN725" s="31"/>
      <c r="AO725" s="31"/>
      <c r="AP725" s="50">
        <v>0.16</v>
      </c>
      <c r="AQ725" s="48">
        <v>0.99</v>
      </c>
      <c r="AR725" s="31"/>
      <c r="AS725" s="31"/>
      <c r="AT725" s="31"/>
      <c r="AU725" s="31"/>
      <c r="AV725" s="31"/>
      <c r="AW725" s="48">
        <v>0.59</v>
      </c>
      <c r="AX725" s="31"/>
      <c r="AY725" s="31"/>
      <c r="AZ725" s="48">
        <v>0.19</v>
      </c>
      <c r="BA725" s="31"/>
      <c r="BB725" s="48">
        <v>0.17</v>
      </c>
      <c r="BC725" s="31"/>
      <c r="BD725" s="31"/>
      <c r="BE725" s="48">
        <v>0.14000000000000001</v>
      </c>
      <c r="BF725" s="31"/>
      <c r="BG725" s="31"/>
      <c r="BH725" s="31"/>
      <c r="BI725" s="31"/>
      <c r="BJ725" s="31"/>
      <c r="BK725" s="48">
        <v>0.37</v>
      </c>
      <c r="BL725" s="48">
        <v>7.0000000000000007E-2</v>
      </c>
    </row>
    <row r="726" spans="1:64" ht="16.5" thickBot="1">
      <c r="A726" t="str">
        <f>VLOOKUP(B726,info!$B$2:$F$49,2,FALSE)</f>
        <v>Peugeot</v>
      </c>
      <c r="B726" s="34">
        <v>5</v>
      </c>
      <c r="C726" t="s">
        <v>405</v>
      </c>
      <c r="D726" s="34" t="s">
        <v>77</v>
      </c>
      <c r="F726" s="31">
        <f>VLOOKUP(B726,info!$B$2:$I$49,8,FALSE)</f>
        <v>9367324</v>
      </c>
      <c r="G726" s="47"/>
      <c r="H726" s="31">
        <v>102387.09677419356</v>
      </c>
      <c r="I726" s="31">
        <v>18120</v>
      </c>
      <c r="J726" s="31">
        <v>5082.3529411764703</v>
      </c>
      <c r="K726" s="31">
        <v>344400</v>
      </c>
      <c r="L726" s="31"/>
      <c r="M726" s="31"/>
      <c r="N726" s="31"/>
      <c r="O726" s="31"/>
      <c r="P726" s="31">
        <v>58000</v>
      </c>
      <c r="Q726" s="31"/>
      <c r="R726" s="31"/>
      <c r="S726" s="48">
        <v>2.74</v>
      </c>
      <c r="T726" s="31"/>
      <c r="U726" s="31">
        <v>6160</v>
      </c>
      <c r="V726" s="48">
        <v>2.0099999999999998</v>
      </c>
      <c r="W726" s="31"/>
      <c r="X726" s="31"/>
      <c r="Y726" s="48">
        <v>0.9</v>
      </c>
      <c r="Z726" s="31"/>
      <c r="AA726" s="31"/>
      <c r="AB726" s="31"/>
      <c r="AC726" s="31"/>
      <c r="AD726" s="31"/>
      <c r="AE726" s="31"/>
      <c r="AF726" s="31">
        <v>0.05</v>
      </c>
      <c r="AG726" s="48">
        <v>31.3</v>
      </c>
      <c r="AH726" s="48">
        <v>4.67</v>
      </c>
      <c r="AI726" s="31">
        <v>0.7</v>
      </c>
      <c r="AJ726" s="31"/>
      <c r="AK726" s="31"/>
      <c r="AL726" s="48">
        <v>2.46</v>
      </c>
      <c r="AM726" s="31"/>
      <c r="AN726" s="31"/>
      <c r="AO726" s="31"/>
      <c r="AP726" s="50">
        <v>0.19</v>
      </c>
      <c r="AQ726" s="48">
        <v>0.69</v>
      </c>
      <c r="AR726" s="31"/>
      <c r="AS726" s="31"/>
      <c r="AT726" s="31"/>
      <c r="AU726" s="31"/>
      <c r="AV726" s="31"/>
      <c r="AW726" s="48">
        <v>0.32</v>
      </c>
      <c r="AX726" s="31"/>
      <c r="AY726" s="31"/>
      <c r="AZ726" s="48">
        <v>0.1</v>
      </c>
      <c r="BA726" s="31"/>
      <c r="BB726" s="48">
        <v>0.24</v>
      </c>
      <c r="BC726" s="31"/>
      <c r="BD726" s="31"/>
      <c r="BE726" s="48">
        <v>0.09</v>
      </c>
      <c r="BF726" s="31"/>
      <c r="BG726" s="31"/>
      <c r="BH726" s="31"/>
      <c r="BI726" s="31"/>
      <c r="BJ726" s="31"/>
      <c r="BK726" s="48">
        <v>0.15</v>
      </c>
      <c r="BL726" s="48">
        <v>8.9999999999999993E-3</v>
      </c>
    </row>
    <row r="727" spans="1:64" ht="16.5" thickBot="1">
      <c r="A727" t="str">
        <f>VLOOKUP(B727,info!$B$2:$F$49,2,FALSE)</f>
        <v>Mazda</v>
      </c>
      <c r="B727" s="34">
        <v>6</v>
      </c>
      <c r="C727" t="s">
        <v>405</v>
      </c>
      <c r="D727" s="34" t="s">
        <v>77</v>
      </c>
      <c r="F727" s="31">
        <f>VLOOKUP(B727,info!$B$2:$I$49,8,FALSE)</f>
        <v>3550828</v>
      </c>
      <c r="G727" s="47"/>
      <c r="H727" s="31">
        <v>100161.29032258064</v>
      </c>
      <c r="I727" s="31">
        <v>28980</v>
      </c>
      <c r="J727" s="31">
        <v>8311.7647058823532</v>
      </c>
      <c r="K727" s="31">
        <v>338799.99999999994</v>
      </c>
      <c r="L727" s="31"/>
      <c r="M727" s="31"/>
      <c r="N727" s="31"/>
      <c r="O727" s="31"/>
      <c r="P727" s="31">
        <v>52000</v>
      </c>
      <c r="Q727" s="31"/>
      <c r="R727" s="31"/>
      <c r="S727" s="48">
        <v>2.1800000000000002</v>
      </c>
      <c r="T727" s="31"/>
      <c r="U727" s="31">
        <v>3640</v>
      </c>
      <c r="V727" s="48">
        <v>1.69</v>
      </c>
      <c r="W727" s="31"/>
      <c r="X727" s="31"/>
      <c r="Y727" s="48">
        <v>10.5</v>
      </c>
      <c r="Z727" s="31"/>
      <c r="AA727" s="31"/>
      <c r="AB727" s="31"/>
      <c r="AC727" s="31"/>
      <c r="AD727" s="31"/>
      <c r="AE727" s="31"/>
      <c r="AF727" s="48">
        <v>83.7</v>
      </c>
      <c r="AG727" s="48">
        <v>35.299999999999997</v>
      </c>
      <c r="AH727" s="48">
        <v>128</v>
      </c>
      <c r="AI727" s="48">
        <v>23.8</v>
      </c>
      <c r="AJ727" s="31"/>
      <c r="AK727" s="31"/>
      <c r="AL727" s="48">
        <v>4.62</v>
      </c>
      <c r="AM727" s="31"/>
      <c r="AN727" s="31"/>
      <c r="AO727" s="31"/>
      <c r="AP727" s="50">
        <v>0.74</v>
      </c>
      <c r="AQ727" s="48">
        <v>0.81</v>
      </c>
      <c r="AR727" s="31"/>
      <c r="AS727" s="31"/>
      <c r="AT727" s="31"/>
      <c r="AU727" s="31"/>
      <c r="AV727" s="31"/>
      <c r="AW727" s="48">
        <v>0.4</v>
      </c>
      <c r="AX727" s="31"/>
      <c r="AY727" s="31"/>
      <c r="AZ727" s="48">
        <v>0.17</v>
      </c>
      <c r="BA727" s="31"/>
      <c r="BB727" s="48">
        <v>0.62</v>
      </c>
      <c r="BC727" s="31"/>
      <c r="BD727" s="31"/>
      <c r="BE727" s="48">
        <v>0.11</v>
      </c>
      <c r="BF727" s="31"/>
      <c r="BG727" s="31"/>
      <c r="BH727" s="31"/>
      <c r="BI727" s="31"/>
      <c r="BJ727" s="31"/>
      <c r="BK727" s="48">
        <v>0.35</v>
      </c>
      <c r="BL727" s="48">
        <v>7.0000000000000007E-2</v>
      </c>
    </row>
    <row r="728" spans="1:64" ht="16.5" thickBot="1">
      <c r="A728" t="str">
        <f>VLOOKUP(B728,info!$B$2:$F$49,2,FALSE)</f>
        <v>Hyundai</v>
      </c>
      <c r="B728" s="34">
        <v>7</v>
      </c>
      <c r="C728" t="s">
        <v>405</v>
      </c>
      <c r="D728" s="34" t="s">
        <v>77</v>
      </c>
      <c r="F728" s="31">
        <f>VLOOKUP(B728,info!$B$2:$I$49,8,FALSE)</f>
        <v>9540217</v>
      </c>
      <c r="G728" s="47"/>
      <c r="H728" s="31">
        <v>109064.51612903226</v>
      </c>
      <c r="I728" s="31">
        <v>24839.999999999996</v>
      </c>
      <c r="J728" s="31">
        <v>6141.1764705882351</v>
      </c>
      <c r="K728" s="31">
        <v>333200</v>
      </c>
      <c r="L728" s="31"/>
      <c r="M728" s="31"/>
      <c r="N728" s="31"/>
      <c r="O728" s="31"/>
      <c r="P728" s="31">
        <v>50071.428571428572</v>
      </c>
      <c r="Q728" s="31"/>
      <c r="R728" s="31"/>
      <c r="S728" s="48">
        <v>2.38</v>
      </c>
      <c r="T728" s="31"/>
      <c r="U728" s="31">
        <v>3359.9999999999995</v>
      </c>
      <c r="V728" s="48">
        <v>5.51</v>
      </c>
      <c r="W728" s="31"/>
      <c r="X728" s="31"/>
      <c r="Y728" s="48">
        <v>0.9</v>
      </c>
      <c r="Z728" s="31"/>
      <c r="AA728" s="31"/>
      <c r="AB728" s="31"/>
      <c r="AC728" s="31"/>
      <c r="AD728" s="31"/>
      <c r="AE728" s="31"/>
      <c r="AF728" s="48">
        <v>39.299999999999997</v>
      </c>
      <c r="AG728" s="48">
        <v>65.7</v>
      </c>
      <c r="AH728" s="48">
        <v>9.42</v>
      </c>
      <c r="AI728" s="48">
        <v>10.4</v>
      </c>
      <c r="AJ728" s="31"/>
      <c r="AK728" s="31"/>
      <c r="AL728" s="48">
        <v>5.13</v>
      </c>
      <c r="AM728" s="31"/>
      <c r="AN728" s="31"/>
      <c r="AO728" s="31"/>
      <c r="AP728" s="50">
        <v>2.4700000000000002</v>
      </c>
      <c r="AQ728" s="48">
        <v>1.95</v>
      </c>
      <c r="AR728" s="31"/>
      <c r="AS728" s="31"/>
      <c r="AT728" s="31"/>
      <c r="AU728" s="31"/>
      <c r="AV728" s="31"/>
      <c r="AW728" s="48">
        <v>0.7</v>
      </c>
      <c r="AX728" s="31"/>
      <c r="AY728" s="31"/>
      <c r="AZ728" s="48">
        <v>0.2</v>
      </c>
      <c r="BA728" s="31"/>
      <c r="BB728" s="48">
        <v>0.32</v>
      </c>
      <c r="BC728" s="31"/>
      <c r="BD728" s="31"/>
      <c r="BE728" s="48">
        <v>0.17</v>
      </c>
      <c r="BF728" s="31"/>
      <c r="BG728" s="31"/>
      <c r="BH728" s="31"/>
      <c r="BI728" s="31"/>
      <c r="BJ728" s="31"/>
      <c r="BK728" s="48">
        <v>0.56000000000000005</v>
      </c>
      <c r="BL728" s="48">
        <v>0.09</v>
      </c>
    </row>
    <row r="729" spans="1:64" ht="16.5" thickBot="1">
      <c r="A729" t="str">
        <f>VLOOKUP(B729,info!$B$2:$F$49,2,FALSE)</f>
        <v>Honda</v>
      </c>
      <c r="B729" s="34">
        <v>8</v>
      </c>
      <c r="C729" t="s">
        <v>405</v>
      </c>
      <c r="D729" s="34" t="s">
        <v>77</v>
      </c>
      <c r="F729" s="31">
        <f>VLOOKUP(B729,info!$B$2:$I$49,8,FALSE)</f>
        <v>8096906</v>
      </c>
      <c r="G729" s="47"/>
      <c r="H729" s="31">
        <v>100903.22580645161</v>
      </c>
      <c r="I729" s="31">
        <v>22860</v>
      </c>
      <c r="J729" s="31">
        <v>7411.7647058823522</v>
      </c>
      <c r="K729" s="31">
        <v>333666.66666666669</v>
      </c>
      <c r="L729" s="31"/>
      <c r="M729" s="31"/>
      <c r="N729" s="31"/>
      <c r="O729" s="31"/>
      <c r="P729" s="31">
        <v>48642.857142857138</v>
      </c>
      <c r="Q729" s="31"/>
      <c r="R729" s="31"/>
      <c r="S729" s="48">
        <v>2.72</v>
      </c>
      <c r="T729" s="31"/>
      <c r="U729" s="31">
        <v>3570</v>
      </c>
      <c r="V729" s="48">
        <v>0.3</v>
      </c>
      <c r="W729" s="31"/>
      <c r="X729" s="31"/>
      <c r="Y729" s="48">
        <v>0.9</v>
      </c>
      <c r="Z729" s="31"/>
      <c r="AA729" s="31"/>
      <c r="AB729" s="31"/>
      <c r="AC729" s="31"/>
      <c r="AD729" s="31"/>
      <c r="AE729" s="31"/>
      <c r="AF729" s="31">
        <v>0.05</v>
      </c>
      <c r="AG729" s="48">
        <v>14.7</v>
      </c>
      <c r="AH729" s="48">
        <v>3.05</v>
      </c>
      <c r="AI729" s="31">
        <v>0.7</v>
      </c>
      <c r="AJ729" s="31"/>
      <c r="AK729" s="31"/>
      <c r="AL729" s="48">
        <v>1.62</v>
      </c>
      <c r="AM729" s="31"/>
      <c r="AN729" s="31"/>
      <c r="AO729" s="31"/>
      <c r="AP729" s="50">
        <v>0.27</v>
      </c>
      <c r="AQ729" s="48">
        <v>0.49</v>
      </c>
      <c r="AR729" s="31"/>
      <c r="AS729" s="31"/>
      <c r="AT729" s="31"/>
      <c r="AU729" s="31"/>
      <c r="AV729" s="31"/>
      <c r="AW729" s="48">
        <v>0.22</v>
      </c>
      <c r="AX729" s="31"/>
      <c r="AY729" s="31"/>
      <c r="AZ729" s="48">
        <v>0.05</v>
      </c>
      <c r="BA729" s="31"/>
      <c r="BB729" s="48">
        <v>0.16</v>
      </c>
      <c r="BC729" s="31"/>
      <c r="BD729" s="31"/>
      <c r="BE729" s="48">
        <v>0.08</v>
      </c>
      <c r="BF729" s="31"/>
      <c r="BG729" s="31"/>
      <c r="BH729" s="31"/>
      <c r="BI729" s="31"/>
      <c r="BJ729" s="31"/>
      <c r="BK729" s="48">
        <v>0.14000000000000001</v>
      </c>
      <c r="BL729" s="48">
        <v>8.9999999999999993E-3</v>
      </c>
    </row>
    <row r="730" spans="1:64" ht="16.5" thickBot="1">
      <c r="A730" t="str">
        <f>VLOOKUP(B730,info!$B$2:$F$49,2,FALSE)</f>
        <v>Honda</v>
      </c>
      <c r="B730" s="34">
        <v>9</v>
      </c>
      <c r="C730" t="s">
        <v>405</v>
      </c>
      <c r="D730" s="34" t="s">
        <v>77</v>
      </c>
      <c r="F730" s="31">
        <f>VLOOKUP(B730,info!$B$2:$I$49,8,FALSE)</f>
        <v>8096906</v>
      </c>
      <c r="G730" s="47"/>
      <c r="H730" s="31">
        <v>105354.83870967741</v>
      </c>
      <c r="I730" s="31">
        <v>21420</v>
      </c>
      <c r="J730" s="31">
        <v>8364.7058823529424</v>
      </c>
      <c r="K730" s="31">
        <v>333200</v>
      </c>
      <c r="L730" s="31"/>
      <c r="M730" s="31"/>
      <c r="N730" s="31"/>
      <c r="O730" s="31"/>
      <c r="P730" s="31">
        <v>41857.142857142862</v>
      </c>
      <c r="Q730" s="31"/>
      <c r="R730" s="31"/>
      <c r="S730" s="48">
        <v>2.52</v>
      </c>
      <c r="T730" s="31"/>
      <c r="U730" s="31">
        <v>3429.9999999999995</v>
      </c>
      <c r="V730" s="48">
        <v>0.42</v>
      </c>
      <c r="W730" s="31"/>
      <c r="X730" s="31"/>
      <c r="Y730" s="48">
        <v>4.93</v>
      </c>
      <c r="Z730" s="31"/>
      <c r="AA730" s="31"/>
      <c r="AB730" s="31"/>
      <c r="AC730" s="31"/>
      <c r="AD730" s="31"/>
      <c r="AE730" s="31"/>
      <c r="AF730" s="31">
        <v>0.05</v>
      </c>
      <c r="AG730" s="48">
        <v>19.2</v>
      </c>
      <c r="AH730" s="48">
        <v>2.67</v>
      </c>
      <c r="AI730" s="31">
        <v>0.7</v>
      </c>
      <c r="AJ730" s="31"/>
      <c r="AK730" s="31"/>
      <c r="AL730" s="48">
        <v>1.44</v>
      </c>
      <c r="AM730" s="31"/>
      <c r="AN730" s="31"/>
      <c r="AO730" s="31"/>
      <c r="AP730" s="50">
        <v>0.25</v>
      </c>
      <c r="AQ730" s="48">
        <v>0.47</v>
      </c>
      <c r="AR730" s="31"/>
      <c r="AS730" s="31"/>
      <c r="AT730" s="31"/>
      <c r="AU730" s="31"/>
      <c r="AV730" s="31"/>
      <c r="AW730" s="48">
        <v>0.2</v>
      </c>
      <c r="AX730" s="31"/>
      <c r="AY730" s="31"/>
      <c r="AZ730" s="48">
        <v>7.0000000000000007E-2</v>
      </c>
      <c r="BA730" s="31"/>
      <c r="BB730" s="48">
        <v>0.17</v>
      </c>
      <c r="BC730" s="31"/>
      <c r="BD730" s="31"/>
      <c r="BE730" s="48">
        <v>0.08</v>
      </c>
      <c r="BF730" s="31"/>
      <c r="BG730" s="31"/>
      <c r="BH730" s="31"/>
      <c r="BI730" s="31"/>
      <c r="BJ730" s="31"/>
      <c r="BK730" s="48">
        <v>0.13</v>
      </c>
      <c r="BL730" s="48">
        <v>8.9999999999999993E-3</v>
      </c>
    </row>
    <row r="731" spans="1:64" ht="16.5" thickBot="1">
      <c r="A731" t="str">
        <f>VLOOKUP(B731,info!$B$2:$F$49,2,FALSE)</f>
        <v>Ford</v>
      </c>
      <c r="B731" s="34">
        <v>10</v>
      </c>
      <c r="C731" t="s">
        <v>405</v>
      </c>
      <c r="D731" s="34" t="s">
        <v>77</v>
      </c>
      <c r="F731" s="31">
        <f>VLOOKUP(B731,info!$B$2:$I$49,8,FALSE)</f>
        <v>6917835</v>
      </c>
      <c r="G731" s="47"/>
      <c r="H731" s="31">
        <v>101645.16129032258</v>
      </c>
      <c r="I731" s="31">
        <v>24660.000000000004</v>
      </c>
      <c r="J731" s="31">
        <v>5929.4117647058829</v>
      </c>
      <c r="K731" s="31">
        <v>329933.33333333331</v>
      </c>
      <c r="L731" s="31"/>
      <c r="M731" s="31"/>
      <c r="N731" s="31"/>
      <c r="O731" s="31"/>
      <c r="P731" s="31">
        <v>39928.571428571428</v>
      </c>
      <c r="Q731" s="31"/>
      <c r="R731" s="31"/>
      <c r="S731" s="48">
        <v>3.74</v>
      </c>
      <c r="T731" s="31"/>
      <c r="U731" s="31">
        <v>7140</v>
      </c>
      <c r="V731" s="48">
        <v>0.36</v>
      </c>
      <c r="W731" s="31"/>
      <c r="X731" s="31"/>
      <c r="Y731" s="48">
        <v>5.62</v>
      </c>
      <c r="Z731" s="31"/>
      <c r="AA731" s="31"/>
      <c r="AB731" s="31"/>
      <c r="AC731" s="31"/>
      <c r="AD731" s="31"/>
      <c r="AE731" s="31"/>
      <c r="AF731" s="48">
        <v>72.2</v>
      </c>
      <c r="AG731" s="48">
        <v>39.700000000000003</v>
      </c>
      <c r="AH731" s="48">
        <v>6.69</v>
      </c>
      <c r="AI731" s="48">
        <v>7.75</v>
      </c>
      <c r="AJ731" s="31"/>
      <c r="AK731" s="31"/>
      <c r="AL731" s="48">
        <v>3.52</v>
      </c>
      <c r="AM731" s="31"/>
      <c r="AN731" s="31"/>
      <c r="AO731" s="31"/>
      <c r="AP731" s="50">
        <v>1.4</v>
      </c>
      <c r="AQ731" s="48">
        <v>0.9</v>
      </c>
      <c r="AR731" s="31"/>
      <c r="AS731" s="31"/>
      <c r="AT731" s="31"/>
      <c r="AU731" s="31"/>
      <c r="AV731" s="31"/>
      <c r="AW731" s="48">
        <v>0.81</v>
      </c>
      <c r="AX731" s="31"/>
      <c r="AY731" s="31"/>
      <c r="AZ731" s="48">
        <v>0.23</v>
      </c>
      <c r="BA731" s="31"/>
      <c r="BB731" s="48">
        <v>0.4</v>
      </c>
      <c r="BC731" s="31"/>
      <c r="BD731" s="31"/>
      <c r="BE731" s="48">
        <v>0.12</v>
      </c>
      <c r="BF731" s="31"/>
      <c r="BG731" s="31"/>
      <c r="BH731" s="31"/>
      <c r="BI731" s="31"/>
      <c r="BJ731" s="31"/>
      <c r="BK731" s="48">
        <v>0.26</v>
      </c>
      <c r="BL731" s="48">
        <v>0.16</v>
      </c>
    </row>
    <row r="732" spans="1:64" ht="16.5" thickBot="1">
      <c r="A732" t="str">
        <f>VLOOKUP(B732,info!$B$2:$F$49,2,FALSE)</f>
        <v>Honda</v>
      </c>
      <c r="B732" s="34">
        <v>11</v>
      </c>
      <c r="C732" t="s">
        <v>405</v>
      </c>
      <c r="D732" s="34" t="s">
        <v>77</v>
      </c>
      <c r="F732" s="31">
        <f>VLOOKUP(B732,info!$B$2:$I$49,8,FALSE)</f>
        <v>8096906</v>
      </c>
      <c r="G732" s="47"/>
      <c r="H732" s="31">
        <v>106838.70967741935</v>
      </c>
      <c r="I732" s="31">
        <v>27180</v>
      </c>
      <c r="J732" s="31">
        <v>7147.0588235294117</v>
      </c>
      <c r="K732" s="31">
        <v>340200.00000000006</v>
      </c>
      <c r="L732" s="31"/>
      <c r="M732" s="31"/>
      <c r="N732" s="31"/>
      <c r="O732" s="31"/>
      <c r="P732" s="31">
        <v>51285.71428571429</v>
      </c>
      <c r="Q732" s="31"/>
      <c r="R732" s="31"/>
      <c r="S732" s="48">
        <v>3.13</v>
      </c>
      <c r="T732" s="31"/>
      <c r="U732" s="31">
        <v>3780</v>
      </c>
      <c r="V732" s="48">
        <v>0.27</v>
      </c>
      <c r="W732" s="31"/>
      <c r="X732" s="31"/>
      <c r="Y732" s="48">
        <v>1.96</v>
      </c>
      <c r="Z732" s="31"/>
      <c r="AA732" s="31"/>
      <c r="AB732" s="31"/>
      <c r="AC732" s="31"/>
      <c r="AD732" s="31"/>
      <c r="AE732" s="31"/>
      <c r="AF732" s="48">
        <v>6.59</v>
      </c>
      <c r="AG732" s="48">
        <v>20.5</v>
      </c>
      <c r="AH732" s="48">
        <v>3.04</v>
      </c>
      <c r="AI732" s="48">
        <v>0.99</v>
      </c>
      <c r="AJ732" s="31"/>
      <c r="AK732" s="31"/>
      <c r="AL732" s="48">
        <v>1.67</v>
      </c>
      <c r="AM732" s="31"/>
      <c r="AN732" s="31"/>
      <c r="AO732" s="31"/>
      <c r="AP732" s="50">
        <v>0.34</v>
      </c>
      <c r="AQ732" s="48">
        <v>0.56000000000000005</v>
      </c>
      <c r="AR732" s="31"/>
      <c r="AS732" s="31"/>
      <c r="AT732" s="31"/>
      <c r="AU732" s="31"/>
      <c r="AV732" s="31"/>
      <c r="AW732" s="48">
        <v>0.19</v>
      </c>
      <c r="AX732" s="31"/>
      <c r="AY732" s="31"/>
      <c r="AZ732" s="48">
        <v>7.0000000000000007E-2</v>
      </c>
      <c r="BA732" s="31"/>
      <c r="BB732" s="48">
        <v>0.04</v>
      </c>
      <c r="BC732" s="31"/>
      <c r="BD732" s="31"/>
      <c r="BE732" s="48">
        <v>0.05</v>
      </c>
      <c r="BF732" s="31"/>
      <c r="BG732" s="31"/>
      <c r="BH732" s="31"/>
      <c r="BI732" s="31"/>
      <c r="BJ732" s="31"/>
      <c r="BK732" s="48">
        <v>0.13</v>
      </c>
      <c r="BL732" s="48">
        <v>8.9999999999999993E-3</v>
      </c>
    </row>
    <row r="733" spans="1:64" ht="16.5" thickBot="1">
      <c r="A733" t="str">
        <f>VLOOKUP(B733,info!$B$2:$F$49,2,FALSE)</f>
        <v>Daewoo</v>
      </c>
      <c r="B733" s="34">
        <v>12</v>
      </c>
      <c r="C733" t="s">
        <v>405</v>
      </c>
      <c r="D733" s="34" t="s">
        <v>77</v>
      </c>
      <c r="F733" s="31">
        <f>VLOOKUP(B733,info!$B$2:$I$49,8,FALSE)</f>
        <v>8501017</v>
      </c>
      <c r="G733" s="47"/>
      <c r="H733" s="31">
        <v>99419.354838709667</v>
      </c>
      <c r="I733" s="31">
        <v>21900</v>
      </c>
      <c r="J733" s="31">
        <v>6564.7058823529414</v>
      </c>
      <c r="K733" s="31">
        <v>333200</v>
      </c>
      <c r="L733" s="31"/>
      <c r="M733" s="31"/>
      <c r="N733" s="31"/>
      <c r="O733" s="31"/>
      <c r="P733" s="31">
        <v>47785.714285714297</v>
      </c>
      <c r="Q733" s="31"/>
      <c r="R733" s="31"/>
      <c r="S733" s="48">
        <v>4.2699999999999996</v>
      </c>
      <c r="T733" s="31"/>
      <c r="U733" s="31">
        <v>3780</v>
      </c>
      <c r="V733" s="48">
        <v>9.16</v>
      </c>
      <c r="W733" s="31"/>
      <c r="X733" s="31"/>
      <c r="Y733" s="48">
        <v>2.93</v>
      </c>
      <c r="Z733" s="31"/>
      <c r="AA733" s="31"/>
      <c r="AB733" s="31"/>
      <c r="AC733" s="31"/>
      <c r="AD733" s="31"/>
      <c r="AE733" s="31"/>
      <c r="AF733" s="48">
        <v>105</v>
      </c>
      <c r="AG733" s="48">
        <v>69.599999999999994</v>
      </c>
      <c r="AH733" s="48">
        <v>6.07</v>
      </c>
      <c r="AI733" s="48">
        <v>16</v>
      </c>
      <c r="AJ733" s="31"/>
      <c r="AK733" s="31"/>
      <c r="AL733" s="48">
        <v>3.57</v>
      </c>
      <c r="AM733" s="31"/>
      <c r="AN733" s="31"/>
      <c r="AO733" s="31"/>
      <c r="AP733" s="50">
        <v>0.24</v>
      </c>
      <c r="AQ733" s="48">
        <v>1.89</v>
      </c>
      <c r="AR733" s="31"/>
      <c r="AS733" s="31"/>
      <c r="AT733" s="31"/>
      <c r="AU733" s="31"/>
      <c r="AV733" s="31"/>
      <c r="AW733" s="48">
        <v>0.55000000000000004</v>
      </c>
      <c r="AX733" s="31"/>
      <c r="AY733" s="31"/>
      <c r="AZ733" s="48">
        <v>0.21</v>
      </c>
      <c r="BA733" s="31"/>
      <c r="BB733" s="48">
        <v>0.24</v>
      </c>
      <c r="BC733" s="31"/>
      <c r="BD733" s="31"/>
      <c r="BE733" s="48">
        <v>0.11</v>
      </c>
      <c r="BF733" s="31"/>
      <c r="BG733" s="31"/>
      <c r="BH733" s="31"/>
      <c r="BI733" s="31"/>
      <c r="BJ733" s="31"/>
      <c r="BK733" s="48">
        <v>0.42</v>
      </c>
      <c r="BL733" s="48">
        <v>0.11</v>
      </c>
    </row>
    <row r="734" spans="1:64" ht="16.5" thickBot="1">
      <c r="A734" t="str">
        <f>VLOOKUP(B734,info!$B$2:$F$49,2,FALSE)</f>
        <v>Hyundai</v>
      </c>
      <c r="B734" s="34">
        <v>13</v>
      </c>
      <c r="C734" t="s">
        <v>405</v>
      </c>
      <c r="D734" s="34" t="s">
        <v>77</v>
      </c>
      <c r="F734" s="31">
        <f>VLOOKUP(B734,info!$B$2:$I$49,8,FALSE)</f>
        <v>9540217</v>
      </c>
      <c r="G734" s="47"/>
      <c r="H734" s="31">
        <v>101645.16129032258</v>
      </c>
      <c r="I734" s="31">
        <v>25079.999999999996</v>
      </c>
      <c r="J734" s="31">
        <v>6035.2941176470586</v>
      </c>
      <c r="K734" s="31">
        <v>341133.33333333331</v>
      </c>
      <c r="L734" s="31"/>
      <c r="M734" s="31"/>
      <c r="N734" s="31"/>
      <c r="O734" s="31"/>
      <c r="P734" s="31">
        <v>56571.428571428572</v>
      </c>
      <c r="Q734" s="31"/>
      <c r="R734" s="31"/>
      <c r="S734" s="48">
        <v>2.71</v>
      </c>
      <c r="T734" s="31"/>
      <c r="U734" s="31">
        <v>3780</v>
      </c>
      <c r="V734" s="48">
        <v>8.7200000000000006</v>
      </c>
      <c r="W734" s="31"/>
      <c r="X734" s="31"/>
      <c r="Y734" s="48">
        <v>5.66</v>
      </c>
      <c r="Z734" s="31"/>
      <c r="AA734" s="31"/>
      <c r="AB734" s="31"/>
      <c r="AC734" s="31"/>
      <c r="AD734" s="31"/>
      <c r="AE734" s="31"/>
      <c r="AF734" s="48">
        <v>40.9</v>
      </c>
      <c r="AG734" s="48">
        <v>72.3</v>
      </c>
      <c r="AH734" s="48">
        <v>10.8</v>
      </c>
      <c r="AI734" s="48">
        <v>10.7</v>
      </c>
      <c r="AJ734" s="31"/>
      <c r="AK734" s="31"/>
      <c r="AL734" s="48">
        <v>5.95</v>
      </c>
      <c r="AM734" s="31"/>
      <c r="AN734" s="31"/>
      <c r="AO734" s="31"/>
      <c r="AP734" s="50">
        <v>0.37</v>
      </c>
      <c r="AQ734" s="48">
        <v>2.0499999999999998</v>
      </c>
      <c r="AR734" s="31"/>
      <c r="AS734" s="31"/>
      <c r="AT734" s="31"/>
      <c r="AU734" s="31"/>
      <c r="AV734" s="31"/>
      <c r="AW734" s="48">
        <v>0.81</v>
      </c>
      <c r="AX734" s="31"/>
      <c r="AY734" s="31"/>
      <c r="AZ734" s="48">
        <v>0.22</v>
      </c>
      <c r="BA734" s="31"/>
      <c r="BB734" s="48">
        <v>0.26</v>
      </c>
      <c r="BC734" s="31"/>
      <c r="BD734" s="31"/>
      <c r="BE734" s="48">
        <v>0.17</v>
      </c>
      <c r="BF734" s="31"/>
      <c r="BG734" s="31"/>
      <c r="BH734" s="31"/>
      <c r="BI734" s="31"/>
      <c r="BJ734" s="31"/>
      <c r="BK734" s="48">
        <v>0.62</v>
      </c>
      <c r="BL734" s="48">
        <v>0.08</v>
      </c>
    </row>
    <row r="735" spans="1:64" ht="16.5" thickBot="1">
      <c r="A735" t="str">
        <f>VLOOKUP(B735,info!$B$2:$F$49,2,FALSE)</f>
        <v>Peugeot</v>
      </c>
      <c r="B735" s="34">
        <v>14</v>
      </c>
      <c r="C735" t="s">
        <v>405</v>
      </c>
      <c r="D735" s="34" t="s">
        <v>77</v>
      </c>
      <c r="F735" s="31">
        <f>VLOOKUP(B735,info!$B$2:$I$49,8,FALSE)</f>
        <v>9367324</v>
      </c>
      <c r="G735" s="47"/>
      <c r="H735" s="31">
        <v>94225.806451612894</v>
      </c>
      <c r="I735" s="31">
        <v>20880</v>
      </c>
      <c r="J735" s="31">
        <v>5241.176470588236</v>
      </c>
      <c r="K735" s="31">
        <v>339733.33333333337</v>
      </c>
      <c r="L735" s="31"/>
      <c r="M735" s="31"/>
      <c r="N735" s="31"/>
      <c r="O735" s="31"/>
      <c r="P735" s="31">
        <v>56500</v>
      </c>
      <c r="Q735" s="31"/>
      <c r="R735" s="31"/>
      <c r="S735" s="48">
        <v>2.3199999999999998</v>
      </c>
      <c r="T735" s="31"/>
      <c r="U735" s="31">
        <v>3500</v>
      </c>
      <c r="V735" s="48">
        <v>7.45</v>
      </c>
      <c r="W735" s="31"/>
      <c r="X735" s="31"/>
      <c r="Y735" s="48">
        <v>2.48</v>
      </c>
      <c r="Z735" s="31"/>
      <c r="AA735" s="31"/>
      <c r="AB735" s="31"/>
      <c r="AC735" s="31"/>
      <c r="AD735" s="31"/>
      <c r="AE735" s="31"/>
      <c r="AF735" s="48">
        <v>40.6</v>
      </c>
      <c r="AG735" s="48">
        <v>64.2</v>
      </c>
      <c r="AH735" s="48">
        <v>10.8</v>
      </c>
      <c r="AI735" s="48">
        <v>9.91</v>
      </c>
      <c r="AJ735" s="31"/>
      <c r="AK735" s="31"/>
      <c r="AL735" s="48">
        <v>6.62</v>
      </c>
      <c r="AM735" s="31"/>
      <c r="AN735" s="31"/>
      <c r="AO735" s="31"/>
      <c r="AP735" s="50">
        <v>0.18</v>
      </c>
      <c r="AQ735" s="48">
        <v>1.77</v>
      </c>
      <c r="AR735" s="31"/>
      <c r="AS735" s="31"/>
      <c r="AT735" s="31"/>
      <c r="AU735" s="31"/>
      <c r="AV735" s="31"/>
      <c r="AW735" s="48">
        <v>0.85</v>
      </c>
      <c r="AX735" s="31"/>
      <c r="AY735" s="31"/>
      <c r="AZ735" s="48">
        <v>0.25</v>
      </c>
      <c r="BA735" s="31"/>
      <c r="BB735" s="48">
        <v>0.25</v>
      </c>
      <c r="BC735" s="31"/>
      <c r="BD735" s="31"/>
      <c r="BE735" s="48">
        <v>0.16</v>
      </c>
      <c r="BF735" s="31"/>
      <c r="BG735" s="31"/>
      <c r="BH735" s="31"/>
      <c r="BI735" s="31"/>
      <c r="BJ735" s="31"/>
      <c r="BK735" s="48">
        <v>0.62</v>
      </c>
      <c r="BL735" s="48">
        <v>0.08</v>
      </c>
    </row>
    <row r="736" spans="1:64" ht="16.5" thickBot="1">
      <c r="A736" t="str">
        <f>VLOOKUP(B736,info!$B$2:$F$49,2,FALSE)</f>
        <v>Ford</v>
      </c>
      <c r="B736" s="34">
        <v>15</v>
      </c>
      <c r="C736" t="s">
        <v>405</v>
      </c>
      <c r="D736" s="34" t="s">
        <v>77</v>
      </c>
      <c r="F736" s="31">
        <f>VLOOKUP(B736,info!$B$2:$I$49,8,FALSE)</f>
        <v>6917835</v>
      </c>
      <c r="G736" s="47"/>
      <c r="H736" s="31">
        <v>95709.677419354848</v>
      </c>
      <c r="I736" s="31">
        <v>21660</v>
      </c>
      <c r="J736" s="31">
        <v>5452.9411764705883</v>
      </c>
      <c r="K736" s="31">
        <v>328533.33333333337</v>
      </c>
      <c r="L736" s="31"/>
      <c r="M736" s="31"/>
      <c r="N736" s="31"/>
      <c r="O736" s="31"/>
      <c r="P736" s="31">
        <v>50785.71428571429</v>
      </c>
      <c r="Q736" s="31"/>
      <c r="R736" s="31"/>
      <c r="S736" s="48">
        <v>3.69</v>
      </c>
      <c r="T736" s="31"/>
      <c r="U736" s="31">
        <v>6929.9999999999991</v>
      </c>
      <c r="V736" s="48">
        <v>0.36</v>
      </c>
      <c r="W736" s="31"/>
      <c r="X736" s="31"/>
      <c r="Y736" s="48">
        <v>5.52</v>
      </c>
      <c r="Z736" s="31"/>
      <c r="AA736" s="31"/>
      <c r="AB736" s="31"/>
      <c r="AC736" s="31"/>
      <c r="AD736" s="31"/>
      <c r="AE736" s="31"/>
      <c r="AF736" s="48">
        <v>68.2</v>
      </c>
      <c r="AG736" s="48">
        <v>35.700000000000003</v>
      </c>
      <c r="AH736" s="48">
        <v>6.61</v>
      </c>
      <c r="AI736" s="48">
        <v>6.69</v>
      </c>
      <c r="AJ736" s="31"/>
      <c r="AK736" s="31"/>
      <c r="AL736" s="48">
        <v>7.69</v>
      </c>
      <c r="AM736" s="31"/>
      <c r="AN736" s="31"/>
      <c r="AO736" s="31"/>
      <c r="AP736" s="50">
        <v>0.43</v>
      </c>
      <c r="AQ736" s="48">
        <v>0.73</v>
      </c>
      <c r="AR736" s="31"/>
      <c r="AS736" s="31"/>
      <c r="AT736" s="31"/>
      <c r="AU736" s="31"/>
      <c r="AV736" s="31"/>
      <c r="AW736" s="48">
        <v>0.67</v>
      </c>
      <c r="AX736" s="31"/>
      <c r="AY736" s="31"/>
      <c r="AZ736" s="48">
        <v>0.21</v>
      </c>
      <c r="BA736" s="31"/>
      <c r="BB736" s="48">
        <v>0.35</v>
      </c>
      <c r="BC736" s="31"/>
      <c r="BD736" s="31"/>
      <c r="BE736" s="48">
        <v>0.09</v>
      </c>
      <c r="BF736" s="31"/>
      <c r="BG736" s="31"/>
      <c r="BH736" s="31"/>
      <c r="BI736" s="31"/>
      <c r="BJ736" s="31"/>
      <c r="BK736" s="48">
        <v>0.24</v>
      </c>
      <c r="BL736" s="48">
        <v>0.16</v>
      </c>
    </row>
    <row r="737" spans="1:64" ht="16.5" thickBot="1">
      <c r="A737" t="str">
        <f>VLOOKUP(B737,info!$B$2:$F$49,2,FALSE)</f>
        <v>Hyundai</v>
      </c>
      <c r="B737" s="34">
        <v>16</v>
      </c>
      <c r="C737" t="s">
        <v>405</v>
      </c>
      <c r="D737" s="34" t="s">
        <v>77</v>
      </c>
      <c r="F737" s="31">
        <f>VLOOKUP(B737,info!$B$2:$I$49,8,FALSE)</f>
        <v>6316720</v>
      </c>
      <c r="G737" s="47"/>
      <c r="H737" s="31">
        <v>92000.000000000015</v>
      </c>
      <c r="I737" s="31">
        <v>24539.999999999996</v>
      </c>
      <c r="J737" s="31">
        <v>4182.3529411764712</v>
      </c>
      <c r="K737" s="31">
        <v>336466.66666666669</v>
      </c>
      <c r="L737" s="31"/>
      <c r="M737" s="31"/>
      <c r="N737" s="31"/>
      <c r="O737" s="31"/>
      <c r="P737" s="31">
        <v>51357.142857142862</v>
      </c>
      <c r="Q737" s="31"/>
      <c r="R737" s="31"/>
      <c r="S737" s="48">
        <v>1.92</v>
      </c>
      <c r="T737" s="31"/>
      <c r="U737" s="31">
        <v>3429.9999999999995</v>
      </c>
      <c r="V737" s="48">
        <v>8.06</v>
      </c>
      <c r="W737" s="31"/>
      <c r="X737" s="31"/>
      <c r="Y737" s="48">
        <v>0.9</v>
      </c>
      <c r="Z737" s="31"/>
      <c r="AA737" s="31"/>
      <c r="AB737" s="31"/>
      <c r="AC737" s="31"/>
      <c r="AD737" s="31"/>
      <c r="AE737" s="31"/>
      <c r="AF737" s="48">
        <v>39</v>
      </c>
      <c r="AG737" s="48">
        <v>58</v>
      </c>
      <c r="AH737" s="48">
        <v>10.4</v>
      </c>
      <c r="AI737" s="48">
        <v>10.3</v>
      </c>
      <c r="AJ737" s="31"/>
      <c r="AK737" s="31"/>
      <c r="AL737" s="48">
        <v>4.87</v>
      </c>
      <c r="AM737" s="31"/>
      <c r="AN737" s="31"/>
      <c r="AO737" s="31"/>
      <c r="AP737" s="50">
        <v>0.43</v>
      </c>
      <c r="AQ737" s="48">
        <v>1.73</v>
      </c>
      <c r="AR737" s="31"/>
      <c r="AS737" s="31"/>
      <c r="AT737" s="31"/>
      <c r="AU737" s="31"/>
      <c r="AV737" s="31"/>
      <c r="AW737" s="48">
        <v>0.66</v>
      </c>
      <c r="AX737" s="31"/>
      <c r="AY737" s="31"/>
      <c r="AZ737" s="48">
        <v>0.42</v>
      </c>
      <c r="BA737" s="31"/>
      <c r="BB737" s="48">
        <v>0.23</v>
      </c>
      <c r="BC737" s="31"/>
      <c r="BD737" s="31"/>
      <c r="BE737" s="48">
        <v>0.19</v>
      </c>
      <c r="BF737" s="31"/>
      <c r="BG737" s="31"/>
      <c r="BH737" s="31"/>
      <c r="BI737" s="31"/>
      <c r="BJ737" s="31"/>
      <c r="BK737" s="48">
        <v>0.57999999999999996</v>
      </c>
      <c r="BL737" s="48">
        <v>0.08</v>
      </c>
    </row>
    <row r="738" spans="1:64" ht="16.5" thickBot="1">
      <c r="A738" t="str">
        <f>VLOOKUP(B738,info!$B$2:$F$49,2,FALSE)</f>
        <v>Hyundai</v>
      </c>
      <c r="B738" s="34">
        <v>17</v>
      </c>
      <c r="C738" t="s">
        <v>405</v>
      </c>
      <c r="D738" s="34" t="s">
        <v>77</v>
      </c>
      <c r="F738" s="31">
        <f>VLOOKUP(B738,info!$B$2:$I$49,8,FALSE)</f>
        <v>6316720</v>
      </c>
      <c r="G738" s="47"/>
      <c r="H738" s="31">
        <v>94967.741935483878</v>
      </c>
      <c r="I738" s="31">
        <v>25440</v>
      </c>
      <c r="J738" s="31">
        <v>3864.705882352941</v>
      </c>
      <c r="K738" s="31">
        <v>333200</v>
      </c>
      <c r="L738" s="31"/>
      <c r="M738" s="31"/>
      <c r="N738" s="31"/>
      <c r="O738" s="31"/>
      <c r="P738" s="31">
        <v>52428.571428571428</v>
      </c>
      <c r="Q738" s="31"/>
      <c r="R738" s="31"/>
      <c r="S738" s="48">
        <v>2.06</v>
      </c>
      <c r="T738" s="31"/>
      <c r="U738" s="31">
        <v>3640</v>
      </c>
      <c r="V738" s="48">
        <v>8.25</v>
      </c>
      <c r="W738" s="31"/>
      <c r="X738" s="31"/>
      <c r="Y738" s="48">
        <v>3.2</v>
      </c>
      <c r="Z738" s="31"/>
      <c r="AA738" s="31"/>
      <c r="AB738" s="31"/>
      <c r="AC738" s="31"/>
      <c r="AD738" s="31"/>
      <c r="AE738" s="31"/>
      <c r="AF738" s="48">
        <v>42.2</v>
      </c>
      <c r="AG738" s="48">
        <v>65</v>
      </c>
      <c r="AH738" s="48">
        <v>10.8</v>
      </c>
      <c r="AI738" s="48">
        <v>10.199999999999999</v>
      </c>
      <c r="AJ738" s="31"/>
      <c r="AK738" s="31"/>
      <c r="AL738" s="48">
        <v>5.1100000000000003</v>
      </c>
      <c r="AM738" s="31"/>
      <c r="AN738" s="31"/>
      <c r="AO738" s="31"/>
      <c r="AP738" s="50">
        <v>0.44</v>
      </c>
      <c r="AQ738" s="48">
        <v>1.75</v>
      </c>
      <c r="AR738" s="31"/>
      <c r="AS738" s="31"/>
      <c r="AT738" s="31"/>
      <c r="AU738" s="31"/>
      <c r="AV738" s="31"/>
      <c r="AW738" s="48">
        <v>0.68</v>
      </c>
      <c r="AX738" s="31"/>
      <c r="AY738" s="31"/>
      <c r="AZ738" s="48">
        <v>0.43</v>
      </c>
      <c r="BA738" s="31"/>
      <c r="BB738" s="48">
        <v>0.25</v>
      </c>
      <c r="BC738" s="31"/>
      <c r="BD738" s="31"/>
      <c r="BE738" s="48">
        <v>0.18</v>
      </c>
      <c r="BF738" s="31"/>
      <c r="BG738" s="31"/>
      <c r="BH738" s="31"/>
      <c r="BI738" s="31"/>
      <c r="BJ738" s="31"/>
      <c r="BK738" s="48">
        <v>0.59</v>
      </c>
      <c r="BL738" s="48">
        <v>0.09</v>
      </c>
    </row>
    <row r="739" spans="1:64" ht="16.5" thickBot="1">
      <c r="A739" t="str">
        <f>VLOOKUP(B739,info!$B$2:$F$49,2,FALSE)</f>
        <v>Honda</v>
      </c>
      <c r="B739" s="34">
        <v>18</v>
      </c>
      <c r="C739" t="s">
        <v>405</v>
      </c>
      <c r="D739" s="34" t="s">
        <v>77</v>
      </c>
      <c r="F739" s="31">
        <f>VLOOKUP(B739,info!$B$2:$I$49,8,FALSE)</f>
        <v>8096906</v>
      </c>
      <c r="G739" s="47"/>
      <c r="H739" s="31">
        <v>106838.70967741935</v>
      </c>
      <c r="I739" s="31">
        <v>25680</v>
      </c>
      <c r="J739" s="31">
        <v>7888.2352941176468</v>
      </c>
      <c r="K739" s="31">
        <v>344866.66666666674</v>
      </c>
      <c r="L739" s="31"/>
      <c r="M739" s="31"/>
      <c r="N739" s="31"/>
      <c r="O739" s="31"/>
      <c r="P739" s="31">
        <v>47500.000000000007</v>
      </c>
      <c r="Q739" s="31"/>
      <c r="R739" s="31"/>
      <c r="S739" s="48">
        <v>2.79</v>
      </c>
      <c r="T739" s="31"/>
      <c r="U739" s="31">
        <v>3780</v>
      </c>
      <c r="V739" s="48">
        <v>0.33</v>
      </c>
      <c r="W739" s="31"/>
      <c r="X739" s="31"/>
      <c r="Y739" s="48">
        <v>0.9</v>
      </c>
      <c r="Z739" s="31"/>
      <c r="AA739" s="31"/>
      <c r="AB739" s="31"/>
      <c r="AC739" s="31"/>
      <c r="AD739" s="31"/>
      <c r="AE739" s="31"/>
      <c r="AF739" s="48">
        <v>6.96</v>
      </c>
      <c r="AG739" s="48">
        <v>17.3</v>
      </c>
      <c r="AH739" s="48">
        <v>3.17</v>
      </c>
      <c r="AI739" s="31">
        <v>0.7</v>
      </c>
      <c r="AJ739" s="31"/>
      <c r="AK739" s="31"/>
      <c r="AL739" s="48">
        <v>1.66</v>
      </c>
      <c r="AM739" s="31"/>
      <c r="AN739" s="31"/>
      <c r="AO739" s="31"/>
      <c r="AP739" s="50">
        <v>0.04</v>
      </c>
      <c r="AQ739" s="48">
        <v>0.49</v>
      </c>
      <c r="AR739" s="31"/>
      <c r="AS739" s="31"/>
      <c r="AT739" s="31"/>
      <c r="AU739" s="31"/>
      <c r="AV739" s="31"/>
      <c r="AW739" s="48">
        <v>0.2</v>
      </c>
      <c r="AX739" s="31"/>
      <c r="AY739" s="31"/>
      <c r="AZ739" s="48">
        <v>0.06</v>
      </c>
      <c r="BA739" s="31"/>
      <c r="BB739" s="48">
        <v>5.0999999999999997E-2</v>
      </c>
      <c r="BC739" s="31"/>
      <c r="BD739" s="31"/>
      <c r="BE739" s="48">
        <v>0.05</v>
      </c>
      <c r="BF739" s="31"/>
      <c r="BG739" s="31"/>
      <c r="BH739" s="31"/>
      <c r="BI739" s="31"/>
      <c r="BJ739" s="31"/>
      <c r="BK739" s="48">
        <v>0.13</v>
      </c>
      <c r="BL739" s="48">
        <v>8.9999999999999993E-3</v>
      </c>
    </row>
    <row r="740" spans="1:64" ht="16.5" thickBot="1">
      <c r="A740" t="str">
        <f>VLOOKUP(B740,info!$B$2:$F$49,2,FALSE)</f>
        <v>Hyundai</v>
      </c>
      <c r="B740" s="34">
        <v>19</v>
      </c>
      <c r="C740" t="s">
        <v>405</v>
      </c>
      <c r="D740" s="34" t="s">
        <v>77</v>
      </c>
      <c r="F740" s="31">
        <f>VLOOKUP(B740,info!$B$2:$I$49,8,FALSE)</f>
        <v>6316720</v>
      </c>
      <c r="G740" s="47"/>
      <c r="H740" s="31">
        <v>94967.741935483878</v>
      </c>
      <c r="I740" s="31">
        <v>25620</v>
      </c>
      <c r="J740" s="31">
        <v>4288.2352941176478</v>
      </c>
      <c r="K740" s="31">
        <v>336933.33333333337</v>
      </c>
      <c r="L740" s="31"/>
      <c r="M740" s="31"/>
      <c r="N740" s="31"/>
      <c r="O740" s="31"/>
      <c r="P740" s="31">
        <v>46428.571428571435</v>
      </c>
      <c r="Q740" s="31"/>
      <c r="R740" s="31"/>
      <c r="S740" s="48">
        <v>2.0499999999999998</v>
      </c>
      <c r="T740" s="31"/>
      <c r="U740" s="31">
        <v>3640</v>
      </c>
      <c r="V740" s="48">
        <v>8.48</v>
      </c>
      <c r="W740" s="31"/>
      <c r="X740" s="31"/>
      <c r="Y740" s="48">
        <v>0.9</v>
      </c>
      <c r="Z740" s="31"/>
      <c r="AA740" s="31"/>
      <c r="AB740" s="31"/>
      <c r="AC740" s="31"/>
      <c r="AD740" s="31"/>
      <c r="AE740" s="31"/>
      <c r="AF740" s="48">
        <v>43.4</v>
      </c>
      <c r="AG740" s="48">
        <v>79</v>
      </c>
      <c r="AH740" s="48">
        <v>11.1</v>
      </c>
      <c r="AI740" s="48">
        <v>10.4</v>
      </c>
      <c r="AJ740" s="31"/>
      <c r="AK740" s="31"/>
      <c r="AL740" s="48">
        <v>5.56</v>
      </c>
      <c r="AM740" s="31"/>
      <c r="AN740" s="31"/>
      <c r="AO740" s="31"/>
      <c r="AP740" s="50">
        <v>3.25</v>
      </c>
      <c r="AQ740" s="48">
        <v>1.94</v>
      </c>
      <c r="AR740" s="31"/>
      <c r="AS740" s="31"/>
      <c r="AT740" s="31"/>
      <c r="AU740" s="31"/>
      <c r="AV740" s="31"/>
      <c r="AW740" s="48">
        <v>0.71</v>
      </c>
      <c r="AX740" s="31"/>
      <c r="AY740" s="31"/>
      <c r="AZ740" s="48">
        <v>0.24</v>
      </c>
      <c r="BA740" s="31"/>
      <c r="BB740" s="48">
        <v>0.28000000000000003</v>
      </c>
      <c r="BC740" s="31"/>
      <c r="BD740" s="31"/>
      <c r="BE740" s="48">
        <v>0.16</v>
      </c>
      <c r="BF740" s="31"/>
      <c r="BG740" s="31"/>
      <c r="BH740" s="31"/>
      <c r="BI740" s="31"/>
      <c r="BJ740" s="31"/>
      <c r="BK740" s="48">
        <v>0.59</v>
      </c>
      <c r="BL740" s="48">
        <v>7.0000000000000007E-2</v>
      </c>
    </row>
    <row r="741" spans="1:64" ht="16.5" thickBot="1">
      <c r="A741" t="str">
        <f>VLOOKUP(B741,info!$B$2:$F$49,2,FALSE)</f>
        <v>Fiat</v>
      </c>
      <c r="B741" s="34">
        <v>20</v>
      </c>
      <c r="C741" t="s">
        <v>405</v>
      </c>
      <c r="D741" s="34" t="s">
        <v>77</v>
      </c>
      <c r="F741" s="31">
        <f>VLOOKUP(B741,info!$B$2:$I$49,8,FALSE)</f>
        <v>5751910</v>
      </c>
      <c r="G741" s="47"/>
      <c r="H741" s="31">
        <v>98677.419354838727</v>
      </c>
      <c r="I741" s="31">
        <v>27119.999999999996</v>
      </c>
      <c r="J741" s="31">
        <v>5400</v>
      </c>
      <c r="K741" s="31">
        <v>338333.33333333337</v>
      </c>
      <c r="L741" s="31"/>
      <c r="M741" s="31"/>
      <c r="N741" s="31"/>
      <c r="O741" s="31"/>
      <c r="P741" s="31">
        <v>59357.14285714287</v>
      </c>
      <c r="Q741" s="31"/>
      <c r="R741" s="31"/>
      <c r="S741" s="48">
        <v>4.25</v>
      </c>
      <c r="T741" s="31"/>
      <c r="U741" s="31">
        <v>6230</v>
      </c>
      <c r="V741" s="48">
        <v>0.8</v>
      </c>
      <c r="W741" s="31"/>
      <c r="X741" s="31"/>
      <c r="Y741" s="48">
        <v>5.04</v>
      </c>
      <c r="Z741" s="31"/>
      <c r="AA741" s="31"/>
      <c r="AB741" s="31"/>
      <c r="AC741" s="31"/>
      <c r="AD741" s="31"/>
      <c r="AE741" s="31"/>
      <c r="AF741" s="48">
        <v>97</v>
      </c>
      <c r="AG741" s="48">
        <v>116</v>
      </c>
      <c r="AH741" s="48">
        <v>8.1300000000000008</v>
      </c>
      <c r="AI741" s="48">
        <v>8.61</v>
      </c>
      <c r="AJ741" s="31"/>
      <c r="AK741" s="31"/>
      <c r="AL741" s="48">
        <v>4.0199999999999996</v>
      </c>
      <c r="AM741" s="31"/>
      <c r="AN741" s="31"/>
      <c r="AO741" s="31"/>
      <c r="AP741" s="50">
        <v>0.94</v>
      </c>
      <c r="AQ741" s="48">
        <v>3.01</v>
      </c>
      <c r="AR741" s="31"/>
      <c r="AS741" s="31"/>
      <c r="AT741" s="31"/>
      <c r="AU741" s="31"/>
      <c r="AV741" s="31"/>
      <c r="AW741" s="48">
        <v>0.63</v>
      </c>
      <c r="AX741" s="31"/>
      <c r="AY741" s="31"/>
      <c r="AZ741" s="48">
        <v>0.21</v>
      </c>
      <c r="BA741" s="31"/>
      <c r="BB741" s="48">
        <v>0.15</v>
      </c>
      <c r="BC741" s="31"/>
      <c r="BD741" s="31"/>
      <c r="BE741" s="48">
        <v>0.15</v>
      </c>
      <c r="BF741" s="31"/>
      <c r="BG741" s="31"/>
      <c r="BH741" s="31"/>
      <c r="BI741" s="31"/>
      <c r="BJ741" s="31"/>
      <c r="BK741" s="48">
        <v>0.42</v>
      </c>
      <c r="BL741" s="48">
        <v>0.08</v>
      </c>
    </row>
    <row r="742" spans="1:64" ht="16.5" thickBot="1">
      <c r="A742" t="str">
        <f>VLOOKUP(B742,info!$B$2:$F$49,2,FALSE)</f>
        <v>Hyundai</v>
      </c>
      <c r="B742" s="34">
        <v>21</v>
      </c>
      <c r="C742" t="s">
        <v>405</v>
      </c>
      <c r="D742" s="34" t="s">
        <v>77</v>
      </c>
      <c r="F742" s="31">
        <f>VLOOKUP(B742,info!$B$2:$I$49,8,FALSE)</f>
        <v>5826120</v>
      </c>
      <c r="G742" s="47"/>
      <c r="H742" s="31">
        <v>103129.03225806452</v>
      </c>
      <c r="I742" s="31">
        <v>25380.000000000004</v>
      </c>
      <c r="J742" s="31">
        <v>4870.588235294118</v>
      </c>
      <c r="K742" s="31">
        <v>329466.66666666663</v>
      </c>
      <c r="L742" s="31"/>
      <c r="M742" s="31"/>
      <c r="N742" s="31"/>
      <c r="O742" s="31"/>
      <c r="P742" s="31">
        <v>52000</v>
      </c>
      <c r="Q742" s="31"/>
      <c r="R742" s="31"/>
      <c r="S742" s="48">
        <v>2.4</v>
      </c>
      <c r="T742" s="31"/>
      <c r="U742" s="31">
        <v>3710</v>
      </c>
      <c r="V742" s="48">
        <v>8.11</v>
      </c>
      <c r="W742" s="31"/>
      <c r="X742" s="31"/>
      <c r="Y742" s="48">
        <v>0.9</v>
      </c>
      <c r="Z742" s="31"/>
      <c r="AA742" s="31"/>
      <c r="AB742" s="31"/>
      <c r="AC742" s="31"/>
      <c r="AD742" s="31"/>
      <c r="AE742" s="31"/>
      <c r="AF742" s="48">
        <v>32.700000000000003</v>
      </c>
      <c r="AG742" s="48">
        <v>71.900000000000006</v>
      </c>
      <c r="AH742" s="48">
        <v>11.5</v>
      </c>
      <c r="AI742" s="48">
        <v>9.84</v>
      </c>
      <c r="AJ742" s="31"/>
      <c r="AK742" s="31"/>
      <c r="AL742" s="48">
        <v>6.27</v>
      </c>
      <c r="AM742" s="31"/>
      <c r="AN742" s="31"/>
      <c r="AO742" s="31"/>
      <c r="AP742" s="50">
        <v>0.38</v>
      </c>
      <c r="AQ742" s="48">
        <v>1.73</v>
      </c>
      <c r="AR742" s="31"/>
      <c r="AS742" s="31"/>
      <c r="AT742" s="31"/>
      <c r="AU742" s="31"/>
      <c r="AV742" s="31"/>
      <c r="AW742" s="48">
        <v>0.78</v>
      </c>
      <c r="AX742" s="31"/>
      <c r="AY742" s="31"/>
      <c r="AZ742" s="48">
        <v>0.26</v>
      </c>
      <c r="BA742" s="31"/>
      <c r="BB742" s="48">
        <v>0.27</v>
      </c>
      <c r="BC742" s="31"/>
      <c r="BD742" s="31"/>
      <c r="BE742" s="48">
        <v>0.19</v>
      </c>
      <c r="BF742" s="31"/>
      <c r="BG742" s="31"/>
      <c r="BH742" s="31"/>
      <c r="BI742" s="31"/>
      <c r="BJ742" s="31"/>
      <c r="BK742" s="48">
        <v>0.73</v>
      </c>
      <c r="BL742" s="48">
        <v>0.08</v>
      </c>
    </row>
    <row r="743" spans="1:64" ht="16.5" thickBot="1">
      <c r="A743" t="str">
        <f>VLOOKUP(B743,info!$B$2:$F$49,2,FALSE)</f>
        <v>Daewoo</v>
      </c>
      <c r="B743" s="34">
        <v>22</v>
      </c>
      <c r="C743" t="s">
        <v>405</v>
      </c>
      <c r="D743" s="34" t="s">
        <v>77</v>
      </c>
      <c r="F743" s="31">
        <f>VLOOKUP(B743,info!$B$2:$I$49,8,FALSE)</f>
        <v>8501017</v>
      </c>
      <c r="G743" s="47"/>
      <c r="H743" s="31">
        <v>95709.677419354848</v>
      </c>
      <c r="I743" s="31">
        <v>25799.999999999996</v>
      </c>
      <c r="J743" s="31">
        <v>6194.1176470588234</v>
      </c>
      <c r="K743" s="31">
        <v>333200</v>
      </c>
      <c r="L743" s="31"/>
      <c r="M743" s="31"/>
      <c r="N743" s="31"/>
      <c r="O743" s="31"/>
      <c r="P743" s="31">
        <v>63285.714285714283</v>
      </c>
      <c r="Q743" s="31"/>
      <c r="R743" s="31"/>
      <c r="S743" s="48">
        <v>4.0199999999999996</v>
      </c>
      <c r="T743" s="31"/>
      <c r="U743" s="31">
        <v>3500</v>
      </c>
      <c r="V743" s="48">
        <v>9.61</v>
      </c>
      <c r="W743" s="31"/>
      <c r="X743" s="31"/>
      <c r="Y743" s="48">
        <v>3.09</v>
      </c>
      <c r="Z743" s="31"/>
      <c r="AA743" s="31"/>
      <c r="AB743" s="31"/>
      <c r="AC743" s="31"/>
      <c r="AD743" s="31"/>
      <c r="AE743" s="31"/>
      <c r="AF743" s="48">
        <v>100</v>
      </c>
      <c r="AG743" s="48">
        <v>62</v>
      </c>
      <c r="AH743" s="48">
        <v>5.74</v>
      </c>
      <c r="AI743" s="48">
        <v>15.3</v>
      </c>
      <c r="AJ743" s="31"/>
      <c r="AK743" s="31"/>
      <c r="AL743" s="48">
        <v>3.11</v>
      </c>
      <c r="AM743" s="31"/>
      <c r="AN743" s="31"/>
      <c r="AO743" s="31"/>
      <c r="AP743" s="50">
        <v>1.59</v>
      </c>
      <c r="AQ743" s="48">
        <v>1.79</v>
      </c>
      <c r="AR743" s="31"/>
      <c r="AS743" s="31"/>
      <c r="AT743" s="31"/>
      <c r="AU743" s="31"/>
      <c r="AV743" s="31"/>
      <c r="AW743" s="48">
        <v>0.49</v>
      </c>
      <c r="AX743" s="31"/>
      <c r="AY743" s="31"/>
      <c r="AZ743" s="48">
        <v>0.21</v>
      </c>
      <c r="BA743" s="31"/>
      <c r="BB743" s="48">
        <v>0.23</v>
      </c>
      <c r="BC743" s="31"/>
      <c r="BD743" s="31"/>
      <c r="BE743" s="48">
        <v>0.11</v>
      </c>
      <c r="BF743" s="31"/>
      <c r="BG743" s="31"/>
      <c r="BH743" s="31"/>
      <c r="BI743" s="31"/>
      <c r="BJ743" s="31"/>
      <c r="BK743" s="48">
        <v>0.42</v>
      </c>
      <c r="BL743" s="48">
        <v>7.0000000000000007E-2</v>
      </c>
    </row>
    <row r="744" spans="1:64" ht="16.5" thickBot="1">
      <c r="A744" t="str">
        <f>VLOOKUP(B744,info!$B$2:$F$49,2,FALSE)</f>
        <v>Daewoo</v>
      </c>
      <c r="B744" s="34">
        <v>23</v>
      </c>
      <c r="C744" t="s">
        <v>405</v>
      </c>
      <c r="D744" s="34" t="s">
        <v>77</v>
      </c>
      <c r="F744" s="31">
        <f>VLOOKUP(B744,info!$B$2:$I$49,8,FALSE)</f>
        <v>8501017</v>
      </c>
      <c r="G744" s="47"/>
      <c r="H744" s="31">
        <v>92741.935483870955</v>
      </c>
      <c r="I744" s="31">
        <v>24299.999999999996</v>
      </c>
      <c r="J744" s="31">
        <v>5452.9411764705883</v>
      </c>
      <c r="K744" s="31">
        <v>327600.00000000006</v>
      </c>
      <c r="L744" s="31"/>
      <c r="M744" s="31"/>
      <c r="N744" s="31"/>
      <c r="O744" s="31"/>
      <c r="P744" s="31">
        <v>58642.857142857159</v>
      </c>
      <c r="Q744" s="31"/>
      <c r="R744" s="31"/>
      <c r="S744" s="48">
        <v>4.32</v>
      </c>
      <c r="T744" s="31"/>
      <c r="U744" s="31">
        <v>3780</v>
      </c>
      <c r="V744" s="48">
        <v>9.0399999999999991</v>
      </c>
      <c r="W744" s="31"/>
      <c r="X744" s="31"/>
      <c r="Y744" s="48">
        <v>2.99</v>
      </c>
      <c r="Z744" s="31"/>
      <c r="AA744" s="31"/>
      <c r="AB744" s="31"/>
      <c r="AC744" s="31"/>
      <c r="AD744" s="31"/>
      <c r="AE744" s="31"/>
      <c r="AF744" s="48">
        <v>100</v>
      </c>
      <c r="AG744" s="48">
        <v>68</v>
      </c>
      <c r="AH744" s="48">
        <v>5.94</v>
      </c>
      <c r="AI744" s="48">
        <v>15.9</v>
      </c>
      <c r="AJ744" s="31"/>
      <c r="AK744" s="31"/>
      <c r="AL744" s="48">
        <v>3.15</v>
      </c>
      <c r="AM744" s="31"/>
      <c r="AN744" s="31"/>
      <c r="AO744" s="31"/>
      <c r="AP744" s="50">
        <v>1.53</v>
      </c>
      <c r="AQ744" s="48">
        <v>1.85</v>
      </c>
      <c r="AR744" s="31"/>
      <c r="AS744" s="31"/>
      <c r="AT744" s="31"/>
      <c r="AU744" s="31"/>
      <c r="AV744" s="31"/>
      <c r="AW744" s="48">
        <v>0.49</v>
      </c>
      <c r="AX744" s="31"/>
      <c r="AY744" s="31"/>
      <c r="AZ744" s="48">
        <v>0.19</v>
      </c>
      <c r="BA744" s="31"/>
      <c r="BB744" s="48">
        <v>0.24</v>
      </c>
      <c r="BC744" s="31"/>
      <c r="BD744" s="31"/>
      <c r="BE744" s="48">
        <v>0.11</v>
      </c>
      <c r="BF744" s="31"/>
      <c r="BG744" s="31"/>
      <c r="BH744" s="31"/>
      <c r="BI744" s="31"/>
      <c r="BJ744" s="31"/>
      <c r="BK744" s="48">
        <v>0.41</v>
      </c>
      <c r="BL744" s="48">
        <v>0.09</v>
      </c>
    </row>
    <row r="745" spans="1:64" ht="16.5" thickBot="1">
      <c r="A745" t="str">
        <f>VLOOKUP(B745,info!$B$2:$F$49,2,FALSE)</f>
        <v>Mitsubishi</v>
      </c>
      <c r="B745" s="34">
        <v>24</v>
      </c>
      <c r="C745" t="s">
        <v>405</v>
      </c>
      <c r="D745" s="34" t="s">
        <v>77</v>
      </c>
      <c r="F745" s="31">
        <f>VLOOKUP(B745,info!$B$2:$I$49,8,FALSE)</f>
        <v>7027220</v>
      </c>
      <c r="G745" s="47"/>
      <c r="H745" s="31">
        <v>92741.935483870955</v>
      </c>
      <c r="I745" s="31">
        <v>26460</v>
      </c>
      <c r="J745" s="31">
        <v>9423.5294117647063</v>
      </c>
      <c r="K745" s="31">
        <v>343000.00000000006</v>
      </c>
      <c r="L745" s="31"/>
      <c r="M745" s="31"/>
      <c r="N745" s="31"/>
      <c r="O745" s="31"/>
      <c r="P745" s="31">
        <v>47071.428571428572</v>
      </c>
      <c r="Q745" s="31"/>
      <c r="R745" s="31"/>
      <c r="S745" s="48">
        <v>4.5199999999999996</v>
      </c>
      <c r="T745" s="31"/>
      <c r="U745" s="31">
        <v>2730</v>
      </c>
      <c r="V745" s="48">
        <v>13.6</v>
      </c>
      <c r="W745" s="31"/>
      <c r="X745" s="31"/>
      <c r="Y745" s="48">
        <v>8.6</v>
      </c>
      <c r="Z745" s="31"/>
      <c r="AA745" s="31"/>
      <c r="AB745" s="31"/>
      <c r="AC745" s="31"/>
      <c r="AD745" s="31"/>
      <c r="AE745" s="31"/>
      <c r="AF745" s="48">
        <v>37.799999999999997</v>
      </c>
      <c r="AG745" s="48">
        <v>143</v>
      </c>
      <c r="AH745" s="48">
        <v>2.11</v>
      </c>
      <c r="AI745" s="48">
        <v>9.77</v>
      </c>
      <c r="AJ745" s="31"/>
      <c r="AK745" s="31"/>
      <c r="AL745" s="48">
        <v>8.48</v>
      </c>
      <c r="AM745" s="31"/>
      <c r="AN745" s="31"/>
      <c r="AO745" s="31"/>
      <c r="AP745" s="50">
        <v>2.4900000000000002</v>
      </c>
      <c r="AQ745" s="48">
        <v>3.67</v>
      </c>
      <c r="AR745" s="31"/>
      <c r="AS745" s="31"/>
      <c r="AT745" s="31"/>
      <c r="AU745" s="31"/>
      <c r="AV745" s="31"/>
      <c r="AW745" s="48">
        <v>2.79</v>
      </c>
      <c r="AX745" s="31"/>
      <c r="AY745" s="31"/>
      <c r="AZ745" s="48">
        <v>0.45</v>
      </c>
      <c r="BA745" s="31"/>
      <c r="BB745" s="48">
        <v>0.31</v>
      </c>
      <c r="BC745" s="31"/>
      <c r="BD745" s="31"/>
      <c r="BE745" s="48">
        <v>0.21</v>
      </c>
      <c r="BF745" s="31"/>
      <c r="BG745" s="31"/>
      <c r="BH745" s="31"/>
      <c r="BI745" s="31"/>
      <c r="BJ745" s="31"/>
      <c r="BK745" s="48">
        <v>1.0900000000000001</v>
      </c>
      <c r="BL745" s="48">
        <v>0.16</v>
      </c>
    </row>
    <row r="746" spans="1:64" ht="16.5" thickBot="1">
      <c r="A746" t="str">
        <f>VLOOKUP(B746,info!$B$2:$F$49,2,FALSE)</f>
        <v>Subaru</v>
      </c>
      <c r="B746" s="34">
        <v>25</v>
      </c>
      <c r="C746" t="s">
        <v>405</v>
      </c>
      <c r="D746" s="34" t="s">
        <v>77</v>
      </c>
      <c r="F746" s="31">
        <f>VLOOKUP(B746,info!$B$2:$I$49,8,FALSE)</f>
        <v>2675308</v>
      </c>
      <c r="G746" s="47"/>
      <c r="H746" s="31">
        <v>97193.548387096773</v>
      </c>
      <c r="I746" s="31">
        <v>26220</v>
      </c>
      <c r="J746" s="31">
        <v>9370.5882352941189</v>
      </c>
      <c r="K746" s="31">
        <v>340200.00000000006</v>
      </c>
      <c r="L746" s="31"/>
      <c r="M746" s="31"/>
      <c r="N746" s="31"/>
      <c r="O746" s="31"/>
      <c r="P746" s="31">
        <v>44357.142857142862</v>
      </c>
      <c r="Q746" s="31"/>
      <c r="R746" s="31"/>
      <c r="S746" s="48">
        <v>2.6</v>
      </c>
      <c r="T746" s="31"/>
      <c r="U746" s="31">
        <v>2449.9999999999995</v>
      </c>
      <c r="V746" s="48">
        <v>13.5</v>
      </c>
      <c r="W746" s="31"/>
      <c r="X746" s="31"/>
      <c r="Y746" s="48">
        <v>10.8</v>
      </c>
      <c r="Z746" s="31"/>
      <c r="AA746" s="31"/>
      <c r="AB746" s="31"/>
      <c r="AC746" s="31"/>
      <c r="AD746" s="31"/>
      <c r="AE746" s="31"/>
      <c r="AF746" s="48">
        <v>72.599999999999994</v>
      </c>
      <c r="AG746" s="48">
        <v>20.9</v>
      </c>
      <c r="AH746" s="48">
        <v>2.41</v>
      </c>
      <c r="AI746" s="48">
        <v>19.899999999999999</v>
      </c>
      <c r="AJ746" s="31"/>
      <c r="AK746" s="31"/>
      <c r="AL746" s="48">
        <v>7.32</v>
      </c>
      <c r="AM746" s="31"/>
      <c r="AN746" s="31"/>
      <c r="AO746" s="31"/>
      <c r="AP746" s="50">
        <v>0.61</v>
      </c>
      <c r="AQ746" s="48">
        <v>0.59</v>
      </c>
      <c r="AR746" s="31"/>
      <c r="AS746" s="31"/>
      <c r="AT746" s="31"/>
      <c r="AU746" s="31"/>
      <c r="AV746" s="31"/>
      <c r="AW746" s="48">
        <v>0.66</v>
      </c>
      <c r="AX746" s="31"/>
      <c r="AY746" s="31"/>
      <c r="AZ746" s="48">
        <v>0.16400000000000001</v>
      </c>
      <c r="BA746" s="31"/>
      <c r="BB746" s="48">
        <v>0.49</v>
      </c>
      <c r="BC746" s="31"/>
      <c r="BD746" s="31"/>
      <c r="BE746" s="48">
        <v>0.08</v>
      </c>
      <c r="BF746" s="31"/>
      <c r="BG746" s="31"/>
      <c r="BH746" s="31"/>
      <c r="BI746" s="31"/>
      <c r="BJ746" s="31"/>
      <c r="BK746" s="48">
        <v>0.34</v>
      </c>
      <c r="BL746" s="48">
        <v>5.6000000000000001E-2</v>
      </c>
    </row>
    <row r="747" spans="1:64" ht="16.5" thickBot="1">
      <c r="A747" t="str">
        <f>VLOOKUP(B747,info!$B$2:$F$49,2,FALSE)</f>
        <v>Mitsubishi</v>
      </c>
      <c r="B747" s="34">
        <v>26</v>
      </c>
      <c r="C747" t="s">
        <v>405</v>
      </c>
      <c r="D747" s="34" t="s">
        <v>77</v>
      </c>
      <c r="F747" s="31">
        <f>VLOOKUP(B747,info!$B$2:$I$49,8,FALSE)</f>
        <v>7027220</v>
      </c>
      <c r="G747" s="47"/>
      <c r="H747" s="31">
        <v>94967.741935483878</v>
      </c>
      <c r="I747" s="31">
        <v>23580</v>
      </c>
      <c r="J747" s="31">
        <v>8523.5294117647063</v>
      </c>
      <c r="K747" s="31">
        <v>337866.66666666669</v>
      </c>
      <c r="L747" s="31"/>
      <c r="M747" s="31"/>
      <c r="N747" s="31"/>
      <c r="O747" s="31"/>
      <c r="P747" s="31">
        <v>42285.71428571429</v>
      </c>
      <c r="Q747" s="31"/>
      <c r="R747" s="31"/>
      <c r="S747" s="48">
        <v>2.52</v>
      </c>
      <c r="T747" s="31"/>
      <c r="U747" s="31">
        <v>2380</v>
      </c>
      <c r="V747" s="48">
        <v>13.2</v>
      </c>
      <c r="W747" s="31"/>
      <c r="X747" s="31"/>
      <c r="Y747" s="48">
        <v>10.3</v>
      </c>
      <c r="Z747" s="31"/>
      <c r="AA747" s="31"/>
      <c r="AB747" s="31"/>
      <c r="AC747" s="31"/>
      <c r="AD747" s="31"/>
      <c r="AE747" s="31"/>
      <c r="AF747" s="48">
        <v>34.5</v>
      </c>
      <c r="AG747" s="48">
        <v>138</v>
      </c>
      <c r="AH747" s="48">
        <v>2.3199999999999998</v>
      </c>
      <c r="AI747" s="48">
        <v>19.3</v>
      </c>
      <c r="AJ747" s="31"/>
      <c r="AK747" s="31"/>
      <c r="AL747" s="48">
        <v>7.65</v>
      </c>
      <c r="AM747" s="31"/>
      <c r="AN747" s="31"/>
      <c r="AO747" s="31"/>
      <c r="AP747" s="50">
        <v>2.6</v>
      </c>
      <c r="AQ747" s="48">
        <v>3.59</v>
      </c>
      <c r="AR747" s="31"/>
      <c r="AS747" s="31"/>
      <c r="AT747" s="31"/>
      <c r="AU747" s="31"/>
      <c r="AV747" s="31"/>
      <c r="AW747" s="48">
        <v>2.4700000000000002</v>
      </c>
      <c r="AX747" s="31"/>
      <c r="AY747" s="31"/>
      <c r="AZ747" s="48">
        <v>0.38</v>
      </c>
      <c r="BA747" s="31"/>
      <c r="BB747" s="48">
        <v>0.33</v>
      </c>
      <c r="BC747" s="31"/>
      <c r="BD747" s="31"/>
      <c r="BE747" s="48">
        <v>0.19</v>
      </c>
      <c r="BF747" s="31"/>
      <c r="BG747" s="31"/>
      <c r="BH747" s="31"/>
      <c r="BI747" s="31"/>
      <c r="BJ747" s="31"/>
      <c r="BK747" s="48">
        <v>1.02</v>
      </c>
      <c r="BL747" s="48">
        <v>0.16</v>
      </c>
    </row>
    <row r="748" spans="1:64" ht="16.5" thickBot="1">
      <c r="A748" t="str">
        <f>VLOOKUP(B748,info!$B$2:$F$49,2,FALSE)</f>
        <v>Fiat</v>
      </c>
      <c r="B748" s="34">
        <v>27</v>
      </c>
      <c r="C748" t="s">
        <v>405</v>
      </c>
      <c r="D748" s="34" t="s">
        <v>77</v>
      </c>
      <c r="F748" s="31">
        <f>VLOOKUP(B748,info!$B$2:$I$49,8,FALSE)</f>
        <v>5751910</v>
      </c>
      <c r="G748" s="47"/>
      <c r="H748" s="31">
        <v>99419.354838709667</v>
      </c>
      <c r="I748" s="31">
        <v>25200</v>
      </c>
      <c r="J748" s="31">
        <v>5082.3529411764703</v>
      </c>
      <c r="K748" s="31">
        <v>337866.66666666669</v>
      </c>
      <c r="L748" s="31"/>
      <c r="M748" s="31"/>
      <c r="N748" s="31"/>
      <c r="O748" s="31"/>
      <c r="P748" s="31">
        <v>41071.42857142858</v>
      </c>
      <c r="Q748" s="31"/>
      <c r="R748" s="31"/>
      <c r="S748" s="48">
        <v>4.3099999999999996</v>
      </c>
      <c r="T748" s="31"/>
      <c r="U748" s="31">
        <v>6090</v>
      </c>
      <c r="V748" s="48">
        <v>0.76</v>
      </c>
      <c r="W748" s="31"/>
      <c r="X748" s="31"/>
      <c r="Y748" s="48">
        <v>4.7699999999999996</v>
      </c>
      <c r="Z748" s="31"/>
      <c r="AA748" s="31"/>
      <c r="AB748" s="31"/>
      <c r="AC748" s="31"/>
      <c r="AD748" s="31"/>
      <c r="AE748" s="31"/>
      <c r="AF748" s="48">
        <v>44.8</v>
      </c>
      <c r="AG748" s="48">
        <v>127</v>
      </c>
      <c r="AH748" s="48">
        <v>6.51</v>
      </c>
      <c r="AI748" s="48">
        <v>8.2100000000000009</v>
      </c>
      <c r="AJ748" s="31"/>
      <c r="AK748" s="31"/>
      <c r="AL748" s="48">
        <v>3.89</v>
      </c>
      <c r="AM748" s="31"/>
      <c r="AN748" s="31"/>
      <c r="AO748" s="31"/>
      <c r="AP748" s="50">
        <v>1.06</v>
      </c>
      <c r="AQ748" s="48">
        <v>3.83</v>
      </c>
      <c r="AR748" s="31"/>
      <c r="AS748" s="31"/>
      <c r="AT748" s="31"/>
      <c r="AU748" s="31"/>
      <c r="AV748" s="31"/>
      <c r="AW748" s="48">
        <v>1</v>
      </c>
      <c r="AX748" s="31"/>
      <c r="AY748" s="31"/>
      <c r="AZ748" s="48">
        <v>0.28000000000000003</v>
      </c>
      <c r="BA748" s="31"/>
      <c r="BB748" s="48">
        <v>0.12</v>
      </c>
      <c r="BC748" s="31"/>
      <c r="BD748" s="31"/>
      <c r="BE748" s="48">
        <v>0.18</v>
      </c>
      <c r="BF748" s="31"/>
      <c r="BG748" s="31"/>
      <c r="BH748" s="31"/>
      <c r="BI748" s="31"/>
      <c r="BJ748" s="31"/>
      <c r="BK748" s="48">
        <v>0.39</v>
      </c>
      <c r="BL748" s="48">
        <v>8.5000000000000006E-2</v>
      </c>
    </row>
    <row r="749" spans="1:64" ht="16.5" thickBot="1">
      <c r="A749" t="str">
        <f>VLOOKUP(B749,info!$B$2:$F$49,2,FALSE)</f>
        <v>Subaru</v>
      </c>
      <c r="B749" s="34">
        <v>28</v>
      </c>
      <c r="C749" t="s">
        <v>405</v>
      </c>
      <c r="D749" s="34" t="s">
        <v>77</v>
      </c>
      <c r="F749" s="31">
        <f>VLOOKUP(B749,info!$B$2:$I$49,8,FALSE)</f>
        <v>2675308</v>
      </c>
      <c r="G749" s="47"/>
      <c r="H749" s="31">
        <v>99419.354838709667</v>
      </c>
      <c r="I749" s="31">
        <v>26700</v>
      </c>
      <c r="J749" s="31">
        <v>9317.6470588235297</v>
      </c>
      <c r="K749" s="31">
        <v>336000</v>
      </c>
      <c r="L749" s="31"/>
      <c r="M749" s="31"/>
      <c r="N749" s="31"/>
      <c r="O749" s="31"/>
      <c r="P749" s="31">
        <v>42071.428571428572</v>
      </c>
      <c r="Q749" s="31"/>
      <c r="R749" s="31"/>
      <c r="S749" s="48">
        <v>2.5099999999999998</v>
      </c>
      <c r="T749" s="31"/>
      <c r="U749" s="31">
        <v>2449.9999999999995</v>
      </c>
      <c r="V749" s="48">
        <v>13.6</v>
      </c>
      <c r="W749" s="31"/>
      <c r="X749" s="31"/>
      <c r="Y749" s="48">
        <v>9.82</v>
      </c>
      <c r="Z749" s="31"/>
      <c r="AA749" s="31"/>
      <c r="AB749" s="31"/>
      <c r="AC749" s="31"/>
      <c r="AD749" s="31"/>
      <c r="AE749" s="31"/>
      <c r="AF749" s="48">
        <v>69.2</v>
      </c>
      <c r="AG749" s="48">
        <v>23</v>
      </c>
      <c r="AH749" s="48">
        <v>2.46</v>
      </c>
      <c r="AI749" s="48">
        <v>19.600000000000001</v>
      </c>
      <c r="AJ749" s="31"/>
      <c r="AK749" s="31"/>
      <c r="AL749" s="48">
        <v>6.83</v>
      </c>
      <c r="AM749" s="31"/>
      <c r="AN749" s="31"/>
      <c r="AO749" s="31"/>
      <c r="AP749" s="50">
        <v>0.62</v>
      </c>
      <c r="AQ749" s="48">
        <v>0.62</v>
      </c>
      <c r="AR749" s="31"/>
      <c r="AS749" s="31"/>
      <c r="AT749" s="31"/>
      <c r="AU749" s="31"/>
      <c r="AV749" s="31"/>
      <c r="AW749" s="48">
        <v>0.44</v>
      </c>
      <c r="AX749" s="31"/>
      <c r="AY749" s="31"/>
      <c r="AZ749" s="48">
        <v>0.17100000000000001</v>
      </c>
      <c r="BA749" s="31"/>
      <c r="BB749" s="48">
        <v>0.49</v>
      </c>
      <c r="BC749" s="31"/>
      <c r="BD749" s="31"/>
      <c r="BE749" s="48">
        <v>8.1000000000000003E-2</v>
      </c>
      <c r="BF749" s="31"/>
      <c r="BG749" s="31"/>
      <c r="BH749" s="31"/>
      <c r="BI749" s="31"/>
      <c r="BJ749" s="31"/>
      <c r="BK749" s="48">
        <v>0.34</v>
      </c>
      <c r="BL749" s="48">
        <v>6.5000000000000002E-2</v>
      </c>
    </row>
    <row r="750" spans="1:64" ht="16.5" thickBot="1">
      <c r="A750" t="str">
        <f>VLOOKUP(B750,info!$B$2:$F$49,2,FALSE)</f>
        <v>Renault</v>
      </c>
      <c r="B750" s="34">
        <v>29</v>
      </c>
      <c r="C750" t="s">
        <v>405</v>
      </c>
      <c r="D750" s="34" t="s">
        <v>77</v>
      </c>
      <c r="F750" s="31">
        <f>VLOOKUP(B750,info!$B$2:$I$49,8,FALSE)</f>
        <v>1147816</v>
      </c>
      <c r="G750" s="47"/>
      <c r="H750" s="31">
        <v>98677.419354838727</v>
      </c>
      <c r="I750" s="31">
        <v>24180</v>
      </c>
      <c r="J750" s="31">
        <v>5082.3529411764703</v>
      </c>
      <c r="K750" s="31">
        <v>330400</v>
      </c>
      <c r="L750" s="31"/>
      <c r="M750" s="31"/>
      <c r="N750" s="31"/>
      <c r="O750" s="31"/>
      <c r="P750" s="31">
        <v>64071.428571428587</v>
      </c>
      <c r="Q750" s="31"/>
      <c r="R750" s="31"/>
      <c r="S750" s="48">
        <v>4.01</v>
      </c>
      <c r="T750" s="31"/>
      <c r="U750" s="31">
        <v>3710</v>
      </c>
      <c r="V750" s="48">
        <v>0.86</v>
      </c>
      <c r="W750" s="31"/>
      <c r="X750" s="31"/>
      <c r="Y750" s="48">
        <v>14.8</v>
      </c>
      <c r="Z750" s="31"/>
      <c r="AA750" s="31"/>
      <c r="AB750" s="31"/>
      <c r="AC750" s="31"/>
      <c r="AD750" s="31"/>
      <c r="AE750" s="31"/>
      <c r="AF750" s="48">
        <v>38.9</v>
      </c>
      <c r="AG750" s="48">
        <v>58.3</v>
      </c>
      <c r="AH750" s="48">
        <v>5.12</v>
      </c>
      <c r="AI750" s="48">
        <v>4.07</v>
      </c>
      <c r="AJ750" s="31"/>
      <c r="AK750" s="31"/>
      <c r="AL750" s="48">
        <v>2.67</v>
      </c>
      <c r="AM750" s="31"/>
      <c r="AN750" s="31"/>
      <c r="AO750" s="31"/>
      <c r="AP750" s="50">
        <v>2.7</v>
      </c>
      <c r="AQ750" s="48">
        <v>1.28</v>
      </c>
      <c r="AR750" s="31"/>
      <c r="AS750" s="31"/>
      <c r="AT750" s="31"/>
      <c r="AU750" s="31"/>
      <c r="AV750" s="31"/>
      <c r="AW750" s="48">
        <v>3.28</v>
      </c>
      <c r="AX750" s="31"/>
      <c r="AY750" s="31"/>
      <c r="AZ750" s="48">
        <v>0.26</v>
      </c>
      <c r="BA750" s="31"/>
      <c r="BB750" s="48">
        <v>0.124</v>
      </c>
      <c r="BC750" s="31"/>
      <c r="BD750" s="31"/>
      <c r="BE750" s="48">
        <v>0.4</v>
      </c>
      <c r="BF750" s="31"/>
      <c r="BG750" s="31"/>
      <c r="BH750" s="31"/>
      <c r="BI750" s="31"/>
      <c r="BJ750" s="31"/>
      <c r="BK750" s="48">
        <v>2.69</v>
      </c>
      <c r="BL750" s="48">
        <v>6.8000000000000005E-2</v>
      </c>
    </row>
    <row r="751" spans="1:64" ht="16.5" thickBot="1">
      <c r="A751" t="str">
        <f>VLOOKUP(B751,info!$B$2:$F$49,2,FALSE)</f>
        <v>Ford</v>
      </c>
      <c r="B751" s="34">
        <v>30</v>
      </c>
      <c r="C751" t="s">
        <v>405</v>
      </c>
      <c r="D751" s="34" t="s">
        <v>77</v>
      </c>
      <c r="F751" s="31">
        <f>VLOOKUP(B751,info!$B$2:$I$49,8,FALSE)</f>
        <v>6917835</v>
      </c>
      <c r="G751" s="47"/>
      <c r="H751" s="31">
        <v>94967.741935483878</v>
      </c>
      <c r="I751" s="31">
        <v>26279.999999999996</v>
      </c>
      <c r="J751" s="31">
        <v>5082.3529411764703</v>
      </c>
      <c r="K751" s="31">
        <v>329933.33333333331</v>
      </c>
      <c r="L751" s="31"/>
      <c r="M751" s="31"/>
      <c r="N751" s="31"/>
      <c r="O751" s="31"/>
      <c r="P751" s="31">
        <v>75714.285714285725</v>
      </c>
      <c r="Q751" s="31"/>
      <c r="R751" s="31"/>
      <c r="S751" s="48">
        <v>3.85</v>
      </c>
      <c r="T751" s="31"/>
      <c r="U751" s="31">
        <v>7000</v>
      </c>
      <c r="V751" s="48">
        <v>0.32</v>
      </c>
      <c r="W751" s="31"/>
      <c r="X751" s="31"/>
      <c r="Y751" s="48">
        <v>5.75</v>
      </c>
      <c r="Z751" s="31"/>
      <c r="AA751" s="31"/>
      <c r="AB751" s="31"/>
      <c r="AC751" s="31"/>
      <c r="AD751" s="31"/>
      <c r="AE751" s="31"/>
      <c r="AF751" s="48">
        <v>75.8</v>
      </c>
      <c r="AG751" s="48">
        <v>33.4</v>
      </c>
      <c r="AH751" s="48">
        <v>6.62</v>
      </c>
      <c r="AI751" s="48">
        <v>7.37</v>
      </c>
      <c r="AJ751" s="31"/>
      <c r="AK751" s="31"/>
      <c r="AL751" s="48">
        <v>3.71</v>
      </c>
      <c r="AM751" s="31"/>
      <c r="AN751" s="31"/>
      <c r="AO751" s="31"/>
      <c r="AP751" s="50">
        <v>1.4</v>
      </c>
      <c r="AQ751" s="48">
        <v>0.77</v>
      </c>
      <c r="AR751" s="31"/>
      <c r="AS751" s="31"/>
      <c r="AT751" s="31"/>
      <c r="AU751" s="31"/>
      <c r="AV751" s="31"/>
      <c r="AW751" s="48">
        <v>0.79</v>
      </c>
      <c r="AX751" s="31"/>
      <c r="AY751" s="31"/>
      <c r="AZ751" s="48">
        <v>0.25</v>
      </c>
      <c r="BA751" s="31"/>
      <c r="BB751" s="48">
        <v>0.35</v>
      </c>
      <c r="BC751" s="31"/>
      <c r="BD751" s="31"/>
      <c r="BE751" s="48">
        <v>9.6000000000000002E-2</v>
      </c>
      <c r="BF751" s="31"/>
      <c r="BG751" s="31"/>
      <c r="BH751" s="31"/>
      <c r="BI751" s="31"/>
      <c r="BJ751" s="31"/>
      <c r="BK751" s="48">
        <v>0.25</v>
      </c>
      <c r="BL751" s="48">
        <v>0.18</v>
      </c>
    </row>
    <row r="752" spans="1:64" ht="16.5" thickBot="1">
      <c r="A752" t="str">
        <f>VLOOKUP(B752,info!$B$2:$F$49,2,FALSE)</f>
        <v>Hyundai</v>
      </c>
      <c r="B752" s="34">
        <v>31</v>
      </c>
      <c r="C752" t="s">
        <v>405</v>
      </c>
      <c r="D752" s="34" t="s">
        <v>77</v>
      </c>
      <c r="F752" s="31">
        <f>VLOOKUP(B752,info!$B$2:$I$49,8,FALSE)</f>
        <v>9602910</v>
      </c>
      <c r="G752" s="47"/>
      <c r="H752" s="31">
        <v>103129.03225806452</v>
      </c>
      <c r="I752" s="31">
        <v>18000</v>
      </c>
      <c r="J752" s="31">
        <v>7358.823529411764</v>
      </c>
      <c r="K752" s="31">
        <v>340666.66666666669</v>
      </c>
      <c r="L752" s="31"/>
      <c r="M752" s="31"/>
      <c r="N752" s="31"/>
      <c r="O752" s="31"/>
      <c r="P752" s="31">
        <v>63285.714285714283</v>
      </c>
      <c r="Q752" s="31"/>
      <c r="R752" s="31"/>
      <c r="S752" s="48">
        <v>2.46</v>
      </c>
      <c r="T752" s="31"/>
      <c r="U752" s="31">
        <v>3500</v>
      </c>
      <c r="V752" s="48">
        <v>7.92</v>
      </c>
      <c r="W752" s="31"/>
      <c r="X752" s="31"/>
      <c r="Y752" s="48">
        <v>3.08</v>
      </c>
      <c r="Z752" s="31"/>
      <c r="AA752" s="31"/>
      <c r="AB752" s="31"/>
      <c r="AC752" s="31"/>
      <c r="AD752" s="31"/>
      <c r="AE752" s="31"/>
      <c r="AF752" s="48">
        <v>48.2</v>
      </c>
      <c r="AG752" s="48">
        <v>66.3</v>
      </c>
      <c r="AH752" s="48">
        <v>10.199999999999999</v>
      </c>
      <c r="AI752" s="48">
        <v>12.3</v>
      </c>
      <c r="AJ752" s="31"/>
      <c r="AK752" s="31"/>
      <c r="AL752" s="48">
        <v>6.91</v>
      </c>
      <c r="AM752" s="31"/>
      <c r="AN752" s="31"/>
      <c r="AO752" s="31"/>
      <c r="AP752" s="50">
        <v>2.4700000000000002</v>
      </c>
      <c r="AQ752" s="48">
        <v>1.82</v>
      </c>
      <c r="AR752" s="31"/>
      <c r="AS752" s="31"/>
      <c r="AT752" s="31"/>
      <c r="AU752" s="31"/>
      <c r="AV752" s="31"/>
      <c r="AW752" s="48">
        <v>0.68</v>
      </c>
      <c r="AX752" s="31"/>
      <c r="AY752" s="31"/>
      <c r="AZ752" s="48">
        <v>0.13300000000000001</v>
      </c>
      <c r="BA752" s="31"/>
      <c r="BB752" s="48">
        <v>0.28999999999999998</v>
      </c>
      <c r="BC752" s="31"/>
      <c r="BD752" s="31"/>
      <c r="BE752" s="48">
        <v>0.161</v>
      </c>
      <c r="BF752" s="31"/>
      <c r="BG752" s="31"/>
      <c r="BH752" s="31"/>
      <c r="BI752" s="31"/>
      <c r="BJ752" s="31"/>
      <c r="BK752" s="48">
        <v>0.62</v>
      </c>
      <c r="BL752" s="48">
        <v>8.1000000000000003E-2</v>
      </c>
    </row>
    <row r="753" spans="1:64" ht="16.5" thickBot="1">
      <c r="A753" t="str">
        <f>VLOOKUP(B753,info!$B$2:$F$49,2,FALSE)</f>
        <v>Hyundai</v>
      </c>
      <c r="B753" s="34">
        <v>32</v>
      </c>
      <c r="C753" t="s">
        <v>405</v>
      </c>
      <c r="D753" s="34" t="s">
        <v>77</v>
      </c>
      <c r="F753" s="31">
        <f>VLOOKUP(B753,info!$B$2:$I$49,8,FALSE)</f>
        <v>9602910</v>
      </c>
      <c r="G753" s="47"/>
      <c r="H753" s="31">
        <v>100161.29032258064</v>
      </c>
      <c r="I753" s="31">
        <v>22140</v>
      </c>
      <c r="J753" s="31">
        <v>6670.588235294118</v>
      </c>
      <c r="K753" s="31">
        <v>332733.33333333331</v>
      </c>
      <c r="L753" s="31"/>
      <c r="M753" s="31"/>
      <c r="N753" s="31"/>
      <c r="O753" s="31"/>
      <c r="P753" s="31">
        <v>74285.71428571429</v>
      </c>
      <c r="Q753" s="31"/>
      <c r="R753" s="31"/>
      <c r="S753" s="48">
        <v>2.61</v>
      </c>
      <c r="T753" s="31"/>
      <c r="U753" s="31">
        <v>3570</v>
      </c>
      <c r="V753" s="48">
        <v>8.08</v>
      </c>
      <c r="W753" s="31"/>
      <c r="X753" s="31"/>
      <c r="Y753" s="48">
        <v>3.18</v>
      </c>
      <c r="Z753" s="31"/>
      <c r="AA753" s="31"/>
      <c r="AB753" s="31"/>
      <c r="AC753" s="31"/>
      <c r="AD753" s="31"/>
      <c r="AE753" s="31"/>
      <c r="AF753" s="48">
        <v>48.5</v>
      </c>
      <c r="AG753" s="48">
        <v>69.3</v>
      </c>
      <c r="AH753" s="48">
        <v>10.4</v>
      </c>
      <c r="AI753" s="48">
        <v>12.7</v>
      </c>
      <c r="AJ753" s="31"/>
      <c r="AK753" s="31"/>
      <c r="AL753" s="48">
        <v>5.61</v>
      </c>
      <c r="AM753" s="31"/>
      <c r="AN753" s="31"/>
      <c r="AO753" s="31"/>
      <c r="AP753" s="50">
        <v>2.5299999999999998</v>
      </c>
      <c r="AQ753" s="48">
        <v>1.87</v>
      </c>
      <c r="AR753" s="31"/>
      <c r="AS753" s="31"/>
      <c r="AT753" s="31"/>
      <c r="AU753" s="31"/>
      <c r="AV753" s="31"/>
      <c r="AW753" s="48">
        <v>0.72</v>
      </c>
      <c r="AX753" s="31"/>
      <c r="AY753" s="31"/>
      <c r="AZ753" s="48">
        <v>0.14899999999999999</v>
      </c>
      <c r="BA753" s="31"/>
      <c r="BB753" s="48">
        <v>0.28999999999999998</v>
      </c>
      <c r="BC753" s="31"/>
      <c r="BD753" s="31"/>
      <c r="BE753" s="48">
        <v>0.16500000000000001</v>
      </c>
      <c r="BF753" s="31"/>
      <c r="BG753" s="31"/>
      <c r="BH753" s="31"/>
      <c r="BI753" s="31"/>
      <c r="BJ753" s="31"/>
      <c r="BK753" s="48">
        <v>0.63</v>
      </c>
      <c r="BL753" s="48">
        <v>8.8999999999999996E-2</v>
      </c>
    </row>
    <row r="754" spans="1:64" ht="16.5" thickBot="1">
      <c r="A754" t="str">
        <f>VLOOKUP(B754,info!$B$2:$F$49,2,FALSE)</f>
        <v>Hyundai</v>
      </c>
      <c r="B754" s="34">
        <v>33</v>
      </c>
      <c r="C754" t="s">
        <v>405</v>
      </c>
      <c r="D754" s="34" t="s">
        <v>77</v>
      </c>
      <c r="F754" s="31">
        <f>VLOOKUP(B754,info!$B$2:$I$49,8,FALSE)</f>
        <v>9602910</v>
      </c>
      <c r="G754" s="47"/>
      <c r="H754" s="31">
        <v>100903.22580645161</v>
      </c>
      <c r="I754" s="31">
        <v>18900</v>
      </c>
      <c r="J754" s="31">
        <v>6670.588235294118</v>
      </c>
      <c r="K754" s="31">
        <v>329933.33333333331</v>
      </c>
      <c r="L754" s="31"/>
      <c r="M754" s="31"/>
      <c r="N754" s="31"/>
      <c r="O754" s="31"/>
      <c r="P754" s="31">
        <v>62000</v>
      </c>
      <c r="Q754" s="31"/>
      <c r="R754" s="31"/>
      <c r="S754" s="48">
        <v>2.76</v>
      </c>
      <c r="T754" s="31"/>
      <c r="U754" s="31">
        <v>3500</v>
      </c>
      <c r="V754" s="48">
        <v>7.18</v>
      </c>
      <c r="W754" s="31"/>
      <c r="X754" s="31"/>
      <c r="Y754" s="48">
        <v>3.15</v>
      </c>
      <c r="Z754" s="31"/>
      <c r="AA754" s="31"/>
      <c r="AB754" s="31"/>
      <c r="AC754" s="31"/>
      <c r="AD754" s="31"/>
      <c r="AE754" s="31"/>
      <c r="AF754" s="48">
        <v>44.3</v>
      </c>
      <c r="AG754" s="48">
        <v>65</v>
      </c>
      <c r="AH754" s="48">
        <v>11.1</v>
      </c>
      <c r="AI754" s="48">
        <v>11.3</v>
      </c>
      <c r="AJ754" s="31"/>
      <c r="AK754" s="31"/>
      <c r="AL754" s="48">
        <v>7.23</v>
      </c>
      <c r="AM754" s="31"/>
      <c r="AN754" s="31"/>
      <c r="AO754" s="31"/>
      <c r="AP754" s="50">
        <v>2.46</v>
      </c>
      <c r="AQ754" s="48">
        <v>1.94</v>
      </c>
      <c r="AR754" s="31"/>
      <c r="AS754" s="31"/>
      <c r="AT754" s="31"/>
      <c r="AU754" s="31"/>
      <c r="AV754" s="31"/>
      <c r="AW754" s="48">
        <v>0.82</v>
      </c>
      <c r="AX754" s="31"/>
      <c r="AY754" s="31"/>
      <c r="AZ754" s="48">
        <v>0.26</v>
      </c>
      <c r="BA754" s="31"/>
      <c r="BB754" s="48">
        <v>0.28999999999999998</v>
      </c>
      <c r="BC754" s="31"/>
      <c r="BD754" s="31"/>
      <c r="BE754" s="48">
        <v>0.16</v>
      </c>
      <c r="BF754" s="31"/>
      <c r="BG754" s="31"/>
      <c r="BH754" s="31"/>
      <c r="BI754" s="31"/>
      <c r="BJ754" s="31"/>
      <c r="BK754" s="48">
        <v>0.65</v>
      </c>
      <c r="BL754" s="48">
        <v>8.2000000000000003E-2</v>
      </c>
    </row>
    <row r="755" spans="1:64" ht="16.5" thickBot="1">
      <c r="A755" t="str">
        <f>VLOOKUP(B755,info!$B$2:$F$49,2,FALSE)</f>
        <v>Hyundai</v>
      </c>
      <c r="B755" s="34">
        <v>34</v>
      </c>
      <c r="C755" t="s">
        <v>405</v>
      </c>
      <c r="D755" s="34" t="s">
        <v>77</v>
      </c>
      <c r="F755" s="31">
        <f>VLOOKUP(B755,info!$B$2:$I$49,8,FALSE)</f>
        <v>9602910</v>
      </c>
      <c r="G755" s="47"/>
      <c r="H755" s="31">
        <v>94225.806451612894</v>
      </c>
      <c r="I755" s="31">
        <v>17940</v>
      </c>
      <c r="J755" s="31">
        <v>5982.3529411764694</v>
      </c>
      <c r="K755" s="31">
        <v>324799.99999999994</v>
      </c>
      <c r="L755" s="31"/>
      <c r="M755" s="31"/>
      <c r="N755" s="31"/>
      <c r="O755" s="31"/>
      <c r="P755" s="31">
        <v>63714.285714285717</v>
      </c>
      <c r="Q755" s="31"/>
      <c r="R755" s="31"/>
      <c r="S755" s="48">
        <v>2.35</v>
      </c>
      <c r="T755" s="31"/>
      <c r="U755" s="31">
        <v>3570</v>
      </c>
      <c r="V755" s="48">
        <v>7.06</v>
      </c>
      <c r="W755" s="31"/>
      <c r="X755" s="31"/>
      <c r="Y755" s="48">
        <v>2.35</v>
      </c>
      <c r="Z755" s="31"/>
      <c r="AA755" s="31"/>
      <c r="AB755" s="31"/>
      <c r="AC755" s="31"/>
      <c r="AD755" s="31"/>
      <c r="AE755" s="31"/>
      <c r="AF755" s="48">
        <v>38.9</v>
      </c>
      <c r="AG755" s="48">
        <v>68.400000000000006</v>
      </c>
      <c r="AH755" s="48">
        <v>10.6</v>
      </c>
      <c r="AI755" s="48">
        <v>10.4</v>
      </c>
      <c r="AJ755" s="31"/>
      <c r="AK755" s="31"/>
      <c r="AL755" s="48">
        <v>7.96</v>
      </c>
      <c r="AM755" s="31"/>
      <c r="AN755" s="31"/>
      <c r="AO755" s="31"/>
      <c r="AP755" s="50">
        <v>2.61</v>
      </c>
      <c r="AQ755" s="48">
        <v>1.8</v>
      </c>
      <c r="AR755" s="31"/>
      <c r="AS755" s="31"/>
      <c r="AT755" s="31"/>
      <c r="AU755" s="31"/>
      <c r="AV755" s="31"/>
      <c r="AW755" s="48">
        <v>0.94</v>
      </c>
      <c r="AX755" s="31"/>
      <c r="AY755" s="31"/>
      <c r="AZ755" s="48">
        <v>0.189</v>
      </c>
      <c r="BA755" s="31"/>
      <c r="BB755" s="48">
        <v>0.24</v>
      </c>
      <c r="BC755" s="31"/>
      <c r="BD755" s="31"/>
      <c r="BE755" s="48">
        <v>0.16</v>
      </c>
      <c r="BF755" s="31"/>
      <c r="BG755" s="31"/>
      <c r="BH755" s="31"/>
      <c r="BI755" s="31"/>
      <c r="BJ755" s="31"/>
      <c r="BK755" s="48">
        <v>0.64</v>
      </c>
      <c r="BL755" s="48">
        <v>8.5999999999999993E-2</v>
      </c>
    </row>
    <row r="756" spans="1:64" ht="16.5" thickBot="1">
      <c r="A756" t="str">
        <f>VLOOKUP(B756,info!$B$2:$F$49,2,FALSE)</f>
        <v>Hyundai</v>
      </c>
      <c r="B756" s="34">
        <v>35</v>
      </c>
      <c r="C756" t="s">
        <v>405</v>
      </c>
      <c r="D756" s="34" t="s">
        <v>77</v>
      </c>
      <c r="F756" s="31">
        <f>VLOOKUP(B756,info!$B$2:$I$49,8,FALSE)</f>
        <v>5826120</v>
      </c>
      <c r="G756" s="47"/>
      <c r="H756" s="31">
        <v>95709.677419354848</v>
      </c>
      <c r="I756" s="31">
        <v>24420</v>
      </c>
      <c r="J756" s="31">
        <v>5664.7058823529414</v>
      </c>
      <c r="K756" s="31">
        <v>323866.66666666669</v>
      </c>
      <c r="L756" s="31"/>
      <c r="M756" s="31"/>
      <c r="N756" s="31"/>
      <c r="O756" s="31"/>
      <c r="P756" s="31">
        <v>53000.000000000007</v>
      </c>
      <c r="Q756" s="31"/>
      <c r="R756" s="31"/>
      <c r="S756" s="48">
        <v>2.54</v>
      </c>
      <c r="T756" s="31"/>
      <c r="U756" s="31">
        <v>3710</v>
      </c>
      <c r="V756" s="48">
        <v>7.58</v>
      </c>
      <c r="W756" s="31"/>
      <c r="X756" s="31"/>
      <c r="Y756" s="48">
        <v>2.75</v>
      </c>
      <c r="Z756" s="31"/>
      <c r="AA756" s="31"/>
      <c r="AB756" s="31"/>
      <c r="AC756" s="31"/>
      <c r="AD756" s="31"/>
      <c r="AE756" s="31"/>
      <c r="AF756" s="48">
        <v>32.799999999999997</v>
      </c>
      <c r="AG756" s="48">
        <v>60.7</v>
      </c>
      <c r="AH756" s="48">
        <v>10.9</v>
      </c>
      <c r="AI756" s="48">
        <v>8.7899999999999991</v>
      </c>
      <c r="AJ756" s="31"/>
      <c r="AK756" s="31"/>
      <c r="AL756" s="48">
        <v>7.57</v>
      </c>
      <c r="AM756" s="31"/>
      <c r="AN756" s="31"/>
      <c r="AO756" s="31"/>
      <c r="AP756" s="50">
        <v>2.44</v>
      </c>
      <c r="AQ756" s="48">
        <v>1.66</v>
      </c>
      <c r="AR756" s="31"/>
      <c r="AS756" s="31"/>
      <c r="AT756" s="31"/>
      <c r="AU756" s="31"/>
      <c r="AV756" s="31"/>
      <c r="AW756" s="48">
        <v>0.93</v>
      </c>
      <c r="AX756" s="31"/>
      <c r="AY756" s="31"/>
      <c r="AZ756" s="48">
        <v>0.24</v>
      </c>
      <c r="BA756" s="31"/>
      <c r="BB756" s="48">
        <v>0.23</v>
      </c>
      <c r="BC756" s="31"/>
      <c r="BD756" s="31"/>
      <c r="BE756" s="48">
        <v>0.17399999999999999</v>
      </c>
      <c r="BF756" s="31"/>
      <c r="BG756" s="31"/>
      <c r="BH756" s="31"/>
      <c r="BI756" s="31"/>
      <c r="BJ756" s="31"/>
      <c r="BK756" s="48">
        <v>0.71</v>
      </c>
      <c r="BL756" s="48">
        <v>7.2999999999999995E-2</v>
      </c>
    </row>
    <row r="757" spans="1:64" ht="16.5" thickBot="1">
      <c r="A757" t="str">
        <f>VLOOKUP(B757,info!$B$2:$F$49,2,FALSE)</f>
        <v>Hyundai</v>
      </c>
      <c r="B757" s="34">
        <v>36</v>
      </c>
      <c r="C757" t="s">
        <v>405</v>
      </c>
      <c r="D757" s="34" t="s">
        <v>77</v>
      </c>
      <c r="F757" s="31">
        <f>VLOOKUP(B757,info!$B$2:$I$49,8,FALSE)</f>
        <v>5826120</v>
      </c>
      <c r="G757" s="47"/>
      <c r="H757" s="31">
        <v>89774.193548387091</v>
      </c>
      <c r="I757" s="31">
        <v>22500</v>
      </c>
      <c r="J757" s="31">
        <v>9476.4705882352955</v>
      </c>
      <c r="K757" s="31">
        <v>329000</v>
      </c>
      <c r="L757" s="31"/>
      <c r="M757" s="31"/>
      <c r="N757" s="31"/>
      <c r="O757" s="31"/>
      <c r="P757" s="31">
        <v>45071.428571428572</v>
      </c>
      <c r="Q757" s="31"/>
      <c r="R757" s="31"/>
      <c r="S757" s="48">
        <v>2.4700000000000002</v>
      </c>
      <c r="T757" s="31"/>
      <c r="U757" s="31">
        <v>3080</v>
      </c>
      <c r="V757" s="48">
        <v>8.3699999999999992</v>
      </c>
      <c r="W757" s="31"/>
      <c r="X757" s="31"/>
      <c r="Y757" s="48">
        <v>3.48</v>
      </c>
      <c r="Z757" s="31"/>
      <c r="AA757" s="31"/>
      <c r="AB757" s="31"/>
      <c r="AC757" s="31"/>
      <c r="AD757" s="31"/>
      <c r="AE757" s="31"/>
      <c r="AF757" s="48">
        <v>39.200000000000003</v>
      </c>
      <c r="AG757" s="48">
        <v>62.6</v>
      </c>
      <c r="AH757" s="48">
        <v>12.9</v>
      </c>
      <c r="AI757" s="48">
        <v>11.4</v>
      </c>
      <c r="AJ757" s="31"/>
      <c r="AK757" s="31"/>
      <c r="AL757" s="48">
        <v>6.15</v>
      </c>
      <c r="AM757" s="31"/>
      <c r="AN757" s="31"/>
      <c r="AO757" s="31"/>
      <c r="AP757" s="50">
        <v>1.62</v>
      </c>
      <c r="AQ757" s="48">
        <v>1.25</v>
      </c>
      <c r="AR757" s="31"/>
      <c r="AS757" s="31"/>
      <c r="AT757" s="31"/>
      <c r="AU757" s="31"/>
      <c r="AV757" s="31"/>
      <c r="AW757" s="48">
        <v>0.88</v>
      </c>
      <c r="AX757" s="31"/>
      <c r="AY757" s="31"/>
      <c r="AZ757" s="48">
        <v>0.3</v>
      </c>
      <c r="BA757" s="31"/>
      <c r="BB757" s="48">
        <v>0.28999999999999998</v>
      </c>
      <c r="BC757" s="31"/>
      <c r="BD757" s="31"/>
      <c r="BE757" s="48">
        <v>0.21</v>
      </c>
      <c r="BF757" s="31"/>
      <c r="BG757" s="31"/>
      <c r="BH757" s="31"/>
      <c r="BI757" s="31"/>
      <c r="BJ757" s="31"/>
      <c r="BK757" s="48">
        <v>0.69</v>
      </c>
      <c r="BL757" s="48">
        <v>8.5999999999999993E-2</v>
      </c>
    </row>
    <row r="758" spans="1:64" ht="16.5" thickBot="1">
      <c r="A758" t="str">
        <f>VLOOKUP(B758,info!$B$2:$F$49,2,FALSE)</f>
        <v>Ford</v>
      </c>
      <c r="B758" s="34">
        <v>37</v>
      </c>
      <c r="C758" t="s">
        <v>405</v>
      </c>
      <c r="D758" s="34" t="s">
        <v>77</v>
      </c>
      <c r="F758" s="31">
        <f>VLOOKUP(B758,info!$B$2:$I$49,8,FALSE)</f>
        <v>6917835</v>
      </c>
      <c r="G758" s="47"/>
      <c r="H758" s="31">
        <v>97935.483870967742</v>
      </c>
      <c r="I758" s="31">
        <v>19500</v>
      </c>
      <c r="J758" s="31">
        <v>5241.176470588236</v>
      </c>
      <c r="K758" s="31">
        <v>336466.66666666669</v>
      </c>
      <c r="L758" s="31"/>
      <c r="M758" s="31"/>
      <c r="N758" s="31"/>
      <c r="O758" s="31"/>
      <c r="P758" s="31">
        <v>45642.857142857138</v>
      </c>
      <c r="Q758" s="31"/>
      <c r="R758" s="31"/>
      <c r="S758" s="48">
        <v>3.79</v>
      </c>
      <c r="T758" s="31"/>
      <c r="U758" s="31">
        <v>7840</v>
      </c>
      <c r="V758" s="48">
        <v>0.39</v>
      </c>
      <c r="W758" s="31"/>
      <c r="X758" s="31"/>
      <c r="Y758" s="48">
        <v>5.65</v>
      </c>
      <c r="Z758" s="31"/>
      <c r="AA758" s="31"/>
      <c r="AB758" s="31"/>
      <c r="AC758" s="31"/>
      <c r="AD758" s="31"/>
      <c r="AE758" s="31"/>
      <c r="AF758" s="48">
        <v>75.8</v>
      </c>
      <c r="AG758" s="48">
        <v>34.1</v>
      </c>
      <c r="AH758" s="48">
        <v>6.77</v>
      </c>
      <c r="AI758" s="48">
        <v>6.96</v>
      </c>
      <c r="AJ758" s="31"/>
      <c r="AK758" s="31"/>
      <c r="AL758" s="48">
        <v>3.65</v>
      </c>
      <c r="AM758" s="31"/>
      <c r="AN758" s="31"/>
      <c r="AO758" s="31"/>
      <c r="AP758" s="50">
        <v>1.61</v>
      </c>
      <c r="AQ758" s="48">
        <v>0.8</v>
      </c>
      <c r="AR758" s="31"/>
      <c r="AS758" s="31"/>
      <c r="AT758" s="31"/>
      <c r="AU758" s="31"/>
      <c r="AV758" s="31"/>
      <c r="AW758" s="48">
        <v>0.76</v>
      </c>
      <c r="AX758" s="31"/>
      <c r="AY758" s="31"/>
      <c r="AZ758" s="48">
        <v>0.28000000000000003</v>
      </c>
      <c r="BA758" s="31"/>
      <c r="BB758" s="48">
        <v>0.44</v>
      </c>
      <c r="BC758" s="31"/>
      <c r="BD758" s="31"/>
      <c r="BE758" s="48">
        <v>9.1999999999999998E-2</v>
      </c>
      <c r="BF758" s="31"/>
      <c r="BG758" s="31"/>
      <c r="BH758" s="31"/>
      <c r="BI758" s="31"/>
      <c r="BJ758" s="31"/>
      <c r="BK758" s="48">
        <v>0.28999999999999998</v>
      </c>
      <c r="BL758" s="48">
        <v>0.17</v>
      </c>
    </row>
    <row r="759" spans="1:64" ht="16.5" thickBot="1">
      <c r="A759" t="str">
        <f>VLOOKUP(B759,info!$B$2:$F$49,2,FALSE)</f>
        <v>Hyundai</v>
      </c>
      <c r="B759" s="34">
        <v>38</v>
      </c>
      <c r="C759" t="s">
        <v>405</v>
      </c>
      <c r="D759" s="34" t="s">
        <v>77</v>
      </c>
      <c r="F759" s="31">
        <f>VLOOKUP(B759,info!$B$2:$I$49,8,FALSE)</f>
        <v>5826120</v>
      </c>
      <c r="G759" s="47"/>
      <c r="H759" s="31">
        <v>99419.354838709667</v>
      </c>
      <c r="I759" s="31">
        <v>24779.999999999996</v>
      </c>
      <c r="J759" s="31">
        <v>7305.8823529411766</v>
      </c>
      <c r="K759" s="31">
        <v>334133.33333333331</v>
      </c>
      <c r="L759" s="31"/>
      <c r="M759" s="31"/>
      <c r="N759" s="31"/>
      <c r="O759" s="31"/>
      <c r="P759" s="31">
        <v>52357.142857142855</v>
      </c>
      <c r="Q759" s="31"/>
      <c r="R759" s="31"/>
      <c r="S759" s="48">
        <v>4.1399999999999997</v>
      </c>
      <c r="T759" s="31"/>
      <c r="U759" s="31">
        <v>3570</v>
      </c>
      <c r="V759" s="48">
        <v>6.48</v>
      </c>
      <c r="W759" s="31"/>
      <c r="X759" s="31"/>
      <c r="Y759" s="48">
        <v>0.9</v>
      </c>
      <c r="Z759" s="31"/>
      <c r="AA759" s="31"/>
      <c r="AB759" s="31"/>
      <c r="AC759" s="31"/>
      <c r="AD759" s="31"/>
      <c r="AE759" s="31"/>
      <c r="AF759" s="48">
        <v>41.2</v>
      </c>
      <c r="AG759" s="48">
        <v>74</v>
      </c>
      <c r="AH759" s="48">
        <v>11.3</v>
      </c>
      <c r="AI759" s="48">
        <v>9.2100000000000009</v>
      </c>
      <c r="AJ759" s="31"/>
      <c r="AK759" s="31"/>
      <c r="AL759" s="48">
        <v>5.8</v>
      </c>
      <c r="AM759" s="31"/>
      <c r="AN759" s="31"/>
      <c r="AO759" s="31"/>
      <c r="AP759" s="50">
        <v>2.91</v>
      </c>
      <c r="AQ759" s="48">
        <v>1.85</v>
      </c>
      <c r="AR759" s="31"/>
      <c r="AS759" s="31"/>
      <c r="AT759" s="31"/>
      <c r="AU759" s="31"/>
      <c r="AV759" s="31"/>
      <c r="AW759" s="48">
        <v>0.81</v>
      </c>
      <c r="AX759" s="31"/>
      <c r="AY759" s="31"/>
      <c r="AZ759" s="48">
        <v>0.28000000000000003</v>
      </c>
      <c r="BA759" s="31"/>
      <c r="BB759" s="48">
        <v>0.31</v>
      </c>
      <c r="BC759" s="31"/>
      <c r="BD759" s="31"/>
      <c r="BE759" s="48">
        <v>0.22</v>
      </c>
      <c r="BF759" s="31"/>
      <c r="BG759" s="31"/>
      <c r="BH759" s="31"/>
      <c r="BI759" s="31"/>
      <c r="BJ759" s="31"/>
      <c r="BK759" s="48">
        <v>0.77</v>
      </c>
      <c r="BL759" s="48">
        <v>7.9000000000000001E-2</v>
      </c>
    </row>
    <row r="760" spans="1:64" ht="16.5" thickBot="1">
      <c r="A760" t="str">
        <f>VLOOKUP(B760,info!$B$2:$F$49,2,FALSE)</f>
        <v>Renault</v>
      </c>
      <c r="B760" s="34">
        <v>39</v>
      </c>
      <c r="C760" t="s">
        <v>405</v>
      </c>
      <c r="D760" s="34" t="s">
        <v>77</v>
      </c>
      <c r="F760" s="31">
        <f>VLOOKUP(B760,info!$B$2:$I$49,8,FALSE)</f>
        <v>1147816</v>
      </c>
      <c r="G760" s="47"/>
      <c r="H760" s="31">
        <v>110548.3870967742</v>
      </c>
      <c r="I760" s="31">
        <v>25200</v>
      </c>
      <c r="J760" s="31">
        <v>5188.2352941176468</v>
      </c>
      <c r="K760" s="31">
        <v>338333.33333333337</v>
      </c>
      <c r="L760" s="31"/>
      <c r="M760" s="31"/>
      <c r="N760" s="31"/>
      <c r="O760" s="31"/>
      <c r="P760" s="31">
        <v>45500.000000000007</v>
      </c>
      <c r="Q760" s="31"/>
      <c r="R760" s="31"/>
      <c r="S760" s="48">
        <v>4.57</v>
      </c>
      <c r="T760" s="31"/>
      <c r="U760" s="31">
        <v>4410</v>
      </c>
      <c r="V760" s="48">
        <v>0.82</v>
      </c>
      <c r="W760" s="31"/>
      <c r="X760" s="31"/>
      <c r="Y760" s="48">
        <v>13.7</v>
      </c>
      <c r="Z760" s="31"/>
      <c r="AA760" s="31"/>
      <c r="AB760" s="31"/>
      <c r="AC760" s="31"/>
      <c r="AD760" s="31"/>
      <c r="AE760" s="31"/>
      <c r="AF760" s="48">
        <v>48.8</v>
      </c>
      <c r="AG760" s="48">
        <v>52.1</v>
      </c>
      <c r="AH760" s="48">
        <v>5.47</v>
      </c>
      <c r="AI760" s="48">
        <v>4.22</v>
      </c>
      <c r="AJ760" s="31"/>
      <c r="AK760" s="31"/>
      <c r="AL760" s="48">
        <v>3.21</v>
      </c>
      <c r="AM760" s="31"/>
      <c r="AN760" s="31"/>
      <c r="AO760" s="31"/>
      <c r="AP760" s="50">
        <v>3.29</v>
      </c>
      <c r="AQ760" s="48">
        <v>1.41</v>
      </c>
      <c r="AR760" s="31"/>
      <c r="AS760" s="31"/>
      <c r="AT760" s="31"/>
      <c r="AU760" s="31"/>
      <c r="AV760" s="31"/>
      <c r="AW760" s="48">
        <v>2.27</v>
      </c>
      <c r="AX760" s="31"/>
      <c r="AY760" s="31"/>
      <c r="AZ760" s="48">
        <v>0.31</v>
      </c>
      <c r="BA760" s="31"/>
      <c r="BB760" s="48">
        <v>0.121</v>
      </c>
      <c r="BC760" s="31"/>
      <c r="BD760" s="31"/>
      <c r="BE760" s="48">
        <v>0.48</v>
      </c>
      <c r="BF760" s="31"/>
      <c r="BG760" s="31"/>
      <c r="BH760" s="31"/>
      <c r="BI760" s="31"/>
      <c r="BJ760" s="31"/>
      <c r="BK760" s="48">
        <v>2.1800000000000002</v>
      </c>
      <c r="BL760" s="48">
        <v>6.2E-2</v>
      </c>
    </row>
    <row r="761" spans="1:64" ht="16.5" thickBot="1">
      <c r="A761" t="str">
        <f>VLOOKUP(B761,info!$B$2:$F$49,2,FALSE)</f>
        <v>Subaru</v>
      </c>
      <c r="B761" s="34">
        <v>40</v>
      </c>
      <c r="C761" t="s">
        <v>405</v>
      </c>
      <c r="D761" s="34" t="s">
        <v>77</v>
      </c>
      <c r="F761" s="31">
        <f>VLOOKUP(B761,info!$B$2:$I$49,8,FALSE)</f>
        <v>2675308</v>
      </c>
      <c r="G761" s="47"/>
      <c r="H761" s="31">
        <v>102387.09677419356</v>
      </c>
      <c r="I761" s="31">
        <v>26340</v>
      </c>
      <c r="J761" s="31">
        <v>8047.0588235294117</v>
      </c>
      <c r="K761" s="31">
        <v>337400</v>
      </c>
      <c r="L761" s="31"/>
      <c r="M761" s="31"/>
      <c r="N761" s="31"/>
      <c r="O761" s="31"/>
      <c r="P761" s="31">
        <v>45214.28571428571</v>
      </c>
      <c r="Q761" s="31"/>
      <c r="R761" s="31"/>
      <c r="S761" s="48">
        <v>2.5499999999999998</v>
      </c>
      <c r="T761" s="31"/>
      <c r="U761" s="31">
        <v>2520</v>
      </c>
      <c r="V761" s="48">
        <v>10.8</v>
      </c>
      <c r="W761" s="31"/>
      <c r="X761" s="31"/>
      <c r="Y761" s="48">
        <v>9.7899999999999991</v>
      </c>
      <c r="Z761" s="31"/>
      <c r="AA761" s="31"/>
      <c r="AB761" s="31"/>
      <c r="AC761" s="31"/>
      <c r="AD761" s="31"/>
      <c r="AE761" s="31"/>
      <c r="AF761" s="48">
        <v>67.599999999999994</v>
      </c>
      <c r="AG761" s="48">
        <v>21.2</v>
      </c>
      <c r="AH761" s="48">
        <v>1.92</v>
      </c>
      <c r="AI761" s="48">
        <v>23.9</v>
      </c>
      <c r="AJ761" s="31"/>
      <c r="AK761" s="31"/>
      <c r="AL761" s="48">
        <v>1.83</v>
      </c>
      <c r="AM761" s="31"/>
      <c r="AN761" s="31"/>
      <c r="AO761" s="31"/>
      <c r="AP761" s="50">
        <v>0.66</v>
      </c>
      <c r="AQ761" s="48">
        <v>0.84</v>
      </c>
      <c r="AR761" s="31"/>
      <c r="AS761" s="31"/>
      <c r="AT761" s="31"/>
      <c r="AU761" s="31"/>
      <c r="AV761" s="31"/>
      <c r="AW761" s="48">
        <v>0.47</v>
      </c>
      <c r="AX761" s="31"/>
      <c r="AY761" s="31"/>
      <c r="AZ761" s="48">
        <v>0.18</v>
      </c>
      <c r="BA761" s="31"/>
      <c r="BB761" s="48">
        <v>0.69</v>
      </c>
      <c r="BC761" s="31"/>
      <c r="BD761" s="31"/>
      <c r="BE761" s="48">
        <v>7.4999999999999997E-2</v>
      </c>
      <c r="BF761" s="31"/>
      <c r="BG761" s="31"/>
      <c r="BH761" s="31"/>
      <c r="BI761" s="31"/>
      <c r="BJ761" s="31"/>
      <c r="BK761" s="48">
        <v>0.38</v>
      </c>
      <c r="BL761" s="48">
        <v>5.8999999999999997E-2</v>
      </c>
    </row>
    <row r="762" spans="1:64" ht="16.5" thickBot="1">
      <c r="A762" t="str">
        <f>VLOOKUP(B762,info!$B$2:$F$49,2,FALSE)</f>
        <v>Fiat</v>
      </c>
      <c r="B762" s="34">
        <v>41</v>
      </c>
      <c r="C762" t="s">
        <v>405</v>
      </c>
      <c r="D762" s="34" t="s">
        <v>77</v>
      </c>
      <c r="F762" s="31">
        <f>VLOOKUP(B762,info!$B$2:$I$49,8,FALSE)</f>
        <v>5751910</v>
      </c>
      <c r="G762" s="47"/>
      <c r="H762" s="31">
        <v>102387.09677419356</v>
      </c>
      <c r="I762" s="31">
        <v>23280</v>
      </c>
      <c r="J762" s="31">
        <v>5082.3529411764703</v>
      </c>
      <c r="K762" s="31">
        <v>336466.66666666669</v>
      </c>
      <c r="L762" s="31"/>
      <c r="M762" s="31"/>
      <c r="N762" s="31"/>
      <c r="O762" s="31"/>
      <c r="P762" s="31">
        <v>45428.571428571435</v>
      </c>
      <c r="Q762" s="31"/>
      <c r="R762" s="31"/>
      <c r="S762" s="48">
        <v>4.1500000000000004</v>
      </c>
      <c r="T762" s="31"/>
      <c r="U762" s="31">
        <v>5810</v>
      </c>
      <c r="V762" s="48">
        <v>0.69</v>
      </c>
      <c r="W762" s="31"/>
      <c r="X762" s="31"/>
      <c r="Y762" s="48">
        <v>5.22</v>
      </c>
      <c r="Z762" s="31"/>
      <c r="AA762" s="31"/>
      <c r="AB762" s="31"/>
      <c r="AC762" s="31"/>
      <c r="AD762" s="31"/>
      <c r="AE762" s="31"/>
      <c r="AF762" s="48">
        <v>42.3</v>
      </c>
      <c r="AG762" s="48">
        <v>121</v>
      </c>
      <c r="AH762" s="48">
        <v>5.52</v>
      </c>
      <c r="AI762" s="48">
        <v>9.02</v>
      </c>
      <c r="AJ762" s="31"/>
      <c r="AK762" s="31"/>
      <c r="AL762" s="48">
        <v>3.55</v>
      </c>
      <c r="AM762" s="31"/>
      <c r="AN762" s="31"/>
      <c r="AO762" s="31"/>
      <c r="AP762" s="50">
        <v>0.74</v>
      </c>
      <c r="AQ762" s="48">
        <v>3.88</v>
      </c>
      <c r="AR762" s="31"/>
      <c r="AS762" s="31"/>
      <c r="AT762" s="31"/>
      <c r="AU762" s="31"/>
      <c r="AV762" s="31"/>
      <c r="AW762" s="48">
        <v>0.62</v>
      </c>
      <c r="AX762" s="31"/>
      <c r="AY762" s="31"/>
      <c r="AZ762" s="48">
        <v>0.33</v>
      </c>
      <c r="BA762" s="31"/>
      <c r="BB762" s="48">
        <v>0.13</v>
      </c>
      <c r="BC762" s="31"/>
      <c r="BD762" s="31"/>
      <c r="BE762" s="48">
        <v>0.15</v>
      </c>
      <c r="BF762" s="31"/>
      <c r="BG762" s="31"/>
      <c r="BH762" s="31"/>
      <c r="BI762" s="31"/>
      <c r="BJ762" s="31"/>
      <c r="BK762" s="48">
        <v>0.42</v>
      </c>
      <c r="BL762" s="48">
        <v>7.5999999999999998E-2</v>
      </c>
    </row>
    <row r="763" spans="1:64" ht="16.5" thickBot="1">
      <c r="A763" t="str">
        <f>VLOOKUP(B763,info!$B$2:$F$49,2,FALSE)</f>
        <v>Renault</v>
      </c>
      <c r="B763" s="34">
        <v>42</v>
      </c>
      <c r="C763" t="s">
        <v>405</v>
      </c>
      <c r="D763" s="34" t="s">
        <v>77</v>
      </c>
      <c r="F763" s="31">
        <f>VLOOKUP(B763,info!$B$2:$I$49,8,FALSE)</f>
        <v>1147816</v>
      </c>
      <c r="G763" s="47"/>
      <c r="H763" s="31">
        <v>100903.22580645161</v>
      </c>
      <c r="I763" s="31">
        <v>25559.999999999996</v>
      </c>
      <c r="J763" s="31">
        <v>8576.4705882352955</v>
      </c>
      <c r="K763" s="31">
        <v>339266.66666666669</v>
      </c>
      <c r="L763" s="31"/>
      <c r="M763" s="31"/>
      <c r="N763" s="31"/>
      <c r="O763" s="31"/>
      <c r="P763" s="31">
        <v>49071.428571428572</v>
      </c>
      <c r="Q763" s="31"/>
      <c r="R763" s="31"/>
      <c r="S763" s="48">
        <v>4.2300000000000004</v>
      </c>
      <c r="T763" s="31"/>
      <c r="U763" s="31">
        <v>6090</v>
      </c>
      <c r="V763" s="48">
        <v>1.54</v>
      </c>
      <c r="W763" s="31"/>
      <c r="X763" s="31"/>
      <c r="Y763" s="48">
        <v>13.2</v>
      </c>
      <c r="Z763" s="31"/>
      <c r="AA763" s="31"/>
      <c r="AB763" s="31"/>
      <c r="AC763" s="31"/>
      <c r="AD763" s="31"/>
      <c r="AE763" s="31"/>
      <c r="AF763" s="48">
        <v>51.1</v>
      </c>
      <c r="AG763" s="48">
        <v>56.9</v>
      </c>
      <c r="AH763" s="48">
        <v>7.41</v>
      </c>
      <c r="AI763" s="48">
        <v>3.92</v>
      </c>
      <c r="AJ763" s="31"/>
      <c r="AK763" s="31"/>
      <c r="AL763" s="48">
        <v>3.81</v>
      </c>
      <c r="AM763" s="31"/>
      <c r="AN763" s="31"/>
      <c r="AO763" s="31"/>
      <c r="AP763" s="50">
        <v>1.41</v>
      </c>
      <c r="AQ763" s="48">
        <v>2.2400000000000002</v>
      </c>
      <c r="AR763" s="31"/>
      <c r="AS763" s="31"/>
      <c r="AT763" s="31"/>
      <c r="AU763" s="31"/>
      <c r="AV763" s="31"/>
      <c r="AW763" s="48">
        <v>2.69</v>
      </c>
      <c r="AX763" s="31"/>
      <c r="AY763" s="31"/>
      <c r="AZ763" s="48">
        <v>0.25</v>
      </c>
      <c r="BA763" s="31"/>
      <c r="BB763" s="48">
        <v>0.11</v>
      </c>
      <c r="BC763" s="31"/>
      <c r="BD763" s="31"/>
      <c r="BE763" s="48">
        <v>0.42</v>
      </c>
      <c r="BF763" s="31"/>
      <c r="BG763" s="31"/>
      <c r="BH763" s="31"/>
      <c r="BI763" s="31"/>
      <c r="BJ763" s="31"/>
      <c r="BK763" s="48">
        <v>2.58</v>
      </c>
      <c r="BL763" s="48">
        <v>5.8000000000000003E-2</v>
      </c>
    </row>
    <row r="764" spans="1:64" ht="16.5" thickBot="1">
      <c r="A764" t="str">
        <f>VLOOKUP(B764,info!$B$2:$F$49,2,FALSE)</f>
        <v>Fiat</v>
      </c>
      <c r="B764" s="34">
        <v>43</v>
      </c>
      <c r="C764" t="s">
        <v>405</v>
      </c>
      <c r="D764" s="34" t="s">
        <v>77</v>
      </c>
      <c r="F764" s="31">
        <f>VLOOKUP(B764,info!$B$2:$I$49,8,FALSE)</f>
        <v>5751910</v>
      </c>
      <c r="G764" s="47"/>
      <c r="H764" s="31">
        <v>98677.419354838727</v>
      </c>
      <c r="I764" s="31">
        <v>23040</v>
      </c>
      <c r="J764" s="31">
        <v>4976.4705882352937</v>
      </c>
      <c r="K764" s="31">
        <v>332266.66666666669</v>
      </c>
      <c r="L764" s="31"/>
      <c r="M764" s="31"/>
      <c r="N764" s="31"/>
      <c r="O764" s="31"/>
      <c r="P764" s="31">
        <v>47785.714285714297</v>
      </c>
      <c r="Q764" s="31"/>
      <c r="R764" s="31"/>
      <c r="S764" s="48">
        <v>4.28</v>
      </c>
      <c r="T764" s="31"/>
      <c r="U764" s="31">
        <v>6230</v>
      </c>
      <c r="V764" s="48">
        <v>0.78</v>
      </c>
      <c r="W764" s="31"/>
      <c r="X764" s="31"/>
      <c r="Y764" s="48">
        <v>5.49</v>
      </c>
      <c r="Z764" s="31"/>
      <c r="AA764" s="31"/>
      <c r="AB764" s="31"/>
      <c r="AC764" s="31"/>
      <c r="AD764" s="31"/>
      <c r="AE764" s="31"/>
      <c r="AF764" s="48">
        <v>56.2</v>
      </c>
      <c r="AG764" s="48">
        <v>118</v>
      </c>
      <c r="AH764" s="48">
        <v>6.96</v>
      </c>
      <c r="AI764" s="48">
        <v>9.2100000000000009</v>
      </c>
      <c r="AJ764" s="31"/>
      <c r="AK764" s="31"/>
      <c r="AL764" s="48">
        <v>3.63</v>
      </c>
      <c r="AM764" s="31"/>
      <c r="AN764" s="31"/>
      <c r="AO764" s="31"/>
      <c r="AP764" s="50">
        <v>0.72</v>
      </c>
      <c r="AQ764" s="48">
        <v>3.77</v>
      </c>
      <c r="AR764" s="31"/>
      <c r="AS764" s="31"/>
      <c r="AT764" s="31"/>
      <c r="AU764" s="31"/>
      <c r="AV764" s="31"/>
      <c r="AW764" s="48">
        <v>0.67</v>
      </c>
      <c r="AX764" s="31"/>
      <c r="AY764" s="31"/>
      <c r="AZ764" s="48">
        <v>0.35</v>
      </c>
      <c r="BA764" s="31"/>
      <c r="BB764" s="48">
        <v>0.19</v>
      </c>
      <c r="BC764" s="31"/>
      <c r="BD764" s="31"/>
      <c r="BE764" s="48">
        <v>0.24</v>
      </c>
      <c r="BF764" s="31"/>
      <c r="BG764" s="31"/>
      <c r="BH764" s="31"/>
      <c r="BI764" s="31"/>
      <c r="BJ764" s="31"/>
      <c r="BK764" s="48">
        <v>0.43</v>
      </c>
      <c r="BL764" s="48">
        <v>8.2000000000000003E-2</v>
      </c>
    </row>
    <row r="765" spans="1:64" ht="16.5" thickBot="1">
      <c r="A765" t="str">
        <f>VLOOKUP(B765,info!$B$2:$F$49,2,FALSE)</f>
        <v>Hyundai</v>
      </c>
      <c r="B765" s="34">
        <v>44</v>
      </c>
      <c r="C765" t="s">
        <v>405</v>
      </c>
      <c r="D765" s="34" t="s">
        <v>77</v>
      </c>
      <c r="F765" s="31">
        <f>VLOOKUP(B765,info!$B$2:$I$49,8,FALSE)</f>
        <v>9602910</v>
      </c>
      <c r="G765" s="47"/>
      <c r="H765" s="31">
        <v>100161.29032258064</v>
      </c>
      <c r="I765" s="31">
        <v>23040</v>
      </c>
      <c r="J765" s="31">
        <v>5929.4117647058829</v>
      </c>
      <c r="K765" s="31">
        <v>335533.33333333337</v>
      </c>
      <c r="L765" s="31"/>
      <c r="M765" s="31"/>
      <c r="N765" s="31"/>
      <c r="O765" s="31"/>
      <c r="P765" s="31">
        <v>54214.285714285717</v>
      </c>
      <c r="Q765" s="31"/>
      <c r="R765" s="31"/>
      <c r="S765" s="48">
        <v>3.26</v>
      </c>
      <c r="T765" s="31"/>
      <c r="U765" s="31">
        <v>3640</v>
      </c>
      <c r="V765" s="48">
        <v>5.65</v>
      </c>
      <c r="W765" s="31"/>
      <c r="X765" s="31"/>
      <c r="Y765" s="48">
        <v>2.96</v>
      </c>
      <c r="Z765" s="31"/>
      <c r="AA765" s="31"/>
      <c r="AB765" s="31"/>
      <c r="AC765" s="31"/>
      <c r="AD765" s="31"/>
      <c r="AE765" s="31"/>
      <c r="AF765" s="48">
        <v>39.299999999999997</v>
      </c>
      <c r="AG765" s="48">
        <v>67.900000000000006</v>
      </c>
      <c r="AH765" s="48">
        <v>10.4</v>
      </c>
      <c r="AI765" s="48">
        <v>11.9</v>
      </c>
      <c r="AJ765" s="31"/>
      <c r="AK765" s="31"/>
      <c r="AL765" s="48">
        <v>5.71</v>
      </c>
      <c r="AM765" s="31"/>
      <c r="AN765" s="31"/>
      <c r="AO765" s="31"/>
      <c r="AP765" s="50">
        <v>2.93</v>
      </c>
      <c r="AQ765" s="48">
        <v>1.86</v>
      </c>
      <c r="AR765" s="31"/>
      <c r="AS765" s="31"/>
      <c r="AT765" s="31"/>
      <c r="AU765" s="31"/>
      <c r="AV765" s="31"/>
      <c r="AW765" s="48">
        <v>0.75</v>
      </c>
      <c r="AX765" s="31"/>
      <c r="AY765" s="31"/>
      <c r="AZ765" s="48">
        <v>0.37</v>
      </c>
      <c r="BA765" s="31"/>
      <c r="BB765" s="48">
        <v>0.33</v>
      </c>
      <c r="BC765" s="31"/>
      <c r="BD765" s="31"/>
      <c r="BE765" s="48">
        <v>0.19</v>
      </c>
      <c r="BF765" s="31"/>
      <c r="BG765" s="31"/>
      <c r="BH765" s="31"/>
      <c r="BI765" s="31"/>
      <c r="BJ765" s="31"/>
      <c r="BK765" s="48">
        <v>0.72</v>
      </c>
      <c r="BL765" s="48">
        <v>7.4999999999999997E-2</v>
      </c>
    </row>
    <row r="766" spans="1:64" ht="16.5" thickBot="1">
      <c r="A766" t="str">
        <f>VLOOKUP(B766,info!$B$2:$F$49,2,FALSE)</f>
        <v>Subaru</v>
      </c>
      <c r="B766" s="34">
        <v>45</v>
      </c>
      <c r="C766" t="s">
        <v>405</v>
      </c>
      <c r="D766" s="34" t="s">
        <v>77</v>
      </c>
      <c r="F766" s="31">
        <f>VLOOKUP(B766,info!$B$2:$I$49,8,FALSE)</f>
        <v>2675308</v>
      </c>
      <c r="G766" s="47"/>
      <c r="H766" s="31">
        <v>97193.548387096773</v>
      </c>
      <c r="I766" s="31">
        <v>23340</v>
      </c>
      <c r="J766" s="31">
        <v>9688.2352941176468</v>
      </c>
      <c r="K766" s="31">
        <v>337866.66666666669</v>
      </c>
      <c r="L766" s="31"/>
      <c r="M766" s="31"/>
      <c r="N766" s="31"/>
      <c r="O766" s="31"/>
      <c r="P766" s="31">
        <v>47071.428571428572</v>
      </c>
      <c r="Q766" s="31"/>
      <c r="R766" s="31"/>
      <c r="S766" s="48">
        <v>2.62</v>
      </c>
      <c r="T766" s="31"/>
      <c r="U766" s="31">
        <v>2590</v>
      </c>
      <c r="V766" s="48">
        <v>11.6</v>
      </c>
      <c r="W766" s="31"/>
      <c r="X766" s="31"/>
      <c r="Y766" s="48">
        <v>10.199999999999999</v>
      </c>
      <c r="Z766" s="31"/>
      <c r="AA766" s="31"/>
      <c r="AB766" s="31"/>
      <c r="AC766" s="31"/>
      <c r="AD766" s="31"/>
      <c r="AE766" s="31"/>
      <c r="AF766" s="48">
        <v>72.5</v>
      </c>
      <c r="AG766" s="48">
        <v>21.9</v>
      </c>
      <c r="AH766" s="48">
        <v>1.94</v>
      </c>
      <c r="AI766" s="48">
        <v>21.9</v>
      </c>
      <c r="AJ766" s="31"/>
      <c r="AK766" s="31"/>
      <c r="AL766" s="48">
        <v>1.74</v>
      </c>
      <c r="AM766" s="31"/>
      <c r="AN766" s="31"/>
      <c r="AO766" s="31"/>
      <c r="AP766" s="50">
        <v>0.59</v>
      </c>
      <c r="AQ766" s="48">
        <v>0.72</v>
      </c>
      <c r="AR766" s="31"/>
      <c r="AS766" s="31"/>
      <c r="AT766" s="31"/>
      <c r="AU766" s="31"/>
      <c r="AV766" s="31"/>
      <c r="AW766" s="48">
        <v>0.51</v>
      </c>
      <c r="AX766" s="31"/>
      <c r="AY766" s="31"/>
      <c r="AZ766" s="48">
        <v>0.23</v>
      </c>
      <c r="BA766" s="31"/>
      <c r="BB766" s="48">
        <v>0.64</v>
      </c>
      <c r="BC766" s="31"/>
      <c r="BD766" s="31"/>
      <c r="BE766" s="48">
        <v>7.8E-2</v>
      </c>
      <c r="BF766" s="31"/>
      <c r="BG766" s="31"/>
      <c r="BH766" s="31"/>
      <c r="BI766" s="31"/>
      <c r="BJ766" s="31"/>
      <c r="BK766" s="48">
        <v>0.35</v>
      </c>
      <c r="BL766" s="48">
        <v>6.8000000000000005E-2</v>
      </c>
    </row>
    <row r="767" spans="1:64" ht="16.5" thickBot="1">
      <c r="A767" t="str">
        <f>VLOOKUP(B767,info!$B$2:$F$49,2,FALSE)</f>
        <v>Renault</v>
      </c>
      <c r="B767" s="34">
        <v>46</v>
      </c>
      <c r="C767" t="s">
        <v>405</v>
      </c>
      <c r="D767" s="34" t="s">
        <v>77</v>
      </c>
      <c r="F767" s="31">
        <f>VLOOKUP(B767,info!$B$2:$I$49,8,FALSE)</f>
        <v>1147816</v>
      </c>
      <c r="G767" s="47"/>
      <c r="H767" s="31">
        <v>80870.967741935485</v>
      </c>
      <c r="I767" s="31">
        <v>27119.999999999996</v>
      </c>
      <c r="J767" s="31">
        <v>4500</v>
      </c>
      <c r="K767" s="31">
        <v>328533.33333333337</v>
      </c>
      <c r="L767" s="31"/>
      <c r="M767" s="31"/>
      <c r="N767" s="31"/>
      <c r="O767" s="31"/>
      <c r="P767" s="31">
        <v>45857.142857142862</v>
      </c>
      <c r="Q767" s="31"/>
      <c r="R767" s="31"/>
      <c r="S767" s="48">
        <v>4.49</v>
      </c>
      <c r="T767" s="31"/>
      <c r="U767" s="31">
        <v>6090</v>
      </c>
      <c r="V767" s="48">
        <v>0.76</v>
      </c>
      <c r="W767" s="31"/>
      <c r="X767" s="31"/>
      <c r="Y767" s="48">
        <v>15.6</v>
      </c>
      <c r="Z767" s="31"/>
      <c r="AA767" s="31"/>
      <c r="AB767" s="31"/>
      <c r="AC767" s="31"/>
      <c r="AD767" s="31"/>
      <c r="AE767" s="31"/>
      <c r="AF767" s="48">
        <v>45.3</v>
      </c>
      <c r="AG767" s="48">
        <v>61.2</v>
      </c>
      <c r="AH767" s="48">
        <v>4.2300000000000004</v>
      </c>
      <c r="AI767" s="48">
        <v>3.87</v>
      </c>
      <c r="AJ767" s="31"/>
      <c r="AK767" s="31"/>
      <c r="AL767" s="48">
        <v>2.92</v>
      </c>
      <c r="AM767" s="31"/>
      <c r="AN767" s="31"/>
      <c r="AO767" s="31"/>
      <c r="AP767" s="50">
        <v>1.48</v>
      </c>
      <c r="AQ767" s="48">
        <v>1.1200000000000001</v>
      </c>
      <c r="AR767" s="31"/>
      <c r="AS767" s="31"/>
      <c r="AT767" s="31"/>
      <c r="AU767" s="31"/>
      <c r="AV767" s="31"/>
      <c r="AW767" s="48">
        <v>2.4700000000000002</v>
      </c>
      <c r="AX767" s="31"/>
      <c r="AY767" s="31"/>
      <c r="AZ767" s="48">
        <v>0.22</v>
      </c>
      <c r="BA767" s="31"/>
      <c r="BB767" s="48">
        <v>0.11799999999999999</v>
      </c>
      <c r="BC767" s="31"/>
      <c r="BD767" s="31"/>
      <c r="BE767" s="48">
        <v>0.44</v>
      </c>
      <c r="BF767" s="31"/>
      <c r="BG767" s="31"/>
      <c r="BH767" s="31"/>
      <c r="BI767" s="31"/>
      <c r="BJ767" s="31"/>
      <c r="BK767" s="48">
        <v>2.29</v>
      </c>
      <c r="BL767" s="48">
        <v>6.6000000000000003E-2</v>
      </c>
    </row>
    <row r="768" spans="1:64" ht="16.5" thickBot="1">
      <c r="A768" t="str">
        <f>VLOOKUP(B768,info!$B$2:$F$49,2,FALSE)</f>
        <v>Renault</v>
      </c>
      <c r="B768" s="34">
        <v>47</v>
      </c>
      <c r="C768" t="s">
        <v>405</v>
      </c>
      <c r="D768" s="34" t="s">
        <v>77</v>
      </c>
      <c r="F768" s="31">
        <f>VLOOKUP(B768,info!$B$2:$I$49,8,FALSE)</f>
        <v>1147816</v>
      </c>
      <c r="G768" s="47"/>
      <c r="H768" s="31">
        <v>70335.483870967742</v>
      </c>
      <c r="I768" s="31">
        <v>21360</v>
      </c>
      <c r="J768" s="31">
        <v>3600.0000000000005</v>
      </c>
      <c r="K768" s="31">
        <v>341133.33333333331</v>
      </c>
      <c r="L768" s="31"/>
      <c r="M768" s="31"/>
      <c r="N768" s="31"/>
      <c r="O768" s="31"/>
      <c r="P768" s="31">
        <v>45642.857142857138</v>
      </c>
      <c r="Q768" s="31"/>
      <c r="R768" s="31"/>
      <c r="S768" s="48">
        <v>4.32</v>
      </c>
      <c r="T768" s="31"/>
      <c r="U768" s="31">
        <v>6579.9999999999991</v>
      </c>
      <c r="V768" s="48">
        <v>0.78</v>
      </c>
      <c r="W768" s="31"/>
      <c r="X768" s="31"/>
      <c r="Y768" s="48">
        <v>15.4</v>
      </c>
      <c r="Z768" s="31"/>
      <c r="AA768" s="31"/>
      <c r="AB768" s="31"/>
      <c r="AC768" s="31"/>
      <c r="AD768" s="31"/>
      <c r="AE768" s="31"/>
      <c r="AF768" s="48">
        <v>42.9</v>
      </c>
      <c r="AG768" s="48">
        <v>55.8</v>
      </c>
      <c r="AH768" s="48">
        <v>4.0599999999999996</v>
      </c>
      <c r="AI768" s="48">
        <v>4.17</v>
      </c>
      <c r="AJ768" s="31"/>
      <c r="AK768" s="31"/>
      <c r="AL768" s="48">
        <v>2.85</v>
      </c>
      <c r="AM768" s="31"/>
      <c r="AN768" s="31"/>
      <c r="AO768" s="31"/>
      <c r="AP768" s="50">
        <v>1.04</v>
      </c>
      <c r="AQ768" s="48">
        <v>1.22</v>
      </c>
      <c r="AR768" s="31"/>
      <c r="AS768" s="31"/>
      <c r="AT768" s="31"/>
      <c r="AU768" s="31"/>
      <c r="AV768" s="31"/>
      <c r="AW768" s="48">
        <v>2.4</v>
      </c>
      <c r="AX768" s="31"/>
      <c r="AY768" s="31"/>
      <c r="AZ768" s="48">
        <v>0.26</v>
      </c>
      <c r="BA768" s="31"/>
      <c r="BB768" s="48">
        <v>0.12</v>
      </c>
      <c r="BC768" s="31"/>
      <c r="BD768" s="31"/>
      <c r="BE768" s="48">
        <v>0.39</v>
      </c>
      <c r="BF768" s="31"/>
      <c r="BG768" s="31"/>
      <c r="BH768" s="31"/>
      <c r="BI768" s="31"/>
      <c r="BJ768" s="31"/>
      <c r="BK768" s="48">
        <v>2.3199999999999998</v>
      </c>
      <c r="BL768" s="48">
        <v>6.2E-2</v>
      </c>
    </row>
    <row r="769" spans="1:64" ht="16.5" thickBot="1">
      <c r="A769" t="str">
        <f>VLOOKUP(B769,info!$B$2:$F$49,2,FALSE)</f>
        <v>Hyundai</v>
      </c>
      <c r="B769" s="34">
        <v>48</v>
      </c>
      <c r="C769" t="s">
        <v>405</v>
      </c>
      <c r="D769" s="34" t="s">
        <v>77</v>
      </c>
      <c r="F769" s="31">
        <f>VLOOKUP(B769,info!$B$2:$I$49,8,FALSE)</f>
        <v>5826120</v>
      </c>
      <c r="G769" s="47"/>
      <c r="H769" s="31">
        <v>110548.3870967742</v>
      </c>
      <c r="I769" s="31">
        <v>26160</v>
      </c>
      <c r="J769" s="31">
        <v>5717.6470588235297</v>
      </c>
      <c r="K769" s="31">
        <v>331800</v>
      </c>
      <c r="L769" s="31"/>
      <c r="M769" s="31"/>
      <c r="N769" s="31"/>
      <c r="O769" s="31"/>
      <c r="P769" s="31">
        <v>57428.571428571428</v>
      </c>
      <c r="Q769" s="31"/>
      <c r="R769" s="31"/>
      <c r="S769" s="48">
        <v>3.69</v>
      </c>
      <c r="T769" s="31"/>
      <c r="U769" s="31">
        <v>3710</v>
      </c>
      <c r="V769" s="48">
        <v>5.45</v>
      </c>
      <c r="W769" s="31"/>
      <c r="X769" s="31"/>
      <c r="Y769" s="48">
        <v>0.9</v>
      </c>
      <c r="Z769" s="31"/>
      <c r="AA769" s="31"/>
      <c r="AB769" s="31"/>
      <c r="AC769" s="31"/>
      <c r="AD769" s="31"/>
      <c r="AE769" s="31"/>
      <c r="AF769" s="48">
        <v>42.8</v>
      </c>
      <c r="AG769" s="48">
        <v>78.2</v>
      </c>
      <c r="AH769" s="48">
        <v>13.6</v>
      </c>
      <c r="AI769" s="48">
        <v>11.9</v>
      </c>
      <c r="AJ769" s="31"/>
      <c r="AK769" s="31"/>
      <c r="AL769" s="48">
        <v>6.04</v>
      </c>
      <c r="AM769" s="31"/>
      <c r="AN769" s="31"/>
      <c r="AO769" s="31"/>
      <c r="AP769" s="50">
        <v>2.87</v>
      </c>
      <c r="AQ769" s="48">
        <v>1.95</v>
      </c>
      <c r="AR769" s="31"/>
      <c r="AS769" s="31"/>
      <c r="AT769" s="31"/>
      <c r="AU769" s="31"/>
      <c r="AV769" s="31"/>
      <c r="AW769" s="48">
        <v>0.78</v>
      </c>
      <c r="AX769" s="31"/>
      <c r="AY769" s="31"/>
      <c r="AZ769" s="48">
        <v>0.32</v>
      </c>
      <c r="BA769" s="31"/>
      <c r="BB769" s="48">
        <v>0.26</v>
      </c>
      <c r="BC769" s="31"/>
      <c r="BD769" s="31"/>
      <c r="BE769" s="48">
        <v>0.26</v>
      </c>
      <c r="BF769" s="31"/>
      <c r="BG769" s="31"/>
      <c r="BH769" s="31"/>
      <c r="BI769" s="31"/>
      <c r="BJ769" s="31"/>
      <c r="BK769" s="48">
        <v>0.79</v>
      </c>
      <c r="BL769" s="48">
        <v>8.3000000000000004E-2</v>
      </c>
    </row>
    <row r="770" spans="1:64">
      <c r="A770" t="str">
        <f>VLOOKUP(B770,info!$B$2:$F$49,2,FALSE)</f>
        <v>Mazda</v>
      </c>
      <c r="B770" s="34">
        <v>1</v>
      </c>
      <c r="C770" t="s">
        <v>408</v>
      </c>
      <c r="D770" s="34" t="s">
        <v>77</v>
      </c>
      <c r="F770" s="31">
        <f>VLOOKUP(B770,info!$B$2:$I$49,8,FALSE)</f>
        <v>3550828</v>
      </c>
      <c r="H770">
        <f>10.1587451679515*(10000)</f>
        <v>101587.45167951458</v>
      </c>
      <c r="I770">
        <f>2.34890207749106*(10000)</f>
        <v>23489.02077491059</v>
      </c>
      <c r="J770">
        <f>0.743967204889585*(10000)</f>
        <v>7439.6720488958499</v>
      </c>
      <c r="K770">
        <f>33.3607418061106*(10000)</f>
        <v>333607.41806110583</v>
      </c>
      <c r="L770">
        <f>0.0808989667274994*(10000)</f>
        <v>808.98966727499396</v>
      </c>
      <c r="M770">
        <f>0.0177948939965058*(10000)</f>
        <v>177.94893996505834</v>
      </c>
      <c r="N770">
        <f>0.616404758313203*(10000)</f>
        <v>6164.0475831320337</v>
      </c>
      <c r="P770">
        <f>5.78191342945655*(10000)</f>
        <v>57819.134294565491</v>
      </c>
      <c r="R770">
        <f>0.0192730798426498*(10000)</f>
        <v>192.73079842649838</v>
      </c>
      <c r="T770">
        <f>0.00480654405240902*(10000)</f>
        <v>48.065440524090207</v>
      </c>
      <c r="U770">
        <f>0.360825381462979*(10000)</f>
        <v>3608.253814629787</v>
      </c>
      <c r="AA770">
        <f>0.076205720055113*(10000)</f>
        <v>762.05720055112965</v>
      </c>
      <c r="AK770">
        <f>0.000347924505451796*(10000)</f>
        <v>3.4792450545179561</v>
      </c>
      <c r="AW770">
        <f>0.0000227622252992934*(10000)</f>
        <v>0.22762225299293357</v>
      </c>
      <c r="AX770">
        <f>0.000028544691767754*(10000)</f>
        <v>0.28544691767753994</v>
      </c>
    </row>
    <row r="771" spans="1:64">
      <c r="A771" t="str">
        <f>VLOOKUP(B771,info!$B$2:$F$49,2,FALSE)</f>
        <v>Mazda</v>
      </c>
      <c r="B771" s="34">
        <v>2</v>
      </c>
      <c r="C771" t="s">
        <v>408</v>
      </c>
      <c r="D771" s="34" t="s">
        <v>77</v>
      </c>
      <c r="F771" s="31">
        <f>VLOOKUP(B771,info!$B$2:$I$49,8,FALSE)</f>
        <v>3550828</v>
      </c>
      <c r="H771">
        <f>10.0759019525749*(10000)</f>
        <v>100759.01952574925</v>
      </c>
      <c r="I771">
        <f>2.39513074116638*(10000)</f>
        <v>23951.307411663824</v>
      </c>
      <c r="J771">
        <f>0.745547368915553*(10000)</f>
        <v>7455.4736891555276</v>
      </c>
      <c r="K771">
        <f>33.3214950371542*(10000)</f>
        <v>333214.95037154248</v>
      </c>
      <c r="L771">
        <f>0.0872622407084036*(10000)</f>
        <v>872.62240708403635</v>
      </c>
      <c r="M771">
        <f>0.0155580756006729*(10000)</f>
        <v>155.58075600672854</v>
      </c>
      <c r="N771">
        <f>0.598377310339223*(10000)</f>
        <v>5983.7731033922273</v>
      </c>
      <c r="P771">
        <f>5.81071155209116*(10000)</f>
        <v>58107.11552091164</v>
      </c>
      <c r="R771">
        <f>0.0186773099195671*(10000)</f>
        <v>186.77309919567085</v>
      </c>
      <c r="T771">
        <f>0.00515560274239694*(10000)</f>
        <v>51.556027423969368</v>
      </c>
      <c r="U771">
        <f>0.362723787638408*(10000)</f>
        <v>3627.2378763840775</v>
      </c>
      <c r="AA771">
        <f>0.0433521122719766*(10000)</f>
        <v>433.52112271976648</v>
      </c>
      <c r="AK771">
        <f>0.000342069485866685*(10000)</f>
        <v>3.4206948586668537</v>
      </c>
      <c r="AW771">
        <f>0.0000179545065690959*(10000)</f>
        <v>0.17954506569095885</v>
      </c>
      <c r="AX771">
        <f>0.0000408008712372263*(10000)</f>
        <v>0.40800871237226305</v>
      </c>
    </row>
    <row r="772" spans="1:64">
      <c r="A772" t="str">
        <f>VLOOKUP(B772,info!$B$2:$F$49,2,FALSE)</f>
        <v>Mazda</v>
      </c>
      <c r="B772" s="34">
        <v>3</v>
      </c>
      <c r="C772" t="s">
        <v>408</v>
      </c>
      <c r="D772" s="34" t="s">
        <v>77</v>
      </c>
      <c r="F772" s="31">
        <f>VLOOKUP(B772,info!$B$2:$I$49,8,FALSE)</f>
        <v>3550828</v>
      </c>
      <c r="H772">
        <f>10.0948699488751*(10000)</f>
        <v>100948.6994887506</v>
      </c>
      <c r="I772">
        <f>2.4705326364838*(10000)</f>
        <v>24705.326364837983</v>
      </c>
      <c r="J772">
        <f>0.734285250617673*(10000)</f>
        <v>7342.8525061767332</v>
      </c>
      <c r="K772">
        <f>33.2128108801689*(10000)</f>
        <v>332128.10880168865</v>
      </c>
      <c r="L772">
        <f>0.0927856685501853*(10000)</f>
        <v>927.85668550185278</v>
      </c>
      <c r="M772">
        <f>0.0173376908008856*(10000)</f>
        <v>173.37690800885562</v>
      </c>
      <c r="N772">
        <f>0.59850604573359*(10000)</f>
        <v>5985.0604573359014</v>
      </c>
      <c r="P772">
        <f>5.85711368814379*(10000)</f>
        <v>58571.136881437938</v>
      </c>
      <c r="R772">
        <f>0.0199260918002762*(10000)</f>
        <v>199.26091800276211</v>
      </c>
      <c r="T772">
        <f>0.00461205407555035*(10000)</f>
        <v>46.120540755503455</v>
      </c>
      <c r="U772">
        <f>0.353527915402079*(10000)</f>
        <v>3535.2791540207891</v>
      </c>
      <c r="AA772">
        <f>0.0976499453817341*(10000)</f>
        <v>976.49945381734074</v>
      </c>
      <c r="AK772">
        <f>0.000380200491476839*(10000)</f>
        <v>3.8020049147683923</v>
      </c>
      <c r="AW772">
        <f>0.000021800674652302*(10000)</f>
        <v>0.2180067465230198</v>
      </c>
      <c r="AX772">
        <f>0.0000350300113078357*(10000)</f>
        <v>0.35030011307835685</v>
      </c>
    </row>
    <row r="773" spans="1:64">
      <c r="A773" t="str">
        <f>VLOOKUP(B773,info!$B$2:$F$49,2,FALSE)</f>
        <v>Peugeot</v>
      </c>
      <c r="B773" s="34">
        <v>4</v>
      </c>
      <c r="C773" t="s">
        <v>408</v>
      </c>
      <c r="D773" s="34" t="s">
        <v>77</v>
      </c>
      <c r="F773" s="31">
        <f>VLOOKUP(B773,info!$B$2:$I$49,8,FALSE)</f>
        <v>9367324</v>
      </c>
      <c r="H773">
        <f>10.636276266956*(10000)</f>
        <v>106362.76266955961</v>
      </c>
      <c r="I773">
        <f>2.16832259559034*(10000)</f>
        <v>21683.225955903377</v>
      </c>
      <c r="J773">
        <f>0.279932373758017*(10000)</f>
        <v>2799.3237375801687</v>
      </c>
      <c r="K773">
        <f>33.5754892341196*(10000)</f>
        <v>335754.89234119601</v>
      </c>
      <c r="L773">
        <f>0.0909962255740136*(10000)</f>
        <v>909.96225574013647</v>
      </c>
      <c r="M773">
        <f>0.0168206654993948*(10000)</f>
        <v>168.20665499394775</v>
      </c>
      <c r="N773">
        <f>0.142977336071516*(10000)</f>
        <v>1429.7733607151599</v>
      </c>
      <c r="P773">
        <f>5.94157854142489*(10000)</f>
        <v>59415.785414248872</v>
      </c>
      <c r="R773">
        <f>0.020174018317731*(10000)</f>
        <v>201.74018317731031</v>
      </c>
      <c r="T773">
        <f>0.00952892745812557*(10000)</f>
        <v>95.289274581255711</v>
      </c>
      <c r="U773">
        <f>0.598397513520938*(10000)</f>
        <v>5983.9751352093754</v>
      </c>
      <c r="AA773">
        <f>0.0432298105739691*(10000)</f>
        <v>432.29810573969087</v>
      </c>
      <c r="AK773">
        <f>0.000377369114646814*(10000)</f>
        <v>3.7736911464681442</v>
      </c>
      <c r="AW773">
        <f>0.0000311282556064958*(10000)</f>
        <v>0.31128255606495792</v>
      </c>
      <c r="AX773">
        <f>0.0000557896632368711*(10000)</f>
        <v>0.55789663236871057</v>
      </c>
    </row>
    <row r="774" spans="1:64">
      <c r="A774" t="str">
        <f>VLOOKUP(B774,info!$B$2:$F$49,2,FALSE)</f>
        <v>Peugeot</v>
      </c>
      <c r="B774" s="34">
        <v>5</v>
      </c>
      <c r="C774" t="s">
        <v>408</v>
      </c>
      <c r="D774" s="34" t="s">
        <v>77</v>
      </c>
      <c r="F774" s="31">
        <f>VLOOKUP(B774,info!$B$2:$I$49,8,FALSE)</f>
        <v>9367324</v>
      </c>
      <c r="H774">
        <f>10.5885044504865*(10000)</f>
        <v>105885.04450486507</v>
      </c>
      <c r="I774">
        <f>2.35339364303288*(10000)</f>
        <v>23533.936430328824</v>
      </c>
      <c r="J774">
        <f>0.0839499711959737*(10000)</f>
        <v>839.49971195973683</v>
      </c>
      <c r="K774">
        <f>33.6468509083422*(10000)</f>
        <v>336468.50908342202</v>
      </c>
      <c r="L774">
        <f>0.0932668966508166*(10000)</f>
        <v>932.66896650816614</v>
      </c>
      <c r="M774">
        <f>0.00648818554525174*(10000)</f>
        <v>64.881855452517385</v>
      </c>
      <c r="N774">
        <f>0.0620466905639275*(10000)</f>
        <v>620.46690563927541</v>
      </c>
      <c r="P774">
        <f>5.98133039079599*(10000)</f>
        <v>59813.303907959948</v>
      </c>
      <c r="R774">
        <f>0.00559140736504639*(10000)</f>
        <v>55.914073650463848</v>
      </c>
      <c r="T774">
        <f>0.0113339171989453*(10000)</f>
        <v>113.33917198945274</v>
      </c>
      <c r="U774">
        <f>0.626168898386275*(10000)</f>
        <v>6261.6889838627512</v>
      </c>
      <c r="AA774">
        <f>0.0453291533771051*(10000)</f>
        <v>453.29153377105126</v>
      </c>
      <c r="AK774">
        <f>0.000183223895355882*(10000)</f>
        <v>1.832238953558823</v>
      </c>
      <c r="AW774">
        <f>0.0000226882177665474*(10000)</f>
        <v>0.22688217766547403</v>
      </c>
      <c r="AX774">
        <f>0.0000304431743012715*(10000)</f>
        <v>0.30443174301271536</v>
      </c>
    </row>
    <row r="775" spans="1:64">
      <c r="A775" t="str">
        <f>VLOOKUP(B775,info!$B$2:$F$49,2,FALSE)</f>
        <v>Mazda</v>
      </c>
      <c r="B775" s="34">
        <v>6</v>
      </c>
      <c r="C775" t="s">
        <v>408</v>
      </c>
      <c r="D775" s="34" t="s">
        <v>77</v>
      </c>
      <c r="F775" s="31">
        <f>VLOOKUP(B775,info!$B$2:$I$49,8,FALSE)</f>
        <v>3550828</v>
      </c>
      <c r="H775">
        <f>9.92450484065247*(10000)</f>
        <v>99245.048406524729</v>
      </c>
      <c r="I775">
        <f>2.34657348971053*(10000)</f>
        <v>23465.734897105278</v>
      </c>
      <c r="J775">
        <f>0.756815026241618*(10000)</f>
        <v>7568.1502624161785</v>
      </c>
      <c r="K775">
        <f>33.4388487380378*(10000)</f>
        <v>334388.48738037818</v>
      </c>
      <c r="L775">
        <f>0.0879768756459473*(10000)</f>
        <v>879.76875645947348</v>
      </c>
      <c r="M775">
        <f>0.0163875187125794*(10000)</f>
        <v>163.87518712579387</v>
      </c>
      <c r="N775">
        <f>0.61450021412486*(10000)</f>
        <v>6145.0021412486049</v>
      </c>
      <c r="P775">
        <f>5.80758167503238*(10000)</f>
        <v>58075.816750323807</v>
      </c>
      <c r="R775">
        <f>0.0202208748504776*(10000)</f>
        <v>202.20874850477634</v>
      </c>
      <c r="T775">
        <f>0.00496695983316105*(10000)</f>
        <v>49.669598331610551</v>
      </c>
      <c r="U775">
        <f>0.359420802340472*(10000)</f>
        <v>3594.208023404718</v>
      </c>
      <c r="AA775">
        <f>0.0646786410856901*(10000)</f>
        <v>646.78641085690117</v>
      </c>
      <c r="AK775">
        <f>0.000415471826046786*(10000)</f>
        <v>4.154718260467865</v>
      </c>
      <c r="AW775">
        <f>0.000026904789473966*(10000)</f>
        <v>0.26904789473966045</v>
      </c>
      <c r="AX775">
        <f>0.0000318424719845913*(10000)</f>
        <v>0.31842471984591264</v>
      </c>
    </row>
    <row r="776" spans="1:64">
      <c r="A776" t="str">
        <f>VLOOKUP(B776,info!$B$2:$F$49,2,FALSE)</f>
        <v>Hyundai</v>
      </c>
      <c r="B776" s="34">
        <v>7</v>
      </c>
      <c r="C776" t="s">
        <v>408</v>
      </c>
      <c r="D776" s="34" t="s">
        <v>77</v>
      </c>
      <c r="F776" s="31">
        <f>VLOOKUP(B776,info!$B$2:$I$49,8,FALSE)</f>
        <v>9540217</v>
      </c>
      <c r="H776">
        <f>10.0291712167017*(10000)</f>
        <v>100291.71216701726</v>
      </c>
      <c r="I776">
        <f>2.43134119291698*(10000)</f>
        <v>24313.411929169801</v>
      </c>
      <c r="J776">
        <f>0.480767952778743*(10000)</f>
        <v>4807.6795277874307</v>
      </c>
      <c r="K776">
        <f>33.2766605946447*(10000)</f>
        <v>332766.60594644689</v>
      </c>
      <c r="L776">
        <f>0.101234862425088*(10000)</f>
        <v>1012.3486242508784</v>
      </c>
      <c r="M776">
        <f>0.0245157518028115*(10000)</f>
        <v>245.15751802811511</v>
      </c>
      <c r="N776">
        <f>0.3130688893626*(10000)</f>
        <v>3130.6888936259984</v>
      </c>
      <c r="P776">
        <f>6.49606774113885*(10000)</f>
        <v>64960.677411388519</v>
      </c>
      <c r="R776">
        <f>0.0264223305129759*(10000)</f>
        <v>264.22330512975878</v>
      </c>
      <c r="T776">
        <f>0.00616407370442533*(10000)</f>
        <v>61.640737044253278</v>
      </c>
      <c r="U776">
        <f>0.330604589244141*(10000)</f>
        <v>3306.045892441407</v>
      </c>
      <c r="AA776">
        <f>0.0409881921249052*(10000)</f>
        <v>409.88192124905231</v>
      </c>
      <c r="AK776">
        <f>0.00100651482455927*(10000)</f>
        <v>10.065148245592672</v>
      </c>
      <c r="AW776">
        <f>0.0000495767150037364*(10000)</f>
        <v>0.49576715003736399</v>
      </c>
      <c r="AX776">
        <f>0.0000690449381579503*(10000)</f>
        <v>0.69044938157950275</v>
      </c>
    </row>
    <row r="777" spans="1:64">
      <c r="A777" t="str">
        <f>VLOOKUP(B777,info!$B$2:$F$49,2,FALSE)</f>
        <v>Honda</v>
      </c>
      <c r="B777" s="34">
        <v>8</v>
      </c>
      <c r="C777" t="s">
        <v>408</v>
      </c>
      <c r="D777" s="34" t="s">
        <v>77</v>
      </c>
      <c r="F777" s="31">
        <f>VLOOKUP(B777,info!$B$2:$I$49,8,FALSE)</f>
        <v>8096906</v>
      </c>
      <c r="H777">
        <f>10.5056202589172*(10000)</f>
        <v>105056.20258917172</v>
      </c>
      <c r="I777">
        <f>2.34474401525983*(10000)</f>
        <v>23447.440152598283</v>
      </c>
      <c r="J777">
        <f>0*(10000)</f>
        <v>0</v>
      </c>
      <c r="K777">
        <f>33.9806256955962*(10000)</f>
        <v>339806.25695596222</v>
      </c>
      <c r="L777">
        <f>0.0894894783818326*(10000)</f>
        <v>894.89478381832623</v>
      </c>
      <c r="M777">
        <f>0.0281915847882748*(10000)</f>
        <v>281.91584788274776</v>
      </c>
      <c r="N777">
        <f>0.0377319212234823*(10000)</f>
        <v>377.3192122348226</v>
      </c>
      <c r="P777">
        <f>5.91558603031244*(10000)</f>
        <v>59155.860303124435</v>
      </c>
      <c r="R777">
        <f>0.00588073422719605*(10000)</f>
        <v>58.807342271960479</v>
      </c>
      <c r="T777">
        <f>0*(10000)</f>
        <v>0</v>
      </c>
      <c r="U777">
        <f>0.372667914369334*(10000)</f>
        <v>3726.6791436933445</v>
      </c>
      <c r="AA777">
        <f>0*(10000)</f>
        <v>0</v>
      </c>
      <c r="AK777">
        <f>0.000341160103706104*(10000)</f>
        <v>3.4116010370610366</v>
      </c>
      <c r="AW777">
        <f>0.0000130661994391972*(10000)</f>
        <v>0.13066199439197229</v>
      </c>
      <c r="AX777">
        <f>0.000028670908793621*(10000)</f>
        <v>0.28670908793621036</v>
      </c>
    </row>
    <row r="778" spans="1:64">
      <c r="A778" t="str">
        <f>VLOOKUP(B778,info!$B$2:$F$49,2,FALSE)</f>
        <v>Honda</v>
      </c>
      <c r="B778" s="34">
        <v>9</v>
      </c>
      <c r="C778" t="s">
        <v>408</v>
      </c>
      <c r="D778" s="34" t="s">
        <v>77</v>
      </c>
      <c r="F778" s="31">
        <f>VLOOKUP(B778,info!$B$2:$I$49,8,FALSE)</f>
        <v>8096906</v>
      </c>
      <c r="H778">
        <f>10.233995935641*(10000)</f>
        <v>102339.95935641041</v>
      </c>
      <c r="I778">
        <f>2.18532001770293*(10000)</f>
        <v>21853.200177029335</v>
      </c>
      <c r="J778">
        <f>0*(10000)</f>
        <v>0</v>
      </c>
      <c r="K778">
        <f>34.4104285285243*(10000)</f>
        <v>344104.28528524266</v>
      </c>
      <c r="L778">
        <f>0.0969883388576551*(10000)</f>
        <v>969.8833885765514</v>
      </c>
      <c r="M778">
        <f>0.0284385211303085*(10000)</f>
        <v>284.38521130308465</v>
      </c>
      <c r="N778">
        <f>0.0383877978102274*(10000)</f>
        <v>383.87797810227437</v>
      </c>
      <c r="P778">
        <f>5.85807747856509*(10000)</f>
        <v>58580.77478565093</v>
      </c>
      <c r="R778">
        <f>0.00493442472285576*(10000)</f>
        <v>49.344247228557592</v>
      </c>
      <c r="T778">
        <f>0*(10000)</f>
        <v>0</v>
      </c>
      <c r="U778">
        <f>0.274807593230011*(10000)</f>
        <v>2748.0759323001107</v>
      </c>
      <c r="AA778">
        <f>0.0295899626164701*(10000)</f>
        <v>295.89962616470086</v>
      </c>
      <c r="AK778">
        <f>0.000326115364357595*(10000)</f>
        <v>3.2611536435759452</v>
      </c>
      <c r="AW778">
        <f>0.0000130239243129401*(10000)</f>
        <v>0.13023924312940133</v>
      </c>
      <c r="AX778">
        <f>8.67381097104174E-06*(10000)</f>
        <v>8.6738109710417441E-2</v>
      </c>
    </row>
    <row r="779" spans="1:64">
      <c r="A779" t="str">
        <f>VLOOKUP(B779,info!$B$2:$F$49,2,FALSE)</f>
        <v>Ford</v>
      </c>
      <c r="B779" s="34">
        <v>10</v>
      </c>
      <c r="C779" t="s">
        <v>408</v>
      </c>
      <c r="D779" s="34" t="s">
        <v>77</v>
      </c>
      <c r="F779" s="31">
        <f>VLOOKUP(B779,info!$B$2:$I$49,8,FALSE)</f>
        <v>6917835</v>
      </c>
      <c r="H779">
        <f>9.92362944318067*(10000)</f>
        <v>99236.294431806731</v>
      </c>
      <c r="I779">
        <f>2.50569751980274*(10000)</f>
        <v>25056.975198027449</v>
      </c>
      <c r="J779">
        <f>0.362092668907626*(10000)</f>
        <v>3620.926689076261</v>
      </c>
      <c r="K779">
        <f>33.610207937949*(10000)</f>
        <v>336102.07937948988</v>
      </c>
      <c r="L779">
        <f>0.0663185968590288*(10000)</f>
        <v>663.1859685902881</v>
      </c>
      <c r="M779">
        <f>0.010472997773808*(10000)</f>
        <v>104.72997773808</v>
      </c>
      <c r="N779">
        <f>0.261776127940124*(10000)</f>
        <v>2617.7612794012421</v>
      </c>
      <c r="P779">
        <f>5.8491490587202*(10000)</f>
        <v>58491.49058720201</v>
      </c>
      <c r="R779">
        <f>0.0249736632935158*(10000)</f>
        <v>249.73663293515818</v>
      </c>
      <c r="T779">
        <f>0*(10000)</f>
        <v>0</v>
      </c>
      <c r="U779">
        <f>0.748824489783958*(10000)</f>
        <v>7488.2448978395751</v>
      </c>
      <c r="AA779">
        <f>0.0483927156552814*(10000)</f>
        <v>483.92715655281381</v>
      </c>
      <c r="AK779">
        <f>0.00270552591573586*(10000)</f>
        <v>27.055259157358641</v>
      </c>
      <c r="AW779">
        <f>0.0000523204826299822*(10000)</f>
        <v>0.52320482629982168</v>
      </c>
      <c r="AX779">
        <f>0.0000609289571556572*(10000)</f>
        <v>0.60928957155657248</v>
      </c>
    </row>
    <row r="780" spans="1:64">
      <c r="A780" t="str">
        <f>VLOOKUP(B780,info!$B$2:$F$49,2,FALSE)</f>
        <v>Honda</v>
      </c>
      <c r="B780" s="34">
        <v>11</v>
      </c>
      <c r="C780" t="s">
        <v>408</v>
      </c>
      <c r="D780" s="34" t="s">
        <v>77</v>
      </c>
      <c r="F780" s="31">
        <f>VLOOKUP(B780,info!$B$2:$I$49,8,FALSE)</f>
        <v>8096906</v>
      </c>
      <c r="H780">
        <f>10.355240332047*(10000)</f>
        <v>103552.40332047048</v>
      </c>
      <c r="I780">
        <f>2.33921475168681*(10000)</f>
        <v>23392.147516868063</v>
      </c>
      <c r="J780">
        <f>0*(10000)</f>
        <v>0</v>
      </c>
      <c r="K780">
        <f>34.1205346172625*(10000)</f>
        <v>341205.34617262537</v>
      </c>
      <c r="L780">
        <f>0.0879985174122849*(10000)</f>
        <v>879.98517412284923</v>
      </c>
      <c r="M780">
        <f>0.0259087687747598*(10000)</f>
        <v>259.08768774759812</v>
      </c>
      <c r="N780">
        <f>0.0365133130793655*(10000)</f>
        <v>365.1331307936548</v>
      </c>
      <c r="P780">
        <f>5.9383347470565*(10000)</f>
        <v>59383.347470564971</v>
      </c>
      <c r="R780">
        <f>0.00557477736086007*(10000)</f>
        <v>55.74777360860066</v>
      </c>
      <c r="T780">
        <f>0.00228667313797487*(10000)</f>
        <v>22.86673137974871</v>
      </c>
      <c r="U780">
        <f>0.364480553003846*(10000)</f>
        <v>3644.8055300384553</v>
      </c>
      <c r="AA780">
        <f>0*(10000)</f>
        <v>0</v>
      </c>
      <c r="AK780">
        <f>0.000244818037367422*(10000)</f>
        <v>2.448180373674218</v>
      </c>
      <c r="AW780">
        <f>0.0000125958212679667*(10000)</f>
        <v>0.12595821267966703</v>
      </c>
      <c r="AX780">
        <f>0.0000413121590791105*(10000)</f>
        <v>0.41312159079110505</v>
      </c>
    </row>
    <row r="781" spans="1:64">
      <c r="A781" t="str">
        <f>VLOOKUP(B781,info!$B$2:$F$49,2,FALSE)</f>
        <v>Daewoo</v>
      </c>
      <c r="B781" s="34">
        <v>12</v>
      </c>
      <c r="C781" t="s">
        <v>408</v>
      </c>
      <c r="D781" s="34" t="s">
        <v>77</v>
      </c>
      <c r="F781" s="31">
        <f>VLOOKUP(B781,info!$B$2:$I$49,8,FALSE)</f>
        <v>8501017</v>
      </c>
      <c r="H781">
        <f>9.79023510532442*(10000)</f>
        <v>97902.351053244172</v>
      </c>
      <c r="I781">
        <f>2.38399740531714*(10000)</f>
        <v>23839.974053171354</v>
      </c>
      <c r="J781">
        <f>0.561088085631329*(10000)</f>
        <v>5610.8808563132861</v>
      </c>
      <c r="K781">
        <f>33.9051512507777*(10000)</f>
        <v>339051.51250777708</v>
      </c>
      <c r="L781">
        <f>0.110200760052391*(10000)</f>
        <v>1102.0076005239066</v>
      </c>
      <c r="M781">
        <f>0.00468122206744397*(10000)</f>
        <v>46.8122206744397</v>
      </c>
      <c r="N781">
        <f>0.463724093477807*(10000)</f>
        <v>4637.240934778074</v>
      </c>
      <c r="P781">
        <f>5.56250911767888*(10000)</f>
        <v>55625.091176788774</v>
      </c>
      <c r="R781">
        <f>0.0226371896276122*(10000)</f>
        <v>226.37189627612179</v>
      </c>
      <c r="T781">
        <f>0.00213670037287163*(10000)</f>
        <v>21.367003728716334</v>
      </c>
      <c r="U781">
        <f>0.340618830582051*(10000)</f>
        <v>3406.1883058205112</v>
      </c>
      <c r="AA781">
        <f>0.0646793570490133*(10000)</f>
        <v>646.79357049013254</v>
      </c>
      <c r="AK781">
        <f>0.000648546864350613*(10000)</f>
        <v>6.4854686435061284</v>
      </c>
      <c r="AW781">
        <f>0.0000344616804727845*(10000)</f>
        <v>0.34461680472784478</v>
      </c>
      <c r="AX781">
        <f>0.000046943376481286*(10000)</f>
        <v>0.46943376481285964</v>
      </c>
    </row>
    <row r="782" spans="1:64">
      <c r="A782" t="str">
        <f>VLOOKUP(B782,info!$B$2:$F$49,2,FALSE)</f>
        <v>Daewoo</v>
      </c>
      <c r="B782" s="34">
        <v>23</v>
      </c>
      <c r="C782" t="s">
        <v>408</v>
      </c>
      <c r="D782" s="34" t="s">
        <v>77</v>
      </c>
      <c r="F782" s="31">
        <f>VLOOKUP(B782,info!$B$2:$I$49,8,FALSE)</f>
        <v>8501017</v>
      </c>
      <c r="H782">
        <f>9.92424090253655*(10000)</f>
        <v>99242.409025365501</v>
      </c>
      <c r="I782">
        <f>2.45738986156223*(10000)</f>
        <v>24573.898615622336</v>
      </c>
      <c r="J782">
        <f>0.590305934874149*(10000)</f>
        <v>5903.0593487414935</v>
      </c>
      <c r="K782">
        <f>33.6305415291096*(10000)</f>
        <v>336305.41529109585</v>
      </c>
      <c r="L782">
        <f>0.112879105846942*(10000)</f>
        <v>1128.7910584694214</v>
      </c>
      <c r="M782">
        <f>0.00529951315209551*(10000)</f>
        <v>52.995131520955148</v>
      </c>
      <c r="N782">
        <f>0.478846318816815*(10000)</f>
        <v>4788.4631881681535</v>
      </c>
      <c r="P782">
        <f>5.73706858620974*(10000)</f>
        <v>57370.685862097438</v>
      </c>
      <c r="R782">
        <f>0.022679820593411*(10000)</f>
        <v>226.79820593411026</v>
      </c>
      <c r="T782">
        <f>0.00273812529921816*(10000)</f>
        <v>27.381252992181569</v>
      </c>
      <c r="U782">
        <f>0.364185124441855*(10000)</f>
        <v>3641.8512444185458</v>
      </c>
      <c r="AA782">
        <f>0*(10000)</f>
        <v>0</v>
      </c>
      <c r="AK782">
        <f>0.000625765648039258*(10000)</f>
        <v>6.2576564803925816</v>
      </c>
      <c r="AW782">
        <f>0.0000353944068808471*(10000)</f>
        <v>0.35394406880847123</v>
      </c>
      <c r="AX782">
        <f>0.0000306102832223932*(10000)</f>
        <v>0.30610283222393181</v>
      </c>
    </row>
    <row r="783" spans="1:64">
      <c r="A783" t="str">
        <f>VLOOKUP(B783,info!$B$2:$F$49,2,FALSE)</f>
        <v>Mitsubishi</v>
      </c>
      <c r="B783" s="34">
        <v>24</v>
      </c>
      <c r="C783" t="s">
        <v>408</v>
      </c>
      <c r="D783" s="34" t="s">
        <v>77</v>
      </c>
      <c r="F783" s="31">
        <f>VLOOKUP(B783,info!$B$2:$I$49,8,FALSE)</f>
        <v>7027220</v>
      </c>
      <c r="H783">
        <f>9.94833528967783*(10000)</f>
        <v>99483.352896778262</v>
      </c>
      <c r="I783">
        <f>2.59055608656012*(10000)</f>
        <v>25905.560865601212</v>
      </c>
      <c r="J783">
        <f>0.909063181462806*(10000)</f>
        <v>9090.6318146280573</v>
      </c>
      <c r="K783">
        <f>33.3839173133974*(10000)</f>
        <v>333839.17313397361</v>
      </c>
      <c r="L783">
        <f>0.0648070295564179*(10000)</f>
        <v>648.07029556417933</v>
      </c>
      <c r="M783">
        <f>0.00401006583820674*(10000)</f>
        <v>40.100658382067358</v>
      </c>
      <c r="N783">
        <f>0.240484225511679*(10000)</f>
        <v>2404.8422551167946</v>
      </c>
      <c r="P783">
        <f>5.84915860523799*(10000)</f>
        <v>58491.586052379935</v>
      </c>
      <c r="R783">
        <f>0.0367994061714989*(10000)</f>
        <v>367.99406171498873</v>
      </c>
      <c r="T783">
        <f>0.0158309496996673*(10000)</f>
        <v>158.30949699667323</v>
      </c>
      <c r="U783">
        <f>0.274423292704724*(10000)</f>
        <v>2744.2329270472451</v>
      </c>
      <c r="AA783">
        <f>0*(10000)</f>
        <v>0</v>
      </c>
      <c r="AK783">
        <f>0.000666565008600295*(10000)</f>
        <v>6.6656500860029455</v>
      </c>
      <c r="AW783">
        <f>0.0000713929334215516*(10000)</f>
        <v>0.71392933421551641</v>
      </c>
      <c r="AX783">
        <f>0.0000949765891099779*(10000)</f>
        <v>0.94976589109977938</v>
      </c>
    </row>
    <row r="784" spans="1:64">
      <c r="A784" t="str">
        <f>VLOOKUP(B784,info!$B$2:$F$49,2,FALSE)</f>
        <v>Ford</v>
      </c>
      <c r="B784" s="34">
        <v>37</v>
      </c>
      <c r="C784" t="s">
        <v>408</v>
      </c>
      <c r="D784" s="34" t="s">
        <v>77</v>
      </c>
      <c r="F784" s="31">
        <f>VLOOKUP(B784,info!$B$2:$I$49,8,FALSE)</f>
        <v>6917835</v>
      </c>
      <c r="H784">
        <f>9.94900755438714*(10000)</f>
        <v>99490.075543871368</v>
      </c>
      <c r="I784">
        <f>2.48382406056666*(10000)</f>
        <v>24838.240605666564</v>
      </c>
      <c r="J784">
        <f>0.441600889645472*(10000)</f>
        <v>4416.0088964547231</v>
      </c>
      <c r="K784">
        <f>33.5011047417807*(10000)</f>
        <v>335011.04741780687</v>
      </c>
      <c r="L784">
        <f>0.0802988040953053*(10000)</f>
        <v>802.98804095305343</v>
      </c>
      <c r="M784">
        <f>0.0108120019786397*(10000)</f>
        <v>108.12001978639736</v>
      </c>
      <c r="N784">
        <f>0.267880676510818*(10000)</f>
        <v>2678.8067651081806</v>
      </c>
      <c r="P784">
        <f>5.83498492754347*(10000)</f>
        <v>58349.849275434673</v>
      </c>
      <c r="R784">
        <f>0.0246329275233153*(10000)</f>
        <v>246.32927523315254</v>
      </c>
      <c r="T784">
        <f>0.0018829117113798*(10000)</f>
        <v>18.829117113797999</v>
      </c>
      <c r="U784">
        <f>0.782328715532061*(10000)</f>
        <v>7823.2871553206114</v>
      </c>
      <c r="AA784">
        <f>0.0507513986385591*(10000)</f>
        <v>507.51398638559061</v>
      </c>
      <c r="AK784">
        <f>0.0027038500811839*(10000)</f>
        <v>27.038500811838961</v>
      </c>
      <c r="AW784">
        <f>0.0000471780717576598*(10000)</f>
        <v>0.47178071757659829</v>
      </c>
      <c r="AX784">
        <f>0.0000652869975533932*(10000)</f>
        <v>0.65286997553393222</v>
      </c>
    </row>
    <row r="785" spans="1:50">
      <c r="A785" t="str">
        <f>VLOOKUP(B785,info!$B$2:$F$49,2,FALSE)</f>
        <v>Renault</v>
      </c>
      <c r="B785" s="34">
        <v>39</v>
      </c>
      <c r="C785" t="s">
        <v>408</v>
      </c>
      <c r="D785" s="34" t="s">
        <v>77</v>
      </c>
      <c r="F785" s="31">
        <f>VLOOKUP(B785,info!$B$2:$I$49,8,FALSE)</f>
        <v>1147816</v>
      </c>
      <c r="H785">
        <f>10.6527232557645*(10000)</f>
        <v>106527.23255764501</v>
      </c>
      <c r="I785">
        <f>2.58819213273141*(10000)</f>
        <v>25881.921327314125</v>
      </c>
      <c r="J785">
        <f>0.448754085851948*(10000)</f>
        <v>4487.5408585194791</v>
      </c>
      <c r="K785">
        <f>33.3742245150213*(10000)</f>
        <v>333742.2451502133</v>
      </c>
      <c r="L785">
        <f>0.0848877772702357*(10000)</f>
        <v>848.87777270235688</v>
      </c>
      <c r="M785">
        <f>0.0150009802301871*(10000)</f>
        <v>150.00980230187056</v>
      </c>
      <c r="N785">
        <f>0.120401724284873*(10000)</f>
        <v>1204.0172428487265</v>
      </c>
      <c r="P785">
        <f>5.75294879257607*(10000)</f>
        <v>57529.487925760732</v>
      </c>
      <c r="R785">
        <f>0.029242909839681*(10000)</f>
        <v>292.42909839680959</v>
      </c>
      <c r="T785">
        <f>0.0189957495990195*(10000)</f>
        <v>189.9574959901953</v>
      </c>
      <c r="U785">
        <f>0.393909275948387*(10000)</f>
        <v>3939.0927594838681</v>
      </c>
      <c r="AA785">
        <f>0*(10000)</f>
        <v>0</v>
      </c>
      <c r="AK785">
        <f>0.000957586019397961*(10000)</f>
        <v>9.5758601939796115</v>
      </c>
      <c r="AW785">
        <f>0.000160623593029236*(10000)</f>
        <v>1.6062359302923566</v>
      </c>
      <c r="AX785">
        <f>0.000221409732112376*(10000)</f>
        <v>2.214097321123758</v>
      </c>
    </row>
    <row r="786" spans="1:50">
      <c r="A786" t="str">
        <f>VLOOKUP(B786,info!$B$2:$F$49,2,FALSE)</f>
        <v>Fiat</v>
      </c>
      <c r="B786" s="34">
        <v>41</v>
      </c>
      <c r="C786" t="s">
        <v>408</v>
      </c>
      <c r="D786" s="34" t="s">
        <v>77</v>
      </c>
      <c r="F786" s="31">
        <f>VLOOKUP(B786,info!$B$2:$I$49,8,FALSE)</f>
        <v>5751910</v>
      </c>
      <c r="H786">
        <f>10.4236005426184*(10000)</f>
        <v>104236.00542618381</v>
      </c>
      <c r="I786">
        <f>2.3728688398355*(10000)</f>
        <v>23728.688398355029</v>
      </c>
      <c r="J786">
        <f>0.31573945239115*(10000)</f>
        <v>3157.3945239115005</v>
      </c>
      <c r="K786">
        <f>33.6116655748651*(10000)</f>
        <v>336116.65574865096</v>
      </c>
      <c r="L786">
        <f>0.073806881139722*(10000)</f>
        <v>738.06881139722032</v>
      </c>
      <c r="M786">
        <f>0.0202717711389642*(10000)</f>
        <v>202.71771138964149</v>
      </c>
      <c r="N786">
        <f>0.0919000160237596*(10000)</f>
        <v>919.00016023759622</v>
      </c>
      <c r="P786">
        <f>5.80792599739588*(10000)</f>
        <v>58079.259973958768</v>
      </c>
      <c r="R786">
        <f>0.0191169734100826*(10000)</f>
        <v>191.16973410082591</v>
      </c>
      <c r="T786">
        <f>0.012555132595453*(10000)</f>
        <v>125.55132595453033</v>
      </c>
      <c r="U786">
        <f>0.626203135975419*(10000)</f>
        <v>6262.0313597541908</v>
      </c>
      <c r="AA786">
        <f>0.0682622762012949*(10000)</f>
        <v>682.62276201294867</v>
      </c>
      <c r="AK786">
        <f>0.000415543758904091*(10000)</f>
        <v>4.1554375890409112</v>
      </c>
      <c r="AW786">
        <f>0.0000443574245429904*(10000)</f>
        <v>0.44357424542990437</v>
      </c>
      <c r="AX786">
        <f>0.0000506486330975874*(10000)</f>
        <v>0.50648633097587381</v>
      </c>
    </row>
    <row r="787" spans="1:50">
      <c r="A787" t="str">
        <f>VLOOKUP(B787,info!$B$2:$F$49,2,FALSE)</f>
        <v>Renault</v>
      </c>
      <c r="B787" s="34">
        <v>42</v>
      </c>
      <c r="C787" t="s">
        <v>408</v>
      </c>
      <c r="D787" s="34" t="s">
        <v>77</v>
      </c>
      <c r="F787" s="31">
        <f>VLOOKUP(B787,info!$B$2:$I$49,8,FALSE)</f>
        <v>1147816</v>
      </c>
      <c r="H787">
        <f>9.78619488849289*(10000)</f>
        <v>97861.948884928934</v>
      </c>
      <c r="I787">
        <f>2.44970133106902*(10000)</f>
        <v>24497.013310690229</v>
      </c>
      <c r="J787">
        <f>0.824793653677402*(10000)</f>
        <v>8247.9365367740156</v>
      </c>
      <c r="K787">
        <f>32.9954564095002*(10000)</f>
        <v>329954.5640950019</v>
      </c>
      <c r="L787">
        <f>0.0843839312164996*(10000)</f>
        <v>843.83931216499559</v>
      </c>
      <c r="M787">
        <f>0.0137603755668696*(10000)</f>
        <v>137.60375566869553</v>
      </c>
      <c r="N787">
        <f>0.80292924357741*(10000)</f>
        <v>8029.2924357741022</v>
      </c>
      <c r="P787">
        <f>5.99791669035217*(10000)</f>
        <v>59979.166903521749</v>
      </c>
      <c r="R787">
        <f>0.0276907032933038*(10000)</f>
        <v>276.90703293303801</v>
      </c>
      <c r="T787">
        <f>0.00617675168180769*(10000)</f>
        <v>61.767516818076921</v>
      </c>
      <c r="U787">
        <f>0.576020770735573*(10000)</f>
        <v>5760.2077073557257</v>
      </c>
      <c r="AA787">
        <f>0.0785133090806612*(10000)</f>
        <v>785.13309080661236</v>
      </c>
      <c r="AK787">
        <f>0.00235671637157896*(10000)</f>
        <v>23.567163715789565</v>
      </c>
      <c r="AW787">
        <f>0.0000434611372313738*(10000)</f>
        <v>0.43461137231373831</v>
      </c>
      <c r="AX787">
        <f>0.0000563458399335226*(10000)</f>
        <v>0.56345839933522623</v>
      </c>
    </row>
    <row r="788" spans="1:50">
      <c r="A788" t="str">
        <f>VLOOKUP(B788,info!$B$2:$F$49,2,FALSE)</f>
        <v>Fiat</v>
      </c>
      <c r="B788" s="34">
        <v>43</v>
      </c>
      <c r="C788" t="s">
        <v>408</v>
      </c>
      <c r="D788" s="34" t="s">
        <v>77</v>
      </c>
      <c r="F788" s="31">
        <f>VLOOKUP(B788,info!$B$2:$I$49,8,FALSE)</f>
        <v>5751910</v>
      </c>
      <c r="H788">
        <f>10.6544010635582*(10000)</f>
        <v>106544.01063558231</v>
      </c>
      <c r="I788">
        <f>2.24424963379648*(10000)</f>
        <v>22442.496337964818</v>
      </c>
      <c r="J788">
        <f>0.264886679957539*(10000)</f>
        <v>2648.8667995753926</v>
      </c>
      <c r="K788">
        <f>33.6217051856603*(10000)</f>
        <v>336217.05185660277</v>
      </c>
      <c r="L788">
        <f>0.0839924962603776*(10000)</f>
        <v>839.92496260377607</v>
      </c>
      <c r="M788">
        <f>0.0211307011352091*(10000)</f>
        <v>211.30701135209105</v>
      </c>
      <c r="N788">
        <f>0.0888357470389443*(10000)</f>
        <v>888.35747038944271</v>
      </c>
      <c r="P788">
        <f>5.83421544702072*(10000)</f>
        <v>58342.154470207228</v>
      </c>
      <c r="R788">
        <f>0.018522028049668*(10000)</f>
        <v>185.22028049667983</v>
      </c>
      <c r="T788">
        <f>0.0115882814805531*(10000)</f>
        <v>115.88281480553069</v>
      </c>
      <c r="U788">
        <f>0.602737385909727*(10000)</f>
        <v>6027.3738590972725</v>
      </c>
      <c r="AA788">
        <f>0.0418148210585016*(10000)</f>
        <v>418.1482105850161</v>
      </c>
      <c r="AK788">
        <f>0.000365575421479922*(10000)</f>
        <v>3.6557542147992224</v>
      </c>
      <c r="AW788">
        <f>0.0000431835142102068*(10000)</f>
        <v>0.43183514210206764</v>
      </c>
      <c r="AX788">
        <f>0.0000915709537684954*(10000)</f>
        <v>0.91570953768495378</v>
      </c>
    </row>
    <row r="789" spans="1:50">
      <c r="A789" t="str">
        <f>VLOOKUP(B789,info!$B$2:$F$49,2,FALSE)</f>
        <v>Hyundai</v>
      </c>
      <c r="B789" s="34">
        <v>44</v>
      </c>
      <c r="C789" t="s">
        <v>408</v>
      </c>
      <c r="D789" s="34" t="s">
        <v>77</v>
      </c>
      <c r="F789" s="31">
        <f>VLOOKUP(B789,info!$B$2:$I$49,8,FALSE)</f>
        <v>9602910</v>
      </c>
      <c r="H789">
        <f>10.4133067611075*(10000)</f>
        <v>104133.06761107473</v>
      </c>
      <c r="I789">
        <f>2.57111349376559*(10000)</f>
        <v>25711.134937655937</v>
      </c>
      <c r="J789">
        <f>0.53304659120685*(10000)</f>
        <v>5330.4659120685001</v>
      </c>
      <c r="K789">
        <f>32.8524711363517*(10000)</f>
        <v>328524.71136351669</v>
      </c>
      <c r="L789">
        <f>0.116329409507735*(10000)</f>
        <v>1163.2940950773509</v>
      </c>
      <c r="M789">
        <f>0.0260336129298562*(10000)</f>
        <v>260.33612929856173</v>
      </c>
      <c r="N789">
        <f>0.315306687226421*(10000)</f>
        <v>3153.0668722642145</v>
      </c>
      <c r="P789">
        <f>6.46521294499634*(10000)</f>
        <v>64652.129449963366</v>
      </c>
      <c r="R789">
        <f>0.0282901079071442*(10000)</f>
        <v>282.90107907144215</v>
      </c>
      <c r="T789">
        <f>0.00678357962697588*(10000)</f>
        <v>67.835796269758774</v>
      </c>
      <c r="U789">
        <f>0.353349132784366*(10000)</f>
        <v>3533.4913278436643</v>
      </c>
      <c r="AA789">
        <f>0.0552497304516363*(10000)</f>
        <v>552.49730451636276</v>
      </c>
      <c r="AK789">
        <f>0.0010395579501604*(10000)</f>
        <v>10.395579501603953</v>
      </c>
      <c r="AW789">
        <f>0.0000579427059314038*(10000)</f>
        <v>0.57942705931403804</v>
      </c>
      <c r="AX789">
        <f>0.000066958527429893*(10000)</f>
        <v>0.66958527429892989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3"/>
  <sheetViews>
    <sheetView topLeftCell="H1" workbookViewId="0">
      <selection activeCell="R25" sqref="R25"/>
    </sheetView>
  </sheetViews>
  <sheetFormatPr defaultRowHeight="15"/>
  <cols>
    <col min="1" max="1" width="20.42578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3" t="s">
        <v>9</v>
      </c>
      <c r="H1" s="33" t="s">
        <v>6</v>
      </c>
      <c r="I1" s="33" t="s">
        <v>14</v>
      </c>
      <c r="J1" s="33" t="s">
        <v>7</v>
      </c>
      <c r="K1" s="33" t="s">
        <v>8</v>
      </c>
      <c r="L1" s="33" t="s">
        <v>12</v>
      </c>
      <c r="M1" s="33" t="s">
        <v>10</v>
      </c>
      <c r="N1" s="33" t="s">
        <v>16</v>
      </c>
      <c r="O1" s="33" t="s">
        <v>19</v>
      </c>
      <c r="P1" s="33" t="s">
        <v>23</v>
      </c>
      <c r="Q1" s="33" t="s">
        <v>11</v>
      </c>
      <c r="R1" s="33" t="s">
        <v>18</v>
      </c>
      <c r="S1" s="33" t="s">
        <v>25</v>
      </c>
    </row>
    <row r="2" spans="1:19">
      <c r="B2" t="s">
        <v>233</v>
      </c>
      <c r="C2" t="s">
        <v>351</v>
      </c>
      <c r="D2" t="s">
        <v>351</v>
      </c>
      <c r="E2" t="s">
        <v>351</v>
      </c>
      <c r="F2" t="s">
        <v>351</v>
      </c>
      <c r="G2" s="5">
        <v>342026</v>
      </c>
      <c r="H2" s="5">
        <v>95308</v>
      </c>
      <c r="I2" s="5">
        <v>52595</v>
      </c>
      <c r="J2" s="5">
        <v>21285</v>
      </c>
      <c r="K2" s="5">
        <v>3402</v>
      </c>
      <c r="L2" s="5">
        <v>1693</v>
      </c>
      <c r="M2" s="5">
        <v>588.5</v>
      </c>
      <c r="N2" s="5">
        <v>141.05000000000001</v>
      </c>
      <c r="O2" s="5">
        <v>3821.5</v>
      </c>
      <c r="P2" s="8">
        <v>0</v>
      </c>
      <c r="Q2" s="8">
        <v>0</v>
      </c>
      <c r="R2" s="8">
        <v>0</v>
      </c>
      <c r="S2" s="8">
        <v>41.36</v>
      </c>
    </row>
    <row r="3" spans="1:19">
      <c r="B3" t="s">
        <v>233</v>
      </c>
      <c r="C3" t="s">
        <v>351</v>
      </c>
      <c r="D3" t="s">
        <v>351</v>
      </c>
      <c r="E3" t="s">
        <v>351</v>
      </c>
      <c r="F3" t="s">
        <v>351</v>
      </c>
      <c r="G3" s="5">
        <v>344058</v>
      </c>
      <c r="H3" s="5">
        <v>95645</v>
      </c>
      <c r="I3" s="5">
        <v>52528.5</v>
      </c>
      <c r="J3" s="5">
        <v>21366.5</v>
      </c>
      <c r="K3" s="5">
        <v>3402.5</v>
      </c>
      <c r="L3" s="5">
        <v>1672</v>
      </c>
      <c r="M3" s="5">
        <v>626.75</v>
      </c>
      <c r="N3" s="5">
        <v>140.44999999999999</v>
      </c>
      <c r="O3" s="5">
        <v>3898</v>
      </c>
      <c r="P3" s="8">
        <v>19.600000000000001</v>
      </c>
      <c r="Q3" s="8">
        <v>0</v>
      </c>
      <c r="R3" s="8">
        <v>0</v>
      </c>
      <c r="S3" s="8">
        <v>0</v>
      </c>
    </row>
    <row r="4" spans="1:19">
      <c r="B4" t="s">
        <v>233</v>
      </c>
      <c r="C4" t="s">
        <v>351</v>
      </c>
      <c r="D4" t="s">
        <v>351</v>
      </c>
      <c r="E4" t="s">
        <v>351</v>
      </c>
      <c r="F4" t="s">
        <v>351</v>
      </c>
      <c r="G4" s="5">
        <v>336033.5</v>
      </c>
      <c r="H4" s="5">
        <v>92214</v>
      </c>
      <c r="I4" s="5">
        <v>55951.5</v>
      </c>
      <c r="J4" s="5">
        <v>20285.5</v>
      </c>
      <c r="K4" s="5">
        <v>4483</v>
      </c>
      <c r="L4" s="5">
        <v>1170.5</v>
      </c>
      <c r="M4" s="5">
        <v>881.45</v>
      </c>
      <c r="N4" s="5">
        <v>166.3</v>
      </c>
      <c r="O4" s="5">
        <v>1294</v>
      </c>
      <c r="P4" s="8">
        <v>35.57</v>
      </c>
      <c r="Q4" s="5">
        <v>299.60000000000002</v>
      </c>
      <c r="R4" s="8">
        <v>0</v>
      </c>
      <c r="S4" s="8">
        <v>50.42</v>
      </c>
    </row>
    <row r="5" spans="1:19">
      <c r="G5" s="5">
        <v>337986</v>
      </c>
      <c r="H5" s="5">
        <v>117806</v>
      </c>
      <c r="I5" s="5">
        <v>32177</v>
      </c>
      <c r="J5" s="5">
        <v>25230</v>
      </c>
      <c r="K5" s="5">
        <v>4030</v>
      </c>
      <c r="L5" s="5">
        <v>597.1</v>
      </c>
      <c r="M5" s="5">
        <v>670.6</v>
      </c>
      <c r="N5" s="5">
        <v>127.2</v>
      </c>
      <c r="O5" s="5">
        <v>2695</v>
      </c>
      <c r="P5" s="8">
        <v>30.103333333333335</v>
      </c>
      <c r="Q5" s="8">
        <v>0</v>
      </c>
      <c r="R5" s="8">
        <v>0</v>
      </c>
      <c r="S5" s="8">
        <v>46.33</v>
      </c>
    </row>
    <row r="6" spans="1:19">
      <c r="G6" s="6">
        <v>330778</v>
      </c>
      <c r="H6" s="6">
        <v>99750.666666666672</v>
      </c>
      <c r="I6" s="6">
        <v>48584.333333333336</v>
      </c>
      <c r="J6" s="6">
        <v>21811</v>
      </c>
      <c r="K6" s="6">
        <v>3467.6666666666665</v>
      </c>
      <c r="L6" s="6">
        <v>750.59999999999991</v>
      </c>
      <c r="M6" s="6">
        <v>939.5</v>
      </c>
      <c r="N6" s="6">
        <v>136.55000000000001</v>
      </c>
      <c r="O6" s="6">
        <v>4251.333333333333</v>
      </c>
      <c r="P6" s="12">
        <v>15.58</v>
      </c>
      <c r="Q6" s="6">
        <v>180.4</v>
      </c>
      <c r="R6" s="12">
        <v>97.284999999999997</v>
      </c>
      <c r="S6" s="12">
        <v>0</v>
      </c>
    </row>
    <row r="7" spans="1:19">
      <c r="G7" s="5">
        <v>344918.5</v>
      </c>
      <c r="H7" s="5">
        <v>95896</v>
      </c>
      <c r="I7" s="5">
        <v>51514</v>
      </c>
      <c r="J7" s="5">
        <v>21418.5</v>
      </c>
      <c r="K7" s="5">
        <v>3348.5</v>
      </c>
      <c r="L7" s="5">
        <v>1624.5</v>
      </c>
      <c r="M7" s="5">
        <v>649.79999999999995</v>
      </c>
      <c r="N7" s="5">
        <v>138.19999999999999</v>
      </c>
      <c r="O7" s="5">
        <v>3664.5</v>
      </c>
      <c r="P7" s="8">
        <v>0</v>
      </c>
      <c r="Q7" s="8">
        <v>0</v>
      </c>
      <c r="R7" s="8">
        <v>0</v>
      </c>
      <c r="S7" s="8">
        <v>39.479999999999997</v>
      </c>
    </row>
    <row r="8" spans="1:19">
      <c r="G8" s="5">
        <v>344492</v>
      </c>
      <c r="H8" s="5">
        <v>96024</v>
      </c>
      <c r="I8" s="5">
        <v>51973</v>
      </c>
      <c r="J8" s="5">
        <v>21476</v>
      </c>
      <c r="K8" s="5">
        <v>3382.5</v>
      </c>
      <c r="L8" s="5">
        <v>1747.5</v>
      </c>
      <c r="M8" s="5">
        <v>561.70000000000005</v>
      </c>
      <c r="N8" s="5">
        <v>131.4</v>
      </c>
      <c r="O8" s="5">
        <v>3739.5</v>
      </c>
      <c r="P8" s="8">
        <v>0</v>
      </c>
      <c r="Q8" s="8">
        <v>0</v>
      </c>
      <c r="R8" s="8">
        <v>0</v>
      </c>
      <c r="S8" s="8">
        <v>48.575000000000003</v>
      </c>
    </row>
    <row r="9" spans="1:19">
      <c r="G9" s="5">
        <v>331471</v>
      </c>
      <c r="H9" s="5">
        <v>117585.5</v>
      </c>
      <c r="I9" s="5">
        <v>35682.5</v>
      </c>
      <c r="J9" s="5">
        <v>25365.5</v>
      </c>
      <c r="K9" s="5">
        <v>3825.5</v>
      </c>
      <c r="L9" s="5">
        <v>662.85</v>
      </c>
      <c r="M9" s="5">
        <v>645.90000000000009</v>
      </c>
      <c r="N9" s="5">
        <v>118.85</v>
      </c>
      <c r="O9" s="5">
        <v>3296</v>
      </c>
      <c r="P9" s="8">
        <v>25.645</v>
      </c>
      <c r="Q9" s="8">
        <v>0</v>
      </c>
      <c r="R9" s="8">
        <v>52.85</v>
      </c>
      <c r="S9" s="8">
        <v>66.42</v>
      </c>
    </row>
    <row r="10" spans="1:19">
      <c r="G10" s="6">
        <v>333202.5</v>
      </c>
      <c r="H10" s="6">
        <v>98223</v>
      </c>
      <c r="I10" s="6">
        <v>53206</v>
      </c>
      <c r="J10" s="6">
        <v>21028.5</v>
      </c>
      <c r="K10" s="6">
        <v>3707</v>
      </c>
      <c r="L10" s="6">
        <v>820.4</v>
      </c>
      <c r="M10" s="6">
        <v>945.95</v>
      </c>
      <c r="N10" s="6">
        <v>138.75</v>
      </c>
      <c r="O10" s="6">
        <v>5371</v>
      </c>
      <c r="P10" s="12">
        <v>0</v>
      </c>
      <c r="Q10" s="12">
        <v>0</v>
      </c>
      <c r="R10" s="12">
        <v>86.25</v>
      </c>
      <c r="S10" s="12">
        <v>47.305</v>
      </c>
    </row>
    <row r="11" spans="1:19">
      <c r="G11" s="5">
        <v>343493</v>
      </c>
      <c r="H11" s="5">
        <v>96186</v>
      </c>
      <c r="I11" s="5">
        <v>51956.5</v>
      </c>
      <c r="J11" s="5">
        <v>21335.5</v>
      </c>
      <c r="K11" s="5">
        <v>3361</v>
      </c>
      <c r="L11" s="5">
        <v>1677</v>
      </c>
      <c r="M11" s="5">
        <v>530</v>
      </c>
      <c r="N11" s="5">
        <v>134.19999999999999</v>
      </c>
      <c r="O11" s="5">
        <v>3682.5</v>
      </c>
      <c r="P11" s="8">
        <v>0</v>
      </c>
      <c r="Q11" s="8">
        <v>0</v>
      </c>
      <c r="R11" s="8">
        <v>0</v>
      </c>
      <c r="S11" s="8">
        <v>34.979999999999997</v>
      </c>
    </row>
    <row r="12" spans="1:19">
      <c r="G12" s="5">
        <v>345261.5</v>
      </c>
      <c r="H12" s="5">
        <v>96938</v>
      </c>
      <c r="I12" s="5">
        <v>50139</v>
      </c>
      <c r="J12" s="5">
        <v>21429</v>
      </c>
      <c r="K12" s="5">
        <v>3512</v>
      </c>
      <c r="L12" s="5">
        <v>1637</v>
      </c>
      <c r="M12" s="5">
        <v>679.45</v>
      </c>
      <c r="N12" s="5">
        <v>118.25</v>
      </c>
      <c r="O12" s="5">
        <v>3405.5</v>
      </c>
      <c r="P12" s="8">
        <v>0</v>
      </c>
      <c r="Q12" s="8">
        <v>0</v>
      </c>
      <c r="R12" s="8">
        <v>0</v>
      </c>
      <c r="S12" s="8">
        <v>48.3</v>
      </c>
    </row>
    <row r="13" spans="1:19">
      <c r="G13" s="6">
        <v>317193</v>
      </c>
      <c r="H13" s="6">
        <v>135256.5</v>
      </c>
      <c r="I13" s="6">
        <v>30190.5</v>
      </c>
      <c r="J13" s="6">
        <v>28964.5</v>
      </c>
      <c r="K13" s="6">
        <v>3700</v>
      </c>
      <c r="L13" s="6">
        <v>670.90000000000009</v>
      </c>
      <c r="M13" s="6">
        <v>502.8</v>
      </c>
      <c r="N13" s="6">
        <v>107.64</v>
      </c>
      <c r="O13" s="6">
        <v>3154.5</v>
      </c>
      <c r="P13" s="12">
        <v>28.774999999999999</v>
      </c>
      <c r="Q13" s="6">
        <v>244.3</v>
      </c>
      <c r="R13" s="12">
        <v>55.6</v>
      </c>
      <c r="S13" s="12">
        <v>47.42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11"/>
  <sheetViews>
    <sheetView workbookViewId="0">
      <selection activeCell="E12" sqref="E12:X15"/>
    </sheetView>
  </sheetViews>
  <sheetFormatPr defaultRowHeight="15"/>
  <cols>
    <col min="7" max="7" width="10.5703125" bestFit="1" customWidth="1"/>
    <col min="9" max="9" width="9.5703125" bestFit="1" customWidth="1"/>
    <col min="11" max="11" width="13.7109375" bestFit="1" customWidth="1"/>
  </cols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3" t="s">
        <v>9</v>
      </c>
      <c r="H1" s="33" t="s">
        <v>6</v>
      </c>
      <c r="I1" s="33" t="s">
        <v>14</v>
      </c>
      <c r="J1" s="33" t="s">
        <v>7</v>
      </c>
      <c r="K1" s="33" t="s">
        <v>8</v>
      </c>
      <c r="L1" s="33" t="s">
        <v>12</v>
      </c>
      <c r="M1" s="33" t="s">
        <v>10</v>
      </c>
      <c r="N1" s="33" t="s">
        <v>16</v>
      </c>
      <c r="O1" s="33" t="s">
        <v>19</v>
      </c>
      <c r="P1" s="33" t="s">
        <v>23</v>
      </c>
      <c r="Q1" s="33" t="s">
        <v>11</v>
      </c>
      <c r="R1" s="33" t="s">
        <v>18</v>
      </c>
      <c r="S1" s="33" t="s">
        <v>25</v>
      </c>
    </row>
    <row r="2" spans="1:54">
      <c r="A2" s="39" t="s">
        <v>369</v>
      </c>
      <c r="B2" t="s">
        <v>368</v>
      </c>
      <c r="C2" t="s">
        <v>351</v>
      </c>
      <c r="D2" t="s">
        <v>351</v>
      </c>
      <c r="E2" t="s">
        <v>351</v>
      </c>
      <c r="F2" t="s">
        <v>351</v>
      </c>
      <c r="G2" s="39">
        <v>322270.87950224854</v>
      </c>
      <c r="H2">
        <v>0</v>
      </c>
      <c r="I2" s="39">
        <v>56813.622494442236</v>
      </c>
      <c r="J2">
        <v>0</v>
      </c>
      <c r="K2" s="39">
        <v>2675.6246970580041</v>
      </c>
      <c r="L2" s="39">
        <v>463.45768596843101</v>
      </c>
      <c r="M2" s="41">
        <v>0</v>
      </c>
      <c r="N2" s="39">
        <v>162.79593201044915</v>
      </c>
      <c r="O2" s="39">
        <v>5477.5349196435836</v>
      </c>
      <c r="P2" s="41">
        <v>0</v>
      </c>
      <c r="Q2" s="41">
        <v>0</v>
      </c>
      <c r="R2" s="41">
        <v>0</v>
      </c>
      <c r="S2" s="41">
        <v>0</v>
      </c>
    </row>
    <row r="3" spans="1:54">
      <c r="A3" s="39" t="s">
        <v>370</v>
      </c>
      <c r="B3" t="s">
        <v>368</v>
      </c>
      <c r="C3" t="s">
        <v>351</v>
      </c>
      <c r="D3" t="s">
        <v>351</v>
      </c>
      <c r="E3" t="s">
        <v>351</v>
      </c>
      <c r="F3" t="s">
        <v>351</v>
      </c>
      <c r="G3" s="39">
        <v>321564.92710571201</v>
      </c>
      <c r="H3">
        <v>0</v>
      </c>
      <c r="I3" s="39">
        <v>57445.965836754498</v>
      </c>
      <c r="J3">
        <v>0</v>
      </c>
      <c r="K3" s="39">
        <v>2958.6872605370399</v>
      </c>
      <c r="L3" s="39">
        <v>2090.9584226639299</v>
      </c>
      <c r="M3" s="41">
        <v>0</v>
      </c>
      <c r="N3" s="39">
        <v>152.852808972508</v>
      </c>
      <c r="O3" s="39">
        <v>3524.0325300960099</v>
      </c>
      <c r="P3" s="41">
        <v>0</v>
      </c>
      <c r="Q3" s="41">
        <v>0</v>
      </c>
      <c r="R3" s="41">
        <v>0</v>
      </c>
      <c r="S3" s="41">
        <v>0</v>
      </c>
    </row>
    <row r="4" spans="1:54">
      <c r="A4" s="39" t="s">
        <v>371</v>
      </c>
      <c r="B4" t="s">
        <v>368</v>
      </c>
      <c r="C4" t="s">
        <v>351</v>
      </c>
      <c r="D4" t="s">
        <v>351</v>
      </c>
      <c r="E4" t="s">
        <v>351</v>
      </c>
      <c r="F4" t="s">
        <v>351</v>
      </c>
      <c r="G4" s="39">
        <v>323536.562567338</v>
      </c>
      <c r="H4">
        <v>0</v>
      </c>
      <c r="I4" s="39">
        <v>61819.789345548503</v>
      </c>
      <c r="J4">
        <v>0</v>
      </c>
      <c r="K4" s="39">
        <v>2745.9854538187901</v>
      </c>
      <c r="L4" s="39">
        <v>1117.47390871982</v>
      </c>
      <c r="M4" s="41">
        <v>0</v>
      </c>
      <c r="N4" s="39">
        <v>167.82837662523599</v>
      </c>
      <c r="O4" s="39">
        <v>5183.8644068998701</v>
      </c>
      <c r="P4" s="41">
        <v>0</v>
      </c>
      <c r="Q4" s="41">
        <v>0</v>
      </c>
      <c r="R4" s="41">
        <v>0</v>
      </c>
      <c r="S4" s="41">
        <v>0</v>
      </c>
    </row>
    <row r="7" spans="1:54">
      <c r="B7" s="38"/>
      <c r="C7" s="38"/>
      <c r="D7" s="38"/>
      <c r="E7" s="38"/>
      <c r="F7" s="38"/>
      <c r="G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</row>
    <row r="8" spans="1:54">
      <c r="B8" s="38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</row>
    <row r="9" spans="1:54"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U9" s="39"/>
      <c r="V9" s="39"/>
      <c r="W9" s="39"/>
      <c r="Y9" s="39"/>
      <c r="Z9" s="39"/>
      <c r="AA9" s="39"/>
      <c r="AC9" s="39"/>
      <c r="AD9" s="39"/>
      <c r="AE9" s="39"/>
      <c r="AF9" s="39"/>
      <c r="AG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40"/>
      <c r="AW9" s="37"/>
      <c r="AX9" s="37"/>
      <c r="AY9" s="37"/>
      <c r="AZ9" s="37"/>
      <c r="BA9" s="37"/>
      <c r="BB9" s="37"/>
    </row>
    <row r="10" spans="1:54">
      <c r="B10" s="39"/>
      <c r="C10" s="39"/>
      <c r="D10" s="39"/>
      <c r="E10" s="39"/>
      <c r="F10" s="39"/>
      <c r="G10" s="39"/>
      <c r="H10" s="39"/>
      <c r="I10" s="39"/>
      <c r="J10" s="39"/>
      <c r="K10" s="39"/>
      <c r="M10" s="39"/>
      <c r="O10" s="39"/>
      <c r="P10" s="39"/>
      <c r="Q10" s="39"/>
      <c r="R10" s="39"/>
      <c r="S10" s="39"/>
      <c r="U10" s="39"/>
      <c r="V10" s="39"/>
      <c r="W10" s="39"/>
      <c r="Y10" s="39"/>
      <c r="Z10" s="39"/>
      <c r="AA10" s="39"/>
      <c r="AC10" s="39"/>
      <c r="AD10" s="39"/>
      <c r="AE10" s="39"/>
      <c r="AF10" s="39"/>
      <c r="AG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40"/>
      <c r="AW10" s="37"/>
      <c r="AX10" s="37"/>
      <c r="AY10" s="37"/>
      <c r="AZ10" s="37"/>
      <c r="BA10" s="37"/>
      <c r="BB10" s="37"/>
    </row>
    <row r="11" spans="1:54">
      <c r="B11" s="39"/>
      <c r="C11" s="39"/>
      <c r="D11" s="39"/>
      <c r="E11" s="39"/>
      <c r="F11" s="39"/>
      <c r="G11" s="39"/>
      <c r="H11" s="39"/>
      <c r="I11" s="39"/>
      <c r="J11" s="39"/>
      <c r="K11" s="39"/>
      <c r="M11" s="39"/>
      <c r="O11" s="39"/>
      <c r="P11" s="39"/>
      <c r="Q11" s="39"/>
      <c r="R11" s="39"/>
      <c r="S11" s="39"/>
      <c r="U11" s="39"/>
      <c r="V11" s="39"/>
      <c r="W11" s="39"/>
      <c r="Y11" s="39"/>
      <c r="Z11" s="39"/>
      <c r="AA11" s="39"/>
      <c r="AC11" s="39"/>
      <c r="AD11" s="39"/>
      <c r="AE11" s="39"/>
      <c r="AF11" s="39"/>
      <c r="AG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40"/>
      <c r="AW11" s="37"/>
      <c r="AX11" s="37"/>
      <c r="AY11" s="37"/>
      <c r="AZ11" s="37"/>
      <c r="BA11" s="37"/>
      <c r="BB11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BV92"/>
  <sheetViews>
    <sheetView zoomScale="70" zoomScaleNormal="70" workbookViewId="0">
      <selection activeCell="P14" sqref="P14"/>
    </sheetView>
  </sheetViews>
  <sheetFormatPr defaultRowHeight="15"/>
  <cols>
    <col min="1" max="1" width="10.28515625" bestFit="1" customWidth="1"/>
    <col min="2" max="2" width="10.140625" bestFit="1" customWidth="1"/>
    <col min="3" max="4" width="10" customWidth="1"/>
    <col min="5" max="5" width="10" style="1" customWidth="1"/>
    <col min="6" max="28" width="10" customWidth="1"/>
    <col min="29" max="51" width="9.140625" customWidth="1"/>
  </cols>
  <sheetData>
    <row r="1" spans="1:74">
      <c r="A1" t="s">
        <v>0</v>
      </c>
      <c r="B1" t="s">
        <v>127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tr">
        <f>CONCATENATE(F1,"_IRB")</f>
        <v>NaK_IRB</v>
      </c>
      <c r="AD1" t="str">
        <f t="shared" ref="AD1:AY1" si="0">CONCATENATE(G1,"_IRB")</f>
        <v>MgK_IRB</v>
      </c>
      <c r="AE1" t="str">
        <f t="shared" si="0"/>
        <v>AlK_IRB</v>
      </c>
      <c r="AF1" t="str">
        <f t="shared" si="0"/>
        <v>SiK_IRB</v>
      </c>
      <c r="AG1" t="str">
        <f t="shared" si="0"/>
        <v>S K_IRB</v>
      </c>
      <c r="AH1" t="str">
        <f t="shared" si="0"/>
        <v>ClK_IRB</v>
      </c>
      <c r="AI1" t="str">
        <f t="shared" si="0"/>
        <v>K KA_IRB</v>
      </c>
      <c r="AJ1" t="str">
        <f t="shared" si="0"/>
        <v>K KB_IRB</v>
      </c>
      <c r="AK1" t="str">
        <f t="shared" si="0"/>
        <v>CaKA_IRB</v>
      </c>
      <c r="AL1" t="str">
        <f t="shared" si="0"/>
        <v>CaKB_IRB</v>
      </c>
      <c r="AM1" t="str">
        <f t="shared" si="0"/>
        <v>TiK_IRB</v>
      </c>
      <c r="AN1" t="str">
        <f t="shared" si="0"/>
        <v>CrK_IRB</v>
      </c>
      <c r="AO1" t="str">
        <f t="shared" si="0"/>
        <v>MnK_IRB</v>
      </c>
      <c r="AP1" t="str">
        <f t="shared" si="0"/>
        <v>FeK_IRB</v>
      </c>
      <c r="AQ1" t="str">
        <f t="shared" si="0"/>
        <v>CoKA_IRB</v>
      </c>
      <c r="AR1" t="str">
        <f t="shared" si="0"/>
        <v>CuKA_IRB</v>
      </c>
      <c r="AS1" t="str">
        <f t="shared" si="0"/>
        <v>CuKB_IRB</v>
      </c>
      <c r="AT1" t="str">
        <f t="shared" si="0"/>
        <v>ZnKA_IRB</v>
      </c>
      <c r="AU1" t="str">
        <f t="shared" si="0"/>
        <v>ZnKB_IRB</v>
      </c>
      <c r="AV1" t="str">
        <f t="shared" si="0"/>
        <v>SrK_IRB</v>
      </c>
      <c r="AW1" t="str">
        <f t="shared" si="0"/>
        <v>SnL1_IRB</v>
      </c>
      <c r="AX1" t="str">
        <f t="shared" si="0"/>
        <v>SnL2_IRB</v>
      </c>
      <c r="AY1" t="str">
        <f t="shared" si="0"/>
        <v>SnL3_IRB</v>
      </c>
      <c r="AZ1" t="str">
        <f>CONCATENATE(F1,"_HU")</f>
        <v>NaK_HU</v>
      </c>
      <c r="BA1" t="str">
        <f t="shared" ref="BA1:BV1" si="1">CONCATENATE(G1,"_HU")</f>
        <v>MgK_HU</v>
      </c>
      <c r="BB1" t="str">
        <f t="shared" si="1"/>
        <v>AlK_HU</v>
      </c>
      <c r="BC1" t="str">
        <f t="shared" si="1"/>
        <v>SiK_HU</v>
      </c>
      <c r="BD1" t="str">
        <f t="shared" si="1"/>
        <v>S K_HU</v>
      </c>
      <c r="BE1" t="str">
        <f t="shared" si="1"/>
        <v>ClK_HU</v>
      </c>
      <c r="BF1" t="str">
        <f t="shared" si="1"/>
        <v>K KA_HU</v>
      </c>
      <c r="BG1" t="str">
        <f t="shared" si="1"/>
        <v>K KB_HU</v>
      </c>
      <c r="BH1" t="str">
        <f t="shared" si="1"/>
        <v>CaKA_HU</v>
      </c>
      <c r="BI1" t="str">
        <f t="shared" si="1"/>
        <v>CaKB_HU</v>
      </c>
      <c r="BJ1" t="str">
        <f t="shared" si="1"/>
        <v>TiK_HU</v>
      </c>
      <c r="BK1" t="str">
        <f t="shared" si="1"/>
        <v>CrK_HU</v>
      </c>
      <c r="BL1" t="str">
        <f t="shared" si="1"/>
        <v>MnK_HU</v>
      </c>
      <c r="BM1" t="str">
        <f t="shared" si="1"/>
        <v>FeK_HU</v>
      </c>
      <c r="BN1" t="str">
        <f t="shared" si="1"/>
        <v>CoKA_HU</v>
      </c>
      <c r="BO1" t="str">
        <f t="shared" si="1"/>
        <v>CuKA_HU</v>
      </c>
      <c r="BP1" t="str">
        <f t="shared" si="1"/>
        <v>CuKB_HU</v>
      </c>
      <c r="BQ1" t="str">
        <f t="shared" si="1"/>
        <v>ZnKA_HU</v>
      </c>
      <c r="BR1" t="str">
        <f t="shared" si="1"/>
        <v>ZnKB_HU</v>
      </c>
      <c r="BS1" t="str">
        <f t="shared" si="1"/>
        <v>SrK_HU</v>
      </c>
      <c r="BT1" t="str">
        <f t="shared" si="1"/>
        <v>SnL1_HU</v>
      </c>
      <c r="BU1" t="str">
        <f t="shared" si="1"/>
        <v>SnL2_HU</v>
      </c>
      <c r="BV1" t="str">
        <f t="shared" si="1"/>
        <v>SnL3_HU</v>
      </c>
    </row>
    <row r="2" spans="1:74">
      <c r="A2" t="str">
        <f>VLOOKUP(D2,info!$A$2:$G$49,3,FALSE)</f>
        <v>Mazda</v>
      </c>
      <c r="B2">
        <v>1</v>
      </c>
      <c r="C2" t="s">
        <v>30</v>
      </c>
      <c r="D2">
        <v>3550828</v>
      </c>
      <c r="E2" s="1" t="s">
        <v>32</v>
      </c>
      <c r="F2">
        <v>107918</v>
      </c>
      <c r="G2">
        <v>29218</v>
      </c>
      <c r="H2">
        <v>9671</v>
      </c>
      <c r="I2">
        <v>354625</v>
      </c>
      <c r="J2">
        <v>575.6</v>
      </c>
      <c r="K2">
        <v>316.8</v>
      </c>
      <c r="L2">
        <v>6087</v>
      </c>
      <c r="M2">
        <v>34019</v>
      </c>
      <c r="N2">
        <v>61127</v>
      </c>
      <c r="O2">
        <v>55469</v>
      </c>
      <c r="P2">
        <v>181.2</v>
      </c>
      <c r="Q2">
        <v>291.7</v>
      </c>
      <c r="R2">
        <v>76.89</v>
      </c>
      <c r="S2">
        <v>3678</v>
      </c>
      <c r="T2">
        <v>30.85</v>
      </c>
      <c r="U2">
        <v>5.8710000000000004</v>
      </c>
      <c r="V2">
        <v>3.8929999999999998</v>
      </c>
      <c r="W2">
        <v>22.42</v>
      </c>
      <c r="X2">
        <v>8.56</v>
      </c>
      <c r="Y2">
        <v>17.66</v>
      </c>
      <c r="Z2">
        <v>6942</v>
      </c>
      <c r="AA2">
        <v>31241</v>
      </c>
      <c r="AB2">
        <v>3973</v>
      </c>
      <c r="AC2" s="5">
        <v>99530.9</v>
      </c>
      <c r="AD2" s="5">
        <v>23087.3</v>
      </c>
      <c r="AE2" s="5">
        <v>6509.8</v>
      </c>
      <c r="AF2" s="5">
        <v>332230</v>
      </c>
      <c r="AG2" s="5">
        <v>829.8</v>
      </c>
      <c r="AH2" s="5"/>
      <c r="AI2" s="5">
        <v>5615.9</v>
      </c>
      <c r="AK2" s="5">
        <v>53470.3</v>
      </c>
      <c r="AM2" s="5"/>
      <c r="AN2" s="5">
        <v>501.3</v>
      </c>
      <c r="AO2" s="8">
        <v>51.4</v>
      </c>
      <c r="AP2" s="5">
        <v>3338.3</v>
      </c>
      <c r="AV2" s="8"/>
      <c r="AZ2" s="28"/>
      <c r="BA2" s="29"/>
      <c r="BB2" s="29">
        <v>2177.17</v>
      </c>
      <c r="BC2" s="29">
        <v>426419.85</v>
      </c>
      <c r="BD2" s="29">
        <v>1670.24</v>
      </c>
      <c r="BE2" s="29">
        <v>147.06</v>
      </c>
      <c r="BF2" s="29">
        <v>39637.129999999997</v>
      </c>
      <c r="BG2" s="29"/>
      <c r="BH2" s="29">
        <v>531909.17000000004</v>
      </c>
      <c r="BI2" s="29"/>
      <c r="BJ2" s="29">
        <v>1396.21</v>
      </c>
      <c r="BK2" s="29">
        <v>25.31</v>
      </c>
      <c r="BL2" s="29">
        <v>474.85</v>
      </c>
      <c r="BM2" s="29">
        <v>15700.21</v>
      </c>
      <c r="BN2" s="29">
        <v>609.38</v>
      </c>
      <c r="BO2" s="29"/>
      <c r="BP2" s="29"/>
      <c r="BQ2" s="29"/>
      <c r="BR2" s="29"/>
      <c r="BS2" s="28"/>
      <c r="BT2" s="29">
        <v>3236.21</v>
      </c>
      <c r="BU2" s="29">
        <v>4991.6000000000004</v>
      </c>
      <c r="BV2" s="29">
        <v>794.4</v>
      </c>
    </row>
    <row r="3" spans="1:74">
      <c r="A3" t="str">
        <f>VLOOKUP(D3,info!$A$2:$G$49,3,FALSE)</f>
        <v>Mazda</v>
      </c>
      <c r="B3">
        <v>2</v>
      </c>
      <c r="C3" t="s">
        <v>30</v>
      </c>
      <c r="D3">
        <v>3550828</v>
      </c>
      <c r="E3" s="1" t="s">
        <v>34</v>
      </c>
      <c r="F3">
        <v>109257</v>
      </c>
      <c r="G3">
        <v>29082</v>
      </c>
      <c r="H3">
        <v>9318</v>
      </c>
      <c r="I3">
        <v>358228</v>
      </c>
      <c r="J3">
        <v>577</v>
      </c>
      <c r="K3">
        <v>218.6</v>
      </c>
      <c r="L3">
        <v>5844</v>
      </c>
      <c r="M3">
        <v>32669</v>
      </c>
      <c r="N3">
        <v>61719</v>
      </c>
      <c r="O3">
        <v>55688</v>
      </c>
      <c r="P3">
        <v>187.2</v>
      </c>
      <c r="Q3">
        <v>349.1</v>
      </c>
      <c r="R3">
        <v>90.81</v>
      </c>
      <c r="S3">
        <v>3968</v>
      </c>
      <c r="T3">
        <v>22.17</v>
      </c>
      <c r="U3">
        <v>10.67</v>
      </c>
      <c r="V3">
        <v>0</v>
      </c>
      <c r="W3">
        <v>33.869999999999997</v>
      </c>
      <c r="X3">
        <v>24.43</v>
      </c>
      <c r="Y3">
        <v>22.67</v>
      </c>
      <c r="Z3">
        <v>10255</v>
      </c>
      <c r="AA3">
        <v>28940</v>
      </c>
      <c r="AB3">
        <v>3724</v>
      </c>
      <c r="AC3" s="5">
        <v>99189.8</v>
      </c>
      <c r="AD3" s="5">
        <v>22585.5</v>
      </c>
      <c r="AE3" s="5">
        <v>6425.4</v>
      </c>
      <c r="AF3" s="5">
        <v>333663.3</v>
      </c>
      <c r="AG3" s="5">
        <v>816.9</v>
      </c>
      <c r="AH3" s="5"/>
      <c r="AI3" s="5">
        <v>5439</v>
      </c>
      <c r="AK3" s="5">
        <v>53762.3</v>
      </c>
      <c r="AM3" s="5">
        <v>212.3</v>
      </c>
      <c r="AN3" s="5">
        <v>525.20000000000005</v>
      </c>
      <c r="AO3" s="8">
        <v>59.6</v>
      </c>
      <c r="AP3" s="5">
        <v>3234.2</v>
      </c>
      <c r="AV3" s="8"/>
      <c r="AZ3" s="28"/>
      <c r="BA3" s="29"/>
      <c r="BB3" s="29">
        <v>2216.34</v>
      </c>
      <c r="BC3" s="29">
        <v>439066.83</v>
      </c>
      <c r="BD3" s="29">
        <v>1598.96</v>
      </c>
      <c r="BE3" s="29">
        <v>209.76</v>
      </c>
      <c r="BF3" s="29">
        <v>39221.629999999997</v>
      </c>
      <c r="BG3" s="29"/>
      <c r="BH3" s="29">
        <v>559690.63</v>
      </c>
      <c r="BI3" s="29"/>
      <c r="BJ3" s="29">
        <v>1339.59</v>
      </c>
      <c r="BK3" s="29">
        <v>173.01</v>
      </c>
      <c r="BL3" s="29">
        <v>506.14</v>
      </c>
      <c r="BM3" s="29">
        <v>23076.93</v>
      </c>
      <c r="BN3" s="29">
        <v>468.9</v>
      </c>
      <c r="BO3" s="29"/>
      <c r="BP3" s="29"/>
      <c r="BQ3" s="29"/>
      <c r="BR3" s="29"/>
      <c r="BS3" s="28"/>
      <c r="BT3" s="29">
        <v>3012.47</v>
      </c>
      <c r="BU3" s="29">
        <v>6077.23</v>
      </c>
      <c r="BV3" s="29">
        <v>180.55</v>
      </c>
    </row>
    <row r="4" spans="1:74">
      <c r="A4" t="str">
        <f>VLOOKUP(D4,info!$A$2:$G$49,3,FALSE)</f>
        <v>Mazda</v>
      </c>
      <c r="B4">
        <v>3</v>
      </c>
      <c r="C4" t="s">
        <v>30</v>
      </c>
      <c r="D4">
        <v>3550828</v>
      </c>
      <c r="E4" s="1" t="s">
        <v>34</v>
      </c>
      <c r="F4">
        <v>118923</v>
      </c>
      <c r="G4">
        <v>30661</v>
      </c>
      <c r="H4">
        <v>9702</v>
      </c>
      <c r="I4">
        <v>368493</v>
      </c>
      <c r="J4">
        <v>597.29999999999995</v>
      </c>
      <c r="K4">
        <v>191.1</v>
      </c>
      <c r="L4">
        <v>5958</v>
      </c>
      <c r="M4">
        <v>34131</v>
      </c>
      <c r="N4">
        <v>62099</v>
      </c>
      <c r="O4">
        <v>56355</v>
      </c>
      <c r="P4">
        <v>187.6</v>
      </c>
      <c r="Q4">
        <v>216.2</v>
      </c>
      <c r="R4">
        <v>81.27</v>
      </c>
      <c r="S4">
        <v>3402</v>
      </c>
      <c r="T4">
        <v>13.61</v>
      </c>
      <c r="U4">
        <v>4.3689999999999998</v>
      </c>
      <c r="V4">
        <v>4.6769999999999996</v>
      </c>
      <c r="W4">
        <v>23.66</v>
      </c>
      <c r="X4">
        <v>10.56</v>
      </c>
      <c r="Y4">
        <v>40.33</v>
      </c>
      <c r="Z4">
        <v>10081</v>
      </c>
      <c r="AA4">
        <v>30973</v>
      </c>
      <c r="AB4">
        <v>4043</v>
      </c>
      <c r="AC4" s="5">
        <v>98045.5</v>
      </c>
      <c r="AD4" s="5">
        <v>22996.2</v>
      </c>
      <c r="AE4" s="5">
        <v>6618.1</v>
      </c>
      <c r="AF4" s="5">
        <v>333481.3</v>
      </c>
      <c r="AG4" s="5">
        <v>837.1</v>
      </c>
      <c r="AH4" s="5"/>
      <c r="AI4" s="5">
        <v>5315.7</v>
      </c>
      <c r="AK4" s="5">
        <v>53097.8</v>
      </c>
      <c r="AM4" s="5">
        <v>228</v>
      </c>
      <c r="AN4" s="5">
        <v>486.8</v>
      </c>
      <c r="AO4" s="8">
        <v>62.6</v>
      </c>
      <c r="AP4" s="5">
        <v>3106.5</v>
      </c>
      <c r="AV4" s="8"/>
      <c r="AZ4" s="28"/>
      <c r="BA4" s="29"/>
      <c r="BB4" s="29">
        <v>2250.58</v>
      </c>
      <c r="BC4" s="29">
        <v>396148.82</v>
      </c>
      <c r="BD4" s="29">
        <v>1626.06</v>
      </c>
      <c r="BE4" s="29">
        <v>81.400000000000006</v>
      </c>
      <c r="BF4" s="29">
        <v>35292.9</v>
      </c>
      <c r="BG4" s="29"/>
      <c r="BH4" s="29">
        <v>498205.06</v>
      </c>
      <c r="BI4" s="29"/>
      <c r="BJ4" s="29">
        <v>1099.6300000000001</v>
      </c>
      <c r="BK4" s="29">
        <v>73.17</v>
      </c>
      <c r="BL4" s="29">
        <v>407.89</v>
      </c>
      <c r="BM4" s="29">
        <v>20290.509999999998</v>
      </c>
      <c r="BN4" s="29">
        <v>524.33000000000004</v>
      </c>
      <c r="BO4" s="29"/>
      <c r="BP4" s="29"/>
      <c r="BQ4" s="29"/>
      <c r="BR4" s="29"/>
      <c r="BS4" s="28"/>
      <c r="BT4" s="29">
        <v>2630.44</v>
      </c>
      <c r="BU4" s="29">
        <v>5172.29</v>
      </c>
      <c r="BV4" s="29">
        <v>30.64</v>
      </c>
    </row>
    <row r="5" spans="1:74">
      <c r="A5" t="str">
        <f>VLOOKUP(D5,info!$A$2:$G$49,3,FALSE)</f>
        <v>Peugeot</v>
      </c>
      <c r="B5">
        <v>4</v>
      </c>
      <c r="C5" t="s">
        <v>30</v>
      </c>
      <c r="D5">
        <v>9367324</v>
      </c>
      <c r="E5" s="1" t="s">
        <v>32</v>
      </c>
      <c r="F5">
        <v>125580</v>
      </c>
      <c r="G5">
        <v>27236</v>
      </c>
      <c r="H5">
        <v>4452</v>
      </c>
      <c r="I5">
        <v>356948</v>
      </c>
      <c r="J5">
        <v>546.1</v>
      </c>
      <c r="K5">
        <v>233.3</v>
      </c>
      <c r="L5">
        <v>1480</v>
      </c>
      <c r="M5">
        <v>24849</v>
      </c>
      <c r="N5">
        <v>60582</v>
      </c>
      <c r="O5">
        <v>55057</v>
      </c>
      <c r="P5">
        <v>193.8</v>
      </c>
      <c r="Q5">
        <v>81.2</v>
      </c>
      <c r="R5">
        <v>99.5</v>
      </c>
      <c r="S5">
        <v>4461</v>
      </c>
      <c r="T5">
        <v>11.09</v>
      </c>
      <c r="U5">
        <v>5.5919999999999996</v>
      </c>
      <c r="V5">
        <v>0</v>
      </c>
      <c r="W5">
        <v>25.75</v>
      </c>
      <c r="X5">
        <v>27.63</v>
      </c>
      <c r="Y5">
        <v>47.19</v>
      </c>
      <c r="Z5">
        <v>10304</v>
      </c>
      <c r="AA5">
        <v>29804</v>
      </c>
      <c r="AB5">
        <v>2558</v>
      </c>
      <c r="AC5" s="5">
        <v>104655.9</v>
      </c>
      <c r="AD5" s="5">
        <v>20937.599999999999</v>
      </c>
      <c r="AE5" s="5">
        <v>2840.5</v>
      </c>
      <c r="AF5" s="5">
        <v>336572.3</v>
      </c>
      <c r="AG5" s="5">
        <v>860.5</v>
      </c>
      <c r="AH5" s="5"/>
      <c r="AI5" s="5">
        <v>1453.8</v>
      </c>
      <c r="AK5" s="5">
        <v>53436.2</v>
      </c>
      <c r="AM5" s="5">
        <v>189.3</v>
      </c>
      <c r="AN5" s="5">
        <v>455.1</v>
      </c>
      <c r="AO5" s="5">
        <v>102.1</v>
      </c>
      <c r="AP5" s="5">
        <v>5222.5</v>
      </c>
      <c r="AV5" s="8">
        <v>67.7</v>
      </c>
      <c r="AZ5" s="28"/>
      <c r="BA5" s="29"/>
      <c r="BB5" s="29">
        <v>1356.91</v>
      </c>
      <c r="BC5" s="29">
        <v>499306.61</v>
      </c>
      <c r="BD5" s="29">
        <v>2150.3000000000002</v>
      </c>
      <c r="BE5" s="29">
        <v>7.49</v>
      </c>
      <c r="BF5" s="29">
        <v>7466.83</v>
      </c>
      <c r="BG5" s="29"/>
      <c r="BH5" s="29">
        <v>642924</v>
      </c>
      <c r="BI5" s="29"/>
      <c r="BJ5" s="29">
        <v>1499.97</v>
      </c>
      <c r="BK5" s="29">
        <v>278.55</v>
      </c>
      <c r="BL5" s="29">
        <v>939.21</v>
      </c>
      <c r="BM5" s="29">
        <v>41930.07</v>
      </c>
      <c r="BN5" s="29">
        <v>648.6</v>
      </c>
      <c r="BO5" s="29"/>
      <c r="BP5" s="29"/>
      <c r="BQ5" s="29"/>
      <c r="BR5" s="29"/>
      <c r="BS5" s="28"/>
      <c r="BT5" s="29">
        <v>224.64</v>
      </c>
      <c r="BU5" s="29">
        <v>146.43</v>
      </c>
      <c r="BV5" s="29">
        <v>904.67</v>
      </c>
    </row>
    <row r="6" spans="1:74">
      <c r="A6" t="str">
        <f>VLOOKUP(D6,info!$A$2:$G$49,3,FALSE)</f>
        <v>Peugeot</v>
      </c>
      <c r="B6">
        <v>5</v>
      </c>
      <c r="C6" t="s">
        <v>30</v>
      </c>
      <c r="D6">
        <v>9367324</v>
      </c>
      <c r="E6" s="1" t="s">
        <v>32</v>
      </c>
      <c r="F6">
        <v>83854</v>
      </c>
      <c r="G6">
        <v>19619</v>
      </c>
      <c r="H6">
        <v>2036</v>
      </c>
      <c r="I6">
        <v>269736</v>
      </c>
      <c r="J6">
        <v>511.7</v>
      </c>
      <c r="K6">
        <v>133</v>
      </c>
      <c r="L6">
        <v>531.9</v>
      </c>
      <c r="M6">
        <v>17401</v>
      </c>
      <c r="N6">
        <v>50408</v>
      </c>
      <c r="O6">
        <v>46197</v>
      </c>
      <c r="P6">
        <v>52.14</v>
      </c>
      <c r="Q6">
        <v>233.2</v>
      </c>
      <c r="R6">
        <v>97.64</v>
      </c>
      <c r="S6">
        <v>4897</v>
      </c>
      <c r="T6">
        <v>26.32</v>
      </c>
      <c r="U6">
        <v>8.4380000000000006</v>
      </c>
      <c r="V6">
        <v>6.1959999999999997</v>
      </c>
      <c r="W6">
        <v>20.190000000000001</v>
      </c>
      <c r="X6">
        <v>17.329999999999998</v>
      </c>
      <c r="Y6">
        <v>0</v>
      </c>
      <c r="Z6">
        <v>4817</v>
      </c>
      <c r="AA6">
        <v>21078</v>
      </c>
      <c r="AB6">
        <v>1631</v>
      </c>
      <c r="AC6" s="5">
        <v>103177.5</v>
      </c>
      <c r="AD6" s="5">
        <v>20691.8</v>
      </c>
      <c r="AE6" s="5">
        <v>1139.3</v>
      </c>
      <c r="AF6" s="5">
        <v>338956.7</v>
      </c>
      <c r="AG6" s="5">
        <v>1007.7</v>
      </c>
      <c r="AH6" s="5"/>
      <c r="AI6" s="5">
        <v>749.3</v>
      </c>
      <c r="AK6" s="5">
        <v>54378.400000000001</v>
      </c>
      <c r="AM6" s="5"/>
      <c r="AN6" s="5">
        <v>360.8</v>
      </c>
      <c r="AO6" s="8">
        <v>96.5</v>
      </c>
      <c r="AP6" s="5">
        <v>5312.6</v>
      </c>
      <c r="AV6" s="8"/>
      <c r="AZ6" s="28"/>
      <c r="BA6" s="29"/>
      <c r="BB6" s="29">
        <v>752.59</v>
      </c>
      <c r="BC6" s="29">
        <v>549585.11</v>
      </c>
      <c r="BD6" s="29">
        <v>2206.1799999999998</v>
      </c>
      <c r="BE6" s="29">
        <v>7.32</v>
      </c>
      <c r="BF6" s="29">
        <v>662.6</v>
      </c>
      <c r="BG6" s="29"/>
      <c r="BH6" s="29">
        <v>707221.08</v>
      </c>
      <c r="BI6" s="29"/>
      <c r="BJ6" s="29">
        <v>28.71</v>
      </c>
      <c r="BK6" s="29">
        <v>415.34</v>
      </c>
      <c r="BL6" s="29">
        <v>995.93</v>
      </c>
      <c r="BM6" s="29">
        <v>47903.839999999997</v>
      </c>
      <c r="BN6" s="29">
        <v>904.24</v>
      </c>
      <c r="BO6" s="29"/>
      <c r="BP6" s="29"/>
      <c r="BQ6" s="29"/>
      <c r="BR6" s="29"/>
      <c r="BS6" s="28"/>
      <c r="BT6" s="29">
        <v>221.67</v>
      </c>
      <c r="BU6" s="29">
        <v>247.92</v>
      </c>
      <c r="BV6" s="29">
        <v>1840.37</v>
      </c>
    </row>
    <row r="7" spans="1:74">
      <c r="A7" t="str">
        <f>VLOOKUP(D7,info!$A$2:$G$49,3,FALSE)</f>
        <v>Mazda</v>
      </c>
      <c r="B7">
        <v>6</v>
      </c>
      <c r="C7" t="s">
        <v>30</v>
      </c>
      <c r="D7" s="2">
        <v>3550828</v>
      </c>
      <c r="E7" s="1" t="s">
        <v>32</v>
      </c>
      <c r="F7">
        <v>100377</v>
      </c>
      <c r="G7">
        <v>26472</v>
      </c>
      <c r="H7">
        <v>8280</v>
      </c>
      <c r="I7">
        <v>319164</v>
      </c>
      <c r="J7">
        <v>594.5</v>
      </c>
      <c r="K7">
        <v>192.4</v>
      </c>
      <c r="L7">
        <v>5511</v>
      </c>
      <c r="M7">
        <v>30079</v>
      </c>
      <c r="N7">
        <v>56186</v>
      </c>
      <c r="O7">
        <v>51235</v>
      </c>
      <c r="P7">
        <v>184.5</v>
      </c>
      <c r="Q7">
        <v>219</v>
      </c>
      <c r="R7">
        <v>74.14</v>
      </c>
      <c r="S7">
        <v>3317</v>
      </c>
      <c r="T7">
        <v>12.31</v>
      </c>
      <c r="U7">
        <v>7.1470000000000002</v>
      </c>
      <c r="V7">
        <v>0</v>
      </c>
      <c r="W7">
        <v>21.63</v>
      </c>
      <c r="X7">
        <v>19</v>
      </c>
      <c r="Y7">
        <v>21.16</v>
      </c>
      <c r="Z7">
        <v>8799</v>
      </c>
      <c r="AA7">
        <v>25974</v>
      </c>
      <c r="AB7">
        <v>3478</v>
      </c>
      <c r="AC7" s="5">
        <v>98500.1</v>
      </c>
      <c r="AD7" s="5">
        <v>23223</v>
      </c>
      <c r="AE7" s="5">
        <v>6822.8</v>
      </c>
      <c r="AF7" s="5">
        <v>333970.8</v>
      </c>
      <c r="AG7" s="5">
        <v>769.4</v>
      </c>
      <c r="AH7" s="5"/>
      <c r="AI7" s="5">
        <v>5507.7</v>
      </c>
      <c r="AK7" s="5">
        <v>53350.6</v>
      </c>
      <c r="AM7" s="5">
        <v>227.2</v>
      </c>
      <c r="AN7" s="5">
        <v>406.6</v>
      </c>
      <c r="AO7" s="8">
        <v>51.2</v>
      </c>
      <c r="AP7" s="5">
        <v>3298</v>
      </c>
      <c r="AV7" s="8"/>
      <c r="AZ7" s="28"/>
      <c r="BA7" s="29"/>
      <c r="BB7" s="29">
        <v>2962.45</v>
      </c>
      <c r="BC7" s="29">
        <v>580167.75</v>
      </c>
      <c r="BD7" s="29">
        <v>2124.11</v>
      </c>
      <c r="BE7" s="29">
        <v>29.11</v>
      </c>
      <c r="BF7" s="29">
        <v>54780.54</v>
      </c>
      <c r="BG7" s="29"/>
      <c r="BH7" s="29">
        <v>721694.89</v>
      </c>
      <c r="BI7" s="29"/>
      <c r="BJ7" s="29">
        <v>1797.42</v>
      </c>
      <c r="BK7" s="29">
        <v>220.72</v>
      </c>
      <c r="BL7" s="29">
        <v>528.66999999999996</v>
      </c>
      <c r="BM7" s="29">
        <v>28965.13</v>
      </c>
      <c r="BN7" s="29">
        <v>789.85</v>
      </c>
      <c r="BO7" s="29"/>
      <c r="BP7" s="29"/>
      <c r="BQ7" s="29"/>
      <c r="BR7" s="29"/>
      <c r="BS7" s="28"/>
      <c r="BT7" s="29">
        <v>3483.39</v>
      </c>
      <c r="BU7" s="29">
        <v>7706.11</v>
      </c>
      <c r="BV7" s="29">
        <v>324.76</v>
      </c>
    </row>
    <row r="8" spans="1:74">
      <c r="A8" t="str">
        <f>VLOOKUP(D8,info!$A$2:$G$49,3,FALSE)</f>
        <v>Hyundai</v>
      </c>
      <c r="B8">
        <v>7</v>
      </c>
      <c r="C8" t="s">
        <v>30</v>
      </c>
      <c r="D8">
        <v>9540217</v>
      </c>
      <c r="E8" s="1" t="s">
        <v>34</v>
      </c>
      <c r="F8">
        <v>114128</v>
      </c>
      <c r="G8">
        <v>27526</v>
      </c>
      <c r="H8">
        <v>6651</v>
      </c>
      <c r="I8">
        <v>340085</v>
      </c>
      <c r="J8">
        <v>654.79999999999995</v>
      </c>
      <c r="K8">
        <v>258.60000000000002</v>
      </c>
      <c r="L8">
        <v>2969</v>
      </c>
      <c r="M8">
        <v>29918</v>
      </c>
      <c r="N8">
        <v>67195</v>
      </c>
      <c r="O8">
        <v>61019</v>
      </c>
      <c r="P8">
        <v>232.5</v>
      </c>
      <c r="Q8">
        <v>143.19999999999999</v>
      </c>
      <c r="R8">
        <v>77.98</v>
      </c>
      <c r="S8">
        <v>3002</v>
      </c>
      <c r="T8">
        <v>21.91</v>
      </c>
      <c r="U8">
        <v>8.7569999999999997</v>
      </c>
      <c r="V8">
        <v>0</v>
      </c>
      <c r="W8">
        <v>19.690000000000001</v>
      </c>
      <c r="X8">
        <v>18.29</v>
      </c>
      <c r="Y8">
        <v>20.8</v>
      </c>
      <c r="Z8">
        <v>10162</v>
      </c>
      <c r="AA8">
        <v>32676</v>
      </c>
      <c r="AB8">
        <v>3294</v>
      </c>
      <c r="AC8" s="5">
        <v>98287.7</v>
      </c>
      <c r="AD8" s="5">
        <v>21649.599999999999</v>
      </c>
      <c r="AE8" s="5">
        <v>4553.5</v>
      </c>
      <c r="AF8" s="5">
        <v>327052.79999999999</v>
      </c>
      <c r="AG8" s="5">
        <v>1013.7</v>
      </c>
      <c r="AH8" s="5"/>
      <c r="AI8" s="5">
        <v>2896.3</v>
      </c>
      <c r="AK8" s="5">
        <v>61094.5</v>
      </c>
      <c r="AM8" s="5">
        <v>261</v>
      </c>
      <c r="AN8" s="5">
        <v>491.5</v>
      </c>
      <c r="AO8" s="8">
        <v>75</v>
      </c>
      <c r="AP8" s="5">
        <v>3163.3</v>
      </c>
      <c r="AV8" s="8">
        <v>48.5</v>
      </c>
      <c r="AZ8" s="28"/>
      <c r="BA8" s="29"/>
      <c r="BB8" s="29">
        <v>1959.26</v>
      </c>
      <c r="BC8" s="29">
        <v>518273.65</v>
      </c>
      <c r="BD8" s="29">
        <v>2626.38</v>
      </c>
      <c r="BE8" s="29">
        <v>375.78</v>
      </c>
      <c r="BF8" s="29">
        <v>21149.63</v>
      </c>
      <c r="BG8" s="29"/>
      <c r="BH8" s="29">
        <v>743721.56</v>
      </c>
      <c r="BI8" s="29"/>
      <c r="BJ8" s="29">
        <v>2327.4299999999998</v>
      </c>
      <c r="BK8" s="29">
        <v>176</v>
      </c>
      <c r="BL8" s="29">
        <v>733.27</v>
      </c>
      <c r="BM8" s="29">
        <v>26109.4</v>
      </c>
      <c r="BN8" s="29">
        <v>821.22</v>
      </c>
      <c r="BO8" s="29"/>
      <c r="BP8" s="29"/>
      <c r="BQ8" s="29"/>
      <c r="BR8" s="29"/>
      <c r="BS8" s="28"/>
      <c r="BT8" s="29">
        <v>3427.58</v>
      </c>
      <c r="BU8" s="29">
        <v>9928.09</v>
      </c>
      <c r="BV8" s="29">
        <v>1866.82</v>
      </c>
    </row>
    <row r="9" spans="1:74">
      <c r="A9" t="str">
        <f>VLOOKUP(D9,info!$A$2:$G$49,3,FALSE)</f>
        <v>Honda</v>
      </c>
      <c r="B9">
        <v>8</v>
      </c>
      <c r="C9" t="s">
        <v>30</v>
      </c>
      <c r="D9">
        <v>8096906</v>
      </c>
      <c r="E9" s="1" t="s">
        <v>32</v>
      </c>
      <c r="F9">
        <v>125698</v>
      </c>
      <c r="G9">
        <v>27975</v>
      </c>
      <c r="H9">
        <v>1614</v>
      </c>
      <c r="I9">
        <v>364931</v>
      </c>
      <c r="J9">
        <v>603.29999999999995</v>
      </c>
      <c r="K9">
        <v>329.2</v>
      </c>
      <c r="L9">
        <v>466.1</v>
      </c>
      <c r="M9">
        <v>23703</v>
      </c>
      <c r="N9">
        <v>60078</v>
      </c>
      <c r="O9">
        <v>54792</v>
      </c>
      <c r="P9">
        <v>68.23</v>
      </c>
      <c r="Q9">
        <v>67.42</v>
      </c>
      <c r="R9">
        <v>22.1</v>
      </c>
      <c r="S9">
        <v>2710</v>
      </c>
      <c r="T9">
        <v>10.57</v>
      </c>
      <c r="U9">
        <v>6.4939999999999998</v>
      </c>
      <c r="V9">
        <v>0</v>
      </c>
      <c r="W9">
        <v>14.5</v>
      </c>
      <c r="X9">
        <v>23.44</v>
      </c>
      <c r="Y9">
        <v>22.55</v>
      </c>
      <c r="Z9">
        <v>8026</v>
      </c>
      <c r="AA9">
        <v>31622</v>
      </c>
      <c r="AB9">
        <v>2159</v>
      </c>
      <c r="AC9" s="5">
        <v>99639.5</v>
      </c>
      <c r="AD9" s="5">
        <v>21001.3</v>
      </c>
      <c r="AE9" s="5">
        <v>559.9</v>
      </c>
      <c r="AF9" s="5">
        <v>338158.5</v>
      </c>
      <c r="AG9" s="5">
        <v>988.9</v>
      </c>
      <c r="AH9" s="5">
        <v>284.2</v>
      </c>
      <c r="AI9" s="5">
        <v>582.29999999999995</v>
      </c>
      <c r="AK9" s="5">
        <v>55490.7</v>
      </c>
      <c r="AM9" s="5"/>
      <c r="AN9" s="5">
        <v>313.5</v>
      </c>
      <c r="AO9" s="9">
        <v>0</v>
      </c>
      <c r="AP9" s="5">
        <v>3215.5</v>
      </c>
      <c r="AV9" s="8">
        <v>42.4</v>
      </c>
      <c r="AZ9" s="28"/>
      <c r="BA9" s="29"/>
      <c r="BB9" s="29">
        <v>522.70000000000005</v>
      </c>
      <c r="BC9" s="29">
        <v>493797.04</v>
      </c>
      <c r="BD9" s="29">
        <v>1562.9</v>
      </c>
      <c r="BE9" s="29">
        <v>88.66</v>
      </c>
      <c r="BF9" s="29">
        <v>379.86</v>
      </c>
      <c r="BG9" s="29"/>
      <c r="BH9" s="29">
        <v>613776.69999999995</v>
      </c>
      <c r="BI9" s="29"/>
      <c r="BJ9" s="29">
        <v>158.97999999999999</v>
      </c>
      <c r="BK9" s="29">
        <v>90.1</v>
      </c>
      <c r="BL9" s="29">
        <v>101.1</v>
      </c>
      <c r="BM9" s="29">
        <v>25863.73</v>
      </c>
      <c r="BN9" s="29">
        <v>734.99</v>
      </c>
      <c r="BO9" s="29"/>
      <c r="BP9" s="29"/>
      <c r="BQ9" s="29"/>
      <c r="BR9" s="29"/>
      <c r="BS9" s="28"/>
      <c r="BT9" s="29">
        <v>4920.24</v>
      </c>
      <c r="BU9" s="29">
        <v>12352.48</v>
      </c>
      <c r="BV9" s="29">
        <v>1717.56</v>
      </c>
    </row>
    <row r="10" spans="1:74">
      <c r="A10" t="str">
        <f>VLOOKUP(D10,info!$A$2:$G$49,3,FALSE)</f>
        <v>Honda</v>
      </c>
      <c r="B10">
        <v>9</v>
      </c>
      <c r="C10" t="s">
        <v>30</v>
      </c>
      <c r="D10" s="2">
        <v>8096906</v>
      </c>
      <c r="E10" s="1" t="s">
        <v>34</v>
      </c>
      <c r="F10">
        <v>115074</v>
      </c>
      <c r="G10">
        <v>27758</v>
      </c>
      <c r="H10">
        <v>2912</v>
      </c>
      <c r="I10">
        <v>376071</v>
      </c>
      <c r="J10">
        <v>752.2</v>
      </c>
      <c r="K10">
        <v>500.2</v>
      </c>
      <c r="L10">
        <v>499.6</v>
      </c>
      <c r="M10">
        <v>23335</v>
      </c>
      <c r="N10">
        <v>63697</v>
      </c>
      <c r="O10">
        <v>57879</v>
      </c>
      <c r="P10">
        <v>75.78</v>
      </c>
      <c r="Q10">
        <v>345.4</v>
      </c>
      <c r="R10">
        <v>42.54</v>
      </c>
      <c r="S10">
        <v>3892</v>
      </c>
      <c r="T10">
        <v>31.88</v>
      </c>
      <c r="U10">
        <v>11.02</v>
      </c>
      <c r="V10">
        <v>0</v>
      </c>
      <c r="W10">
        <v>15.22</v>
      </c>
      <c r="X10">
        <v>16.02</v>
      </c>
      <c r="Y10">
        <v>25.99</v>
      </c>
      <c r="Z10">
        <v>8179</v>
      </c>
      <c r="AA10">
        <v>30424</v>
      </c>
      <c r="AB10">
        <v>2067</v>
      </c>
      <c r="AC10" s="5">
        <v>97750.1</v>
      </c>
      <c r="AD10" s="5">
        <v>20900</v>
      </c>
      <c r="AE10" s="5">
        <v>585</v>
      </c>
      <c r="AF10" s="5">
        <v>336015.7</v>
      </c>
      <c r="AG10" s="5">
        <v>877.9</v>
      </c>
      <c r="AH10" s="5"/>
      <c r="AI10" s="5">
        <v>606.79999999999995</v>
      </c>
      <c r="AK10" s="5">
        <v>56309.5</v>
      </c>
      <c r="AM10" s="5"/>
      <c r="AN10" s="5">
        <v>302.89999999999998</v>
      </c>
      <c r="AO10" s="9">
        <v>0</v>
      </c>
      <c r="AP10" s="5">
        <v>3424.2</v>
      </c>
      <c r="AV10" s="8">
        <v>46.6</v>
      </c>
      <c r="AZ10" s="28"/>
      <c r="BA10" s="29"/>
      <c r="BB10" s="29">
        <v>644.34</v>
      </c>
      <c r="BC10" s="29">
        <v>441748.86</v>
      </c>
      <c r="BD10" s="29">
        <v>1541</v>
      </c>
      <c r="BE10" s="29">
        <v>25.97</v>
      </c>
      <c r="BF10" s="29">
        <v>53.78</v>
      </c>
      <c r="BG10" s="29"/>
      <c r="BH10" s="29">
        <v>542007.19999999995</v>
      </c>
      <c r="BI10" s="29"/>
      <c r="BJ10" s="29">
        <v>4.4000000000000004</v>
      </c>
      <c r="BK10" s="29">
        <v>268.82</v>
      </c>
      <c r="BL10" s="29">
        <v>52.13</v>
      </c>
      <c r="BM10" s="29">
        <v>20936.400000000001</v>
      </c>
      <c r="BN10" s="29">
        <v>507.17</v>
      </c>
      <c r="BO10" s="29"/>
      <c r="BP10" s="29"/>
      <c r="BQ10" s="29"/>
      <c r="BR10" s="29"/>
      <c r="BS10" s="28"/>
      <c r="BT10" s="29">
        <v>171.46</v>
      </c>
      <c r="BU10" s="29">
        <v>2.61</v>
      </c>
      <c r="BV10" s="29">
        <v>1664.42</v>
      </c>
    </row>
    <row r="11" spans="1:74">
      <c r="A11" t="str">
        <f>VLOOKUP(D11,info!$A$2:$G$49,3,FALSE)</f>
        <v>Ford</v>
      </c>
      <c r="B11">
        <v>10</v>
      </c>
      <c r="C11" t="s">
        <v>30</v>
      </c>
      <c r="D11">
        <v>6917835</v>
      </c>
      <c r="E11" s="1" t="s">
        <v>32</v>
      </c>
      <c r="F11">
        <v>115497</v>
      </c>
      <c r="G11">
        <v>31202</v>
      </c>
      <c r="H11">
        <v>6374</v>
      </c>
      <c r="I11">
        <v>387897</v>
      </c>
      <c r="J11">
        <v>612.6</v>
      </c>
      <c r="K11">
        <v>175.7</v>
      </c>
      <c r="L11">
        <v>2759</v>
      </c>
      <c r="M11">
        <v>27021</v>
      </c>
      <c r="N11">
        <v>64507</v>
      </c>
      <c r="O11">
        <v>57726</v>
      </c>
      <c r="P11">
        <v>241.1</v>
      </c>
      <c r="Q11">
        <v>397.4</v>
      </c>
      <c r="R11">
        <v>65.97</v>
      </c>
      <c r="S11">
        <v>6962</v>
      </c>
      <c r="T11">
        <v>46.19</v>
      </c>
      <c r="U11">
        <v>7.992</v>
      </c>
      <c r="V11">
        <v>11.27</v>
      </c>
      <c r="W11">
        <v>14.08</v>
      </c>
      <c r="X11">
        <v>2.3929999999999998</v>
      </c>
      <c r="Y11">
        <v>25.52</v>
      </c>
      <c r="Z11">
        <v>11581</v>
      </c>
      <c r="AA11">
        <v>27970</v>
      </c>
      <c r="AB11">
        <v>2854</v>
      </c>
      <c r="AC11" s="5">
        <v>93942.6</v>
      </c>
      <c r="AD11" s="5">
        <v>22486.3</v>
      </c>
      <c r="AE11" s="5">
        <v>3556.2</v>
      </c>
      <c r="AF11" s="5">
        <v>329332.8</v>
      </c>
      <c r="AG11" s="5">
        <v>825.5</v>
      </c>
      <c r="AH11" s="5"/>
      <c r="AI11" s="5">
        <v>2551.1999999999998</v>
      </c>
      <c r="AK11" s="5">
        <v>56053.599999999999</v>
      </c>
      <c r="AM11" s="5">
        <v>229.3</v>
      </c>
      <c r="AN11" s="5">
        <v>393.5</v>
      </c>
      <c r="AO11" s="8">
        <v>30.5</v>
      </c>
      <c r="AP11" s="5">
        <v>7555.3</v>
      </c>
      <c r="AV11" s="8">
        <v>67.3</v>
      </c>
      <c r="AZ11" s="28"/>
      <c r="BA11" s="29"/>
      <c r="BB11" s="29">
        <v>1284.01</v>
      </c>
      <c r="BC11" s="29">
        <v>405353.69</v>
      </c>
      <c r="BD11" s="29">
        <v>1489.28</v>
      </c>
      <c r="BE11" s="29">
        <v>155.59</v>
      </c>
      <c r="BF11" s="29">
        <v>12849.88</v>
      </c>
      <c r="BG11" s="29"/>
      <c r="BH11" s="29">
        <v>510974.31</v>
      </c>
      <c r="BI11" s="29"/>
      <c r="BJ11" s="29">
        <v>1787.85</v>
      </c>
      <c r="BK11" s="29">
        <v>174.56</v>
      </c>
      <c r="BL11" s="29">
        <v>222.86</v>
      </c>
      <c r="BM11" s="29">
        <v>43413.56</v>
      </c>
      <c r="BN11" s="29">
        <v>645.61</v>
      </c>
      <c r="BO11" s="29"/>
      <c r="BP11" s="29"/>
      <c r="BQ11" s="29"/>
      <c r="BR11" s="29"/>
      <c r="BS11" s="28"/>
      <c r="BT11" s="29">
        <v>1884.2</v>
      </c>
      <c r="BU11" s="29">
        <v>5372.02</v>
      </c>
      <c r="BV11" s="29">
        <v>684.52</v>
      </c>
    </row>
    <row r="12" spans="1:74">
      <c r="A12" t="str">
        <f>VLOOKUP(D12,info!$A$2:$G$49,3,FALSE)</f>
        <v>Honda</v>
      </c>
      <c r="B12">
        <v>11</v>
      </c>
      <c r="C12" t="s">
        <v>30</v>
      </c>
      <c r="D12" s="2">
        <v>8096906</v>
      </c>
      <c r="E12" s="1" t="s">
        <v>34</v>
      </c>
      <c r="F12">
        <v>123496</v>
      </c>
      <c r="G12">
        <v>29582</v>
      </c>
      <c r="H12">
        <v>1835</v>
      </c>
      <c r="I12">
        <v>400003</v>
      </c>
      <c r="J12">
        <v>651.79999999999995</v>
      </c>
      <c r="K12">
        <v>366.2</v>
      </c>
      <c r="L12">
        <v>498.8</v>
      </c>
      <c r="M12">
        <v>24587</v>
      </c>
      <c r="N12">
        <v>66312</v>
      </c>
      <c r="O12">
        <v>60030</v>
      </c>
      <c r="P12">
        <v>80</v>
      </c>
      <c r="Q12">
        <v>383.9</v>
      </c>
      <c r="R12">
        <v>64.17</v>
      </c>
      <c r="S12">
        <v>4092</v>
      </c>
      <c r="T12">
        <v>24.2</v>
      </c>
      <c r="U12">
        <v>8.8970000000000002</v>
      </c>
      <c r="V12">
        <v>15.82</v>
      </c>
      <c r="W12">
        <v>22.16</v>
      </c>
      <c r="X12">
        <v>26.21</v>
      </c>
      <c r="Y12">
        <v>11.63</v>
      </c>
      <c r="Z12">
        <v>10004</v>
      </c>
      <c r="AA12">
        <v>32471</v>
      </c>
      <c r="AB12">
        <v>2256</v>
      </c>
      <c r="AC12" s="5">
        <v>97539.5</v>
      </c>
      <c r="AD12" s="5">
        <v>21293.599999999999</v>
      </c>
      <c r="AE12" s="5">
        <v>383.7</v>
      </c>
      <c r="AF12" s="5">
        <v>336598.4</v>
      </c>
      <c r="AG12" s="5">
        <v>935.9</v>
      </c>
      <c r="AH12" s="5"/>
      <c r="AI12" s="5">
        <v>579.29999999999995</v>
      </c>
      <c r="AK12" s="5">
        <v>55585.599999999999</v>
      </c>
      <c r="AM12" s="5"/>
      <c r="AN12" s="5">
        <v>370.9</v>
      </c>
      <c r="AO12" s="11">
        <v>0</v>
      </c>
      <c r="AP12" s="5">
        <v>3201.2</v>
      </c>
      <c r="AV12" s="8">
        <v>49.8</v>
      </c>
      <c r="AZ12" s="28"/>
      <c r="BA12" s="29"/>
      <c r="BB12" s="29">
        <v>850.58</v>
      </c>
      <c r="BC12" s="29">
        <v>597054</v>
      </c>
      <c r="BD12" s="29">
        <v>4363.87</v>
      </c>
      <c r="BE12" s="29">
        <v>1153.3</v>
      </c>
      <c r="BF12" s="29">
        <v>32.78</v>
      </c>
      <c r="BG12" s="29"/>
      <c r="BH12" s="29">
        <v>731528.92</v>
      </c>
      <c r="BI12" s="29"/>
      <c r="BJ12" s="29">
        <v>34.56</v>
      </c>
      <c r="BK12" s="29">
        <v>308.08</v>
      </c>
      <c r="BL12" s="29">
        <v>131.84</v>
      </c>
      <c r="BM12" s="29">
        <v>29078.95</v>
      </c>
      <c r="BN12" s="29">
        <v>790.73</v>
      </c>
      <c r="BO12" s="29"/>
      <c r="BP12" s="29"/>
      <c r="BQ12" s="29"/>
      <c r="BR12" s="29"/>
      <c r="BS12" s="28"/>
      <c r="BT12" s="29">
        <v>179.47</v>
      </c>
      <c r="BU12" s="29">
        <v>11.42</v>
      </c>
      <c r="BV12" s="29">
        <v>2244.7399999999998</v>
      </c>
    </row>
    <row r="13" spans="1:74">
      <c r="A13" t="str">
        <f>VLOOKUP(D13,info!$A$2:$G$49,3,FALSE)</f>
        <v>Daewoo</v>
      </c>
      <c r="B13">
        <v>12</v>
      </c>
      <c r="C13" t="s">
        <v>30</v>
      </c>
      <c r="D13">
        <v>8501017</v>
      </c>
      <c r="E13" s="1" t="s">
        <v>34</v>
      </c>
      <c r="F13">
        <v>112212</v>
      </c>
      <c r="G13">
        <v>28485</v>
      </c>
      <c r="H13">
        <v>7314</v>
      </c>
      <c r="I13">
        <v>368190</v>
      </c>
      <c r="J13">
        <v>653</v>
      </c>
      <c r="K13">
        <v>97.07</v>
      </c>
      <c r="L13">
        <v>4668</v>
      </c>
      <c r="M13">
        <v>31960</v>
      </c>
      <c r="N13">
        <v>59334</v>
      </c>
      <c r="O13">
        <v>53817</v>
      </c>
      <c r="P13">
        <v>215.2</v>
      </c>
      <c r="Q13">
        <v>255.1</v>
      </c>
      <c r="R13">
        <v>62.02</v>
      </c>
      <c r="S13">
        <v>3624</v>
      </c>
      <c r="T13">
        <v>21.05</v>
      </c>
      <c r="U13">
        <v>9.8780000000000001</v>
      </c>
      <c r="V13">
        <v>0</v>
      </c>
      <c r="W13">
        <v>24.09</v>
      </c>
      <c r="X13">
        <v>28.46</v>
      </c>
      <c r="Y13">
        <v>10.18</v>
      </c>
      <c r="Z13">
        <v>9327</v>
      </c>
      <c r="AA13">
        <v>29387</v>
      </c>
      <c r="AB13">
        <v>3823</v>
      </c>
      <c r="AC13" s="5">
        <v>95676.2</v>
      </c>
      <c r="AD13" s="5">
        <v>21884.9</v>
      </c>
      <c r="AE13" s="5">
        <v>4783.5</v>
      </c>
      <c r="AF13" s="5">
        <v>334495.59999999998</v>
      </c>
      <c r="AG13" s="5">
        <v>1068.5999999999999</v>
      </c>
      <c r="AH13" s="5"/>
      <c r="AI13" s="5">
        <v>4363.6000000000004</v>
      </c>
      <c r="AK13" s="5">
        <v>52075.9</v>
      </c>
      <c r="AM13" s="5">
        <v>200.8</v>
      </c>
      <c r="AN13" s="7">
        <v>346.32000000000005</v>
      </c>
      <c r="AO13" s="8">
        <v>28</v>
      </c>
      <c r="AP13" s="5">
        <v>3061.3</v>
      </c>
      <c r="AV13" s="8">
        <v>85</v>
      </c>
      <c r="AZ13" s="28"/>
      <c r="BA13" s="29"/>
      <c r="BB13" s="29">
        <v>2317.08</v>
      </c>
      <c r="BC13" s="29">
        <v>564372.05000000005</v>
      </c>
      <c r="BD13" s="29">
        <v>2655.96</v>
      </c>
      <c r="BE13" s="29">
        <v>216.09</v>
      </c>
      <c r="BF13" s="29">
        <v>36932.379999999997</v>
      </c>
      <c r="BG13" s="29"/>
      <c r="BH13" s="29">
        <v>673828.99</v>
      </c>
      <c r="BI13" s="29"/>
      <c r="BJ13" s="29">
        <v>1937.19</v>
      </c>
      <c r="BK13" s="29">
        <v>380.59</v>
      </c>
      <c r="BL13" s="29">
        <v>74.44</v>
      </c>
      <c r="BM13" s="29">
        <v>29420.53</v>
      </c>
      <c r="BN13" s="29">
        <v>588.79</v>
      </c>
      <c r="BO13" s="29"/>
      <c r="BP13" s="29"/>
      <c r="BQ13" s="29"/>
      <c r="BR13" s="29"/>
      <c r="BS13" s="28"/>
      <c r="BT13" s="29">
        <v>3781.84</v>
      </c>
      <c r="BU13" s="29">
        <v>10790.27</v>
      </c>
      <c r="BV13" s="29">
        <v>1691.77</v>
      </c>
    </row>
    <row r="14" spans="1:74">
      <c r="A14" t="str">
        <f>VLOOKUP(D14,info!$A$2:$G$49,3,FALSE)</f>
        <v>Peugeot</v>
      </c>
      <c r="B14">
        <v>14</v>
      </c>
      <c r="C14" t="s">
        <v>30</v>
      </c>
      <c r="D14">
        <v>9367324</v>
      </c>
      <c r="E14" s="1" t="s">
        <v>34</v>
      </c>
      <c r="F14">
        <v>132119</v>
      </c>
      <c r="G14">
        <v>31421</v>
      </c>
      <c r="H14">
        <v>7687</v>
      </c>
      <c r="I14">
        <v>388868</v>
      </c>
      <c r="J14">
        <v>751.3</v>
      </c>
      <c r="K14">
        <v>362.4</v>
      </c>
      <c r="L14">
        <v>3346</v>
      </c>
      <c r="M14">
        <v>33412</v>
      </c>
      <c r="N14">
        <v>73509</v>
      </c>
      <c r="O14">
        <v>66347</v>
      </c>
      <c r="P14">
        <v>257.89999999999998</v>
      </c>
      <c r="Q14">
        <v>151</v>
      </c>
      <c r="R14">
        <v>74.95</v>
      </c>
      <c r="S14">
        <v>3173</v>
      </c>
      <c r="T14">
        <v>20.3</v>
      </c>
      <c r="U14">
        <v>6.2729999999999997</v>
      </c>
      <c r="V14">
        <v>0</v>
      </c>
      <c r="W14">
        <v>22.37</v>
      </c>
      <c r="X14">
        <v>15.12</v>
      </c>
      <c r="Y14">
        <v>23.57</v>
      </c>
      <c r="Z14">
        <v>11173</v>
      </c>
      <c r="AA14">
        <v>36340</v>
      </c>
      <c r="AB14">
        <v>3696</v>
      </c>
      <c r="AC14" s="5">
        <v>102055.2</v>
      </c>
      <c r="AD14" s="5">
        <v>21724.1</v>
      </c>
      <c r="AE14" s="5">
        <v>4613.7</v>
      </c>
      <c r="AF14" s="5">
        <v>331468.2</v>
      </c>
      <c r="AG14" s="5">
        <v>881.1</v>
      </c>
      <c r="AH14" s="5"/>
      <c r="AI14" s="5">
        <v>2893.3</v>
      </c>
      <c r="AK14" s="5">
        <v>60059.199999999997</v>
      </c>
      <c r="AM14" s="5">
        <v>248.3</v>
      </c>
      <c r="AN14" s="5">
        <v>441.2</v>
      </c>
      <c r="AO14" s="8">
        <v>68.7</v>
      </c>
      <c r="AP14" s="5">
        <v>3024</v>
      </c>
      <c r="AV14" s="8"/>
      <c r="AZ14" s="28"/>
      <c r="BA14" s="29"/>
      <c r="BB14" s="29">
        <v>1382.13</v>
      </c>
      <c r="BC14" s="29">
        <v>406611.20000000001</v>
      </c>
      <c r="BD14" s="29">
        <v>2091.09</v>
      </c>
      <c r="BE14" s="29">
        <v>62.05</v>
      </c>
      <c r="BF14" s="29">
        <v>16662.91</v>
      </c>
      <c r="BG14" s="29"/>
      <c r="BH14" s="29">
        <v>593714.76</v>
      </c>
      <c r="BI14" s="29"/>
      <c r="BJ14" s="29">
        <v>2042.79</v>
      </c>
      <c r="BK14" s="29">
        <v>138.76</v>
      </c>
      <c r="BL14" s="29">
        <v>388.65</v>
      </c>
      <c r="BM14" s="29">
        <v>20155.490000000002</v>
      </c>
      <c r="BN14" s="29">
        <v>431.04</v>
      </c>
      <c r="BO14" s="29"/>
      <c r="BP14" s="29"/>
      <c r="BQ14" s="29"/>
      <c r="BR14" s="29"/>
      <c r="BS14" s="28"/>
      <c r="BT14" s="29">
        <v>3591.61</v>
      </c>
      <c r="BU14" s="29">
        <v>8849.16</v>
      </c>
      <c r="BV14" s="29">
        <v>1051.3599999999999</v>
      </c>
    </row>
    <row r="15" spans="1:74">
      <c r="A15" t="str">
        <f>VLOOKUP(D15,info!$A$2:$G$49,3,FALSE)</f>
        <v>Ford</v>
      </c>
      <c r="B15">
        <v>15</v>
      </c>
      <c r="C15" t="s">
        <v>30</v>
      </c>
      <c r="D15">
        <v>6917835</v>
      </c>
      <c r="E15" s="1" t="s">
        <v>34</v>
      </c>
      <c r="F15">
        <v>129921</v>
      </c>
      <c r="G15">
        <v>33740</v>
      </c>
      <c r="H15">
        <v>6700</v>
      </c>
      <c r="I15">
        <v>412414</v>
      </c>
      <c r="J15">
        <v>600.4</v>
      </c>
      <c r="K15">
        <v>147</v>
      </c>
      <c r="L15">
        <v>2801</v>
      </c>
      <c r="M15">
        <v>29818</v>
      </c>
      <c r="N15">
        <v>66157</v>
      </c>
      <c r="O15">
        <v>59147</v>
      </c>
      <c r="P15">
        <v>262.60000000000002</v>
      </c>
      <c r="Q15">
        <v>259.2</v>
      </c>
      <c r="R15">
        <v>58.92</v>
      </c>
      <c r="S15">
        <v>6444</v>
      </c>
      <c r="T15">
        <v>32.6</v>
      </c>
      <c r="U15">
        <v>13.01</v>
      </c>
      <c r="V15">
        <v>20.58</v>
      </c>
      <c r="W15">
        <v>27.39</v>
      </c>
      <c r="X15">
        <v>18.37</v>
      </c>
      <c r="Y15">
        <v>61.95</v>
      </c>
      <c r="Z15">
        <v>14090</v>
      </c>
      <c r="AA15">
        <v>30906</v>
      </c>
      <c r="AB15">
        <v>3253</v>
      </c>
      <c r="AC15" s="5">
        <v>94959.7</v>
      </c>
      <c r="AD15" s="5">
        <v>22494.6</v>
      </c>
      <c r="AE15" s="5">
        <v>3407.2</v>
      </c>
      <c r="AF15" s="5">
        <v>329780.8</v>
      </c>
      <c r="AG15" s="5">
        <v>811.3</v>
      </c>
      <c r="AH15" s="5"/>
      <c r="AI15" s="5">
        <v>2589.9</v>
      </c>
      <c r="AK15" s="5">
        <v>53157</v>
      </c>
      <c r="AM15" s="5">
        <v>265.7</v>
      </c>
      <c r="AN15" s="5">
        <v>491.5</v>
      </c>
      <c r="AO15" s="8">
        <v>27.6</v>
      </c>
      <c r="AP15" s="5">
        <v>6546.1</v>
      </c>
      <c r="AV15" s="5">
        <v>113</v>
      </c>
      <c r="AZ15" s="28"/>
      <c r="BA15" s="29"/>
      <c r="BB15" s="29">
        <v>1655.33</v>
      </c>
      <c r="BC15" s="29">
        <v>548098.35</v>
      </c>
      <c r="BD15" s="29">
        <v>2069.8000000000002</v>
      </c>
      <c r="BE15" s="29">
        <v>89.6</v>
      </c>
      <c r="BF15" s="29">
        <v>16163.47</v>
      </c>
      <c r="BG15" s="29"/>
      <c r="BH15" s="29">
        <v>682118.02</v>
      </c>
      <c r="BI15" s="29"/>
      <c r="BJ15" s="29">
        <v>2257.4699999999998</v>
      </c>
      <c r="BK15" s="29">
        <v>180.28</v>
      </c>
      <c r="BL15" s="29">
        <v>306.39</v>
      </c>
      <c r="BM15" s="29">
        <v>62803.25</v>
      </c>
      <c r="BN15" s="29">
        <v>1127.92</v>
      </c>
      <c r="BO15" s="29"/>
      <c r="BP15" s="29"/>
      <c r="BQ15" s="29"/>
      <c r="BR15" s="29"/>
      <c r="BS15" s="28"/>
      <c r="BT15" s="29">
        <v>3420.96</v>
      </c>
      <c r="BU15" s="29">
        <v>7857.62</v>
      </c>
      <c r="BV15" s="29">
        <v>1416.44</v>
      </c>
    </row>
    <row r="16" spans="1:74">
      <c r="A16" t="str">
        <f>VLOOKUP(D16,info!$A$2:$G$49,3,FALSE)</f>
        <v>Hyundai</v>
      </c>
      <c r="B16">
        <v>16</v>
      </c>
      <c r="C16" t="s">
        <v>30</v>
      </c>
      <c r="D16">
        <v>6316720</v>
      </c>
      <c r="E16" s="1" t="s">
        <v>34</v>
      </c>
      <c r="F16">
        <v>114587</v>
      </c>
      <c r="G16">
        <v>29061</v>
      </c>
      <c r="H16">
        <v>7977</v>
      </c>
      <c r="I16">
        <v>366277</v>
      </c>
      <c r="J16">
        <v>742.1</v>
      </c>
      <c r="K16">
        <v>441.7</v>
      </c>
      <c r="L16">
        <v>3201</v>
      </c>
      <c r="M16">
        <v>33336</v>
      </c>
      <c r="N16">
        <v>72831</v>
      </c>
      <c r="O16">
        <v>66169</v>
      </c>
      <c r="P16">
        <v>237.5</v>
      </c>
      <c r="Q16">
        <v>374.3</v>
      </c>
      <c r="R16">
        <v>107.3</v>
      </c>
      <c r="S16">
        <v>4100</v>
      </c>
      <c r="T16">
        <v>42.47</v>
      </c>
      <c r="U16">
        <v>14.66</v>
      </c>
      <c r="V16">
        <v>11.19</v>
      </c>
      <c r="W16">
        <v>25.09</v>
      </c>
      <c r="X16">
        <v>36.72</v>
      </c>
      <c r="Y16">
        <v>43.55</v>
      </c>
      <c r="Z16">
        <v>11163</v>
      </c>
      <c r="AA16">
        <v>35293</v>
      </c>
      <c r="AB16">
        <v>3699</v>
      </c>
      <c r="AC16" s="5">
        <v>101243.2</v>
      </c>
      <c r="AD16" s="5">
        <v>21555</v>
      </c>
      <c r="AE16" s="5">
        <v>4322.8999999999996</v>
      </c>
      <c r="AF16" s="5">
        <v>332514.7</v>
      </c>
      <c r="AG16" s="5">
        <v>1019.2</v>
      </c>
      <c r="AH16" s="5"/>
      <c r="AI16" s="5">
        <v>2846.1</v>
      </c>
      <c r="AK16" s="5">
        <v>61108.3</v>
      </c>
      <c r="AM16" s="5">
        <v>211.1</v>
      </c>
      <c r="AN16" s="5">
        <v>440.3</v>
      </c>
      <c r="AO16" s="8">
        <v>84.3</v>
      </c>
      <c r="AP16" s="5">
        <v>3118.8</v>
      </c>
      <c r="AV16" s="8">
        <v>47.1</v>
      </c>
      <c r="AZ16" s="28"/>
      <c r="BA16" s="29"/>
      <c r="BB16" s="29">
        <v>1698.03</v>
      </c>
      <c r="BC16" s="29">
        <v>465488.59</v>
      </c>
      <c r="BD16" s="29">
        <v>2479.64</v>
      </c>
      <c r="BE16" s="29">
        <v>559.41</v>
      </c>
      <c r="BF16" s="29">
        <v>18352.05</v>
      </c>
      <c r="BG16" s="29"/>
      <c r="BH16" s="29">
        <v>674446.78</v>
      </c>
      <c r="BI16" s="29"/>
      <c r="BJ16" s="29">
        <v>1752.26</v>
      </c>
      <c r="BK16" s="29">
        <v>398.11</v>
      </c>
      <c r="BL16" s="29">
        <v>817.87</v>
      </c>
      <c r="BM16" s="29">
        <v>24976.52</v>
      </c>
      <c r="BN16" s="29">
        <v>747.34</v>
      </c>
      <c r="BO16" s="29"/>
      <c r="BP16" s="29"/>
      <c r="BQ16" s="29"/>
      <c r="BR16" s="29"/>
      <c r="BS16" s="28"/>
      <c r="BT16" s="29">
        <v>3129.24</v>
      </c>
      <c r="BU16" s="29">
        <v>7492.79</v>
      </c>
      <c r="BV16" s="29">
        <v>1155.77</v>
      </c>
    </row>
    <row r="17" spans="1:74">
      <c r="A17" t="str">
        <f>VLOOKUP(D17,info!$A$2:$G$49,3,FALSE)</f>
        <v>Hyundai</v>
      </c>
      <c r="B17">
        <v>17</v>
      </c>
      <c r="C17" t="s">
        <v>30</v>
      </c>
      <c r="D17">
        <v>6316720</v>
      </c>
      <c r="E17" s="1" t="s">
        <v>34</v>
      </c>
      <c r="F17">
        <v>120465</v>
      </c>
      <c r="G17">
        <v>29641</v>
      </c>
      <c r="H17">
        <v>7314</v>
      </c>
      <c r="I17">
        <v>380756</v>
      </c>
      <c r="J17">
        <v>852.2</v>
      </c>
      <c r="K17">
        <v>518</v>
      </c>
      <c r="L17">
        <v>3247</v>
      </c>
      <c r="M17">
        <v>32455</v>
      </c>
      <c r="N17">
        <v>74011</v>
      </c>
      <c r="O17">
        <v>66203</v>
      </c>
      <c r="P17">
        <v>240.8</v>
      </c>
      <c r="Q17">
        <v>371.1</v>
      </c>
      <c r="R17">
        <v>93.73</v>
      </c>
      <c r="S17">
        <v>3912</v>
      </c>
      <c r="T17">
        <v>22.88</v>
      </c>
      <c r="U17">
        <v>16.95</v>
      </c>
      <c r="V17">
        <v>35.270000000000003</v>
      </c>
      <c r="W17">
        <v>19.93</v>
      </c>
      <c r="X17">
        <v>8.9730000000000008</v>
      </c>
      <c r="Y17">
        <v>15.38</v>
      </c>
      <c r="Z17">
        <v>11986</v>
      </c>
      <c r="AA17">
        <v>34008</v>
      </c>
      <c r="AB17">
        <v>3559</v>
      </c>
      <c r="AC17" s="5">
        <v>101111.4</v>
      </c>
      <c r="AD17" s="5">
        <v>21440</v>
      </c>
      <c r="AE17" s="5">
        <v>4194.8999999999996</v>
      </c>
      <c r="AF17" s="5">
        <v>329176.90000000002</v>
      </c>
      <c r="AG17" s="5">
        <v>1063.2</v>
      </c>
      <c r="AH17" s="5"/>
      <c r="AI17" s="5">
        <v>2827.2</v>
      </c>
      <c r="AK17" s="5">
        <v>60769.9</v>
      </c>
      <c r="AM17" s="5">
        <v>236.8</v>
      </c>
      <c r="AN17" s="5">
        <v>494.5</v>
      </c>
      <c r="AO17" s="8">
        <v>80</v>
      </c>
      <c r="AP17" s="5">
        <v>3038.1</v>
      </c>
      <c r="AV17" s="8">
        <v>51.7</v>
      </c>
      <c r="AZ17" s="28"/>
      <c r="BA17" s="29"/>
      <c r="BB17" s="29">
        <v>533.97</v>
      </c>
      <c r="BC17" s="29">
        <v>104709.15</v>
      </c>
      <c r="BD17" s="29">
        <v>653.33000000000004</v>
      </c>
      <c r="BE17" s="29">
        <v>248.78</v>
      </c>
      <c r="BF17" s="29">
        <v>4338.8</v>
      </c>
      <c r="BG17" s="29"/>
      <c r="BH17" s="29">
        <v>144665.26999999999</v>
      </c>
      <c r="BI17" s="29"/>
      <c r="BJ17" s="29">
        <v>337.62</v>
      </c>
      <c r="BK17" s="29">
        <v>6.38</v>
      </c>
      <c r="BL17" s="29">
        <v>114.09</v>
      </c>
      <c r="BM17" s="29">
        <v>5149.9799999999996</v>
      </c>
      <c r="BN17" s="29">
        <v>144.87</v>
      </c>
      <c r="BO17" s="29"/>
      <c r="BP17" s="29"/>
      <c r="BQ17" s="29"/>
      <c r="BR17" s="29"/>
      <c r="BS17" s="28"/>
      <c r="BT17" s="29">
        <v>971.79</v>
      </c>
      <c r="BU17" s="29">
        <v>2610.46</v>
      </c>
      <c r="BV17" s="29">
        <v>129.69999999999999</v>
      </c>
    </row>
    <row r="18" spans="1:74">
      <c r="A18" t="str">
        <f>VLOOKUP(D18,info!$A$2:$G$49,3,FALSE)</f>
        <v>Honda</v>
      </c>
      <c r="B18">
        <v>18</v>
      </c>
      <c r="C18" t="s">
        <v>30</v>
      </c>
      <c r="D18">
        <v>8096906</v>
      </c>
      <c r="E18" s="1" t="s">
        <v>32</v>
      </c>
      <c r="F18">
        <v>126316</v>
      </c>
      <c r="G18">
        <v>29633</v>
      </c>
      <c r="H18">
        <v>2125</v>
      </c>
      <c r="I18">
        <v>398969</v>
      </c>
      <c r="J18">
        <v>729.7</v>
      </c>
      <c r="K18">
        <v>387.7</v>
      </c>
      <c r="L18">
        <v>460</v>
      </c>
      <c r="M18">
        <v>24472</v>
      </c>
      <c r="N18">
        <v>65219</v>
      </c>
      <c r="O18">
        <v>59040</v>
      </c>
      <c r="P18">
        <v>73.94</v>
      </c>
      <c r="Q18">
        <v>271.89999999999998</v>
      </c>
      <c r="R18">
        <v>34.01</v>
      </c>
      <c r="S18">
        <v>3601</v>
      </c>
      <c r="T18">
        <v>16.64</v>
      </c>
      <c r="U18">
        <v>15.01</v>
      </c>
      <c r="V18">
        <v>2.0539999999999998</v>
      </c>
      <c r="W18">
        <v>11.88</v>
      </c>
      <c r="X18">
        <v>18.48</v>
      </c>
      <c r="Y18">
        <v>13.93</v>
      </c>
      <c r="Z18">
        <v>8389</v>
      </c>
      <c r="AA18">
        <v>32477</v>
      </c>
      <c r="AB18">
        <v>2232</v>
      </c>
      <c r="AC18" s="5">
        <v>98883.5</v>
      </c>
      <c r="AD18" s="5">
        <v>21007.3</v>
      </c>
      <c r="AE18" s="5">
        <v>513.4</v>
      </c>
      <c r="AF18" s="5">
        <v>337401.8</v>
      </c>
      <c r="AG18" s="5">
        <v>935.8</v>
      </c>
      <c r="AH18" s="5"/>
      <c r="AI18" s="5">
        <v>698</v>
      </c>
      <c r="AK18" s="5">
        <v>54019.8</v>
      </c>
      <c r="AM18" s="5"/>
      <c r="AN18" s="5">
        <v>461.3</v>
      </c>
      <c r="AO18" s="9">
        <v>0</v>
      </c>
      <c r="AP18" s="5">
        <v>3138.3</v>
      </c>
      <c r="AV18" s="8">
        <v>42.6</v>
      </c>
      <c r="AZ18" s="28"/>
      <c r="BA18" s="29"/>
      <c r="BB18" s="29">
        <v>370.29</v>
      </c>
      <c r="BC18" s="29">
        <v>131942.95000000001</v>
      </c>
      <c r="BD18" s="29">
        <v>577.97</v>
      </c>
      <c r="BE18" s="29">
        <v>171.6</v>
      </c>
      <c r="BF18" s="29">
        <v>136.22</v>
      </c>
      <c r="BG18" s="29"/>
      <c r="BH18" s="29">
        <v>153492.57</v>
      </c>
      <c r="BI18" s="29"/>
      <c r="BJ18" s="29">
        <v>8.93</v>
      </c>
      <c r="BK18" s="29">
        <v>16.46</v>
      </c>
      <c r="BL18" s="29">
        <v>35.47</v>
      </c>
      <c r="BM18" s="29">
        <v>6132.44</v>
      </c>
      <c r="BN18" s="29">
        <v>198.03</v>
      </c>
      <c r="BO18" s="29"/>
      <c r="BP18" s="29"/>
      <c r="BQ18" s="29"/>
      <c r="BR18" s="29"/>
      <c r="BS18" s="28"/>
      <c r="BT18" s="29">
        <v>732.28</v>
      </c>
      <c r="BU18" s="29">
        <v>621.28</v>
      </c>
      <c r="BV18" s="29">
        <v>533.78</v>
      </c>
    </row>
    <row r="19" spans="1:74">
      <c r="A19" t="str">
        <f>VLOOKUP(D19,info!$A$2:$G$49,3,FALSE)</f>
        <v>Fiat</v>
      </c>
      <c r="B19">
        <v>20</v>
      </c>
      <c r="C19" t="s">
        <v>30</v>
      </c>
      <c r="D19">
        <v>5751910</v>
      </c>
      <c r="E19" s="1" t="s">
        <v>34</v>
      </c>
      <c r="F19">
        <v>116638</v>
      </c>
      <c r="G19">
        <v>28481</v>
      </c>
      <c r="H19">
        <v>4984</v>
      </c>
      <c r="I19">
        <v>381510</v>
      </c>
      <c r="J19">
        <v>481.8</v>
      </c>
      <c r="K19">
        <v>151.4</v>
      </c>
      <c r="L19">
        <v>2902</v>
      </c>
      <c r="M19">
        <v>27032</v>
      </c>
      <c r="N19">
        <v>59301</v>
      </c>
      <c r="O19">
        <v>53445</v>
      </c>
      <c r="P19">
        <v>255.1</v>
      </c>
      <c r="Q19">
        <v>361.8</v>
      </c>
      <c r="R19">
        <v>72.33</v>
      </c>
      <c r="S19">
        <v>5781</v>
      </c>
      <c r="T19">
        <v>28.95</v>
      </c>
      <c r="U19">
        <v>13.94</v>
      </c>
      <c r="V19">
        <v>3.0009999999999999</v>
      </c>
      <c r="W19">
        <v>18.61</v>
      </c>
      <c r="X19">
        <v>14.61</v>
      </c>
      <c r="Y19">
        <v>14.49</v>
      </c>
      <c r="Z19">
        <v>11458</v>
      </c>
      <c r="AA19">
        <v>27152</v>
      </c>
      <c r="AB19">
        <v>2917</v>
      </c>
      <c r="AC19" s="5">
        <v>98565</v>
      </c>
      <c r="AD19" s="5">
        <v>21821.1</v>
      </c>
      <c r="AE19" s="5">
        <v>2703</v>
      </c>
      <c r="AF19" s="5">
        <v>334466</v>
      </c>
      <c r="AG19" s="5">
        <v>824.8</v>
      </c>
      <c r="AH19" s="5"/>
      <c r="AI19" s="5">
        <v>2877.4</v>
      </c>
      <c r="AK19" s="5">
        <v>48992.9</v>
      </c>
      <c r="AM19" s="5">
        <v>255.6</v>
      </c>
      <c r="AN19" s="5">
        <v>410.7</v>
      </c>
      <c r="AO19" s="8">
        <v>48.4</v>
      </c>
      <c r="AP19" s="5">
        <v>5142.6000000000004</v>
      </c>
      <c r="AV19" s="8"/>
      <c r="AZ19" s="28"/>
      <c r="BA19" s="29"/>
      <c r="BB19" s="29">
        <v>448.56</v>
      </c>
      <c r="BC19" s="29">
        <v>96433.14</v>
      </c>
      <c r="BD19" s="29">
        <v>447.34</v>
      </c>
      <c r="BE19" s="29">
        <v>69.010000000000005</v>
      </c>
      <c r="BF19" s="29">
        <v>3594.09</v>
      </c>
      <c r="BG19" s="29"/>
      <c r="BH19" s="29">
        <v>107951.24</v>
      </c>
      <c r="BI19" s="29"/>
      <c r="BJ19" s="29">
        <v>405.65</v>
      </c>
      <c r="BK19" s="29">
        <v>56.25</v>
      </c>
      <c r="BL19" s="29">
        <v>110.69</v>
      </c>
      <c r="BM19" s="29">
        <v>8938.0300000000007</v>
      </c>
      <c r="BN19" s="29">
        <v>85.76</v>
      </c>
      <c r="BO19" s="29"/>
      <c r="BP19" s="29"/>
      <c r="BQ19" s="29"/>
      <c r="BR19" s="29"/>
      <c r="BS19" s="28"/>
      <c r="BT19" s="29">
        <v>632.79999999999995</v>
      </c>
      <c r="BU19" s="29">
        <v>1845.99</v>
      </c>
      <c r="BV19" s="29">
        <v>118.13</v>
      </c>
    </row>
    <row r="20" spans="1:74">
      <c r="A20" t="str">
        <f>VLOOKUP(D20,info!$A$2:$G$49,3,FALSE)</f>
        <v>Hyundai</v>
      </c>
      <c r="B20">
        <v>21</v>
      </c>
      <c r="C20" t="s">
        <v>30</v>
      </c>
      <c r="D20">
        <v>5826120</v>
      </c>
      <c r="E20" s="1" t="s">
        <v>52</v>
      </c>
      <c r="F20">
        <v>102694</v>
      </c>
      <c r="G20">
        <v>25870</v>
      </c>
      <c r="H20">
        <v>11787</v>
      </c>
      <c r="I20">
        <v>332531</v>
      </c>
      <c r="J20">
        <v>733.4</v>
      </c>
      <c r="K20">
        <v>428.4</v>
      </c>
      <c r="L20">
        <v>2453</v>
      </c>
      <c r="M20">
        <v>26542</v>
      </c>
      <c r="N20">
        <v>68586</v>
      </c>
      <c r="O20">
        <v>61941</v>
      </c>
      <c r="P20">
        <v>237</v>
      </c>
      <c r="Q20">
        <v>388.9</v>
      </c>
      <c r="R20">
        <v>121.6</v>
      </c>
      <c r="S20">
        <v>4104</v>
      </c>
      <c r="T20">
        <v>32.799999999999997</v>
      </c>
      <c r="U20">
        <v>11.64</v>
      </c>
      <c r="V20">
        <v>0</v>
      </c>
      <c r="W20">
        <v>20.98</v>
      </c>
      <c r="X20">
        <v>9.5289999999999999</v>
      </c>
      <c r="Y20">
        <v>25.66</v>
      </c>
      <c r="Z20">
        <v>4340</v>
      </c>
      <c r="AA20">
        <v>31493</v>
      </c>
      <c r="AB20">
        <v>2750</v>
      </c>
      <c r="AC20" s="5">
        <v>100273.7</v>
      </c>
      <c r="AD20" s="5">
        <v>21366.400000000001</v>
      </c>
      <c r="AE20" s="5">
        <v>4176.1000000000004</v>
      </c>
      <c r="AF20" s="5">
        <v>324776.09999999998</v>
      </c>
      <c r="AG20" s="5">
        <v>1088.4000000000001</v>
      </c>
      <c r="AH20" s="5"/>
      <c r="AI20" s="5">
        <v>2451.8000000000002</v>
      </c>
      <c r="AK20" s="5">
        <v>61971.1</v>
      </c>
      <c r="AM20" s="5">
        <v>265</v>
      </c>
      <c r="AN20" s="5">
        <v>527</v>
      </c>
      <c r="AO20" s="8">
        <v>81.599999999999994</v>
      </c>
      <c r="AP20" s="5">
        <v>3224.1</v>
      </c>
      <c r="AV20" s="8">
        <v>50.2</v>
      </c>
      <c r="AZ20" s="28"/>
      <c r="BA20" s="29"/>
      <c r="BB20" s="29">
        <v>1810.38</v>
      </c>
      <c r="BC20" s="29">
        <v>323918.84000000003</v>
      </c>
      <c r="BD20" s="29">
        <v>1875.94</v>
      </c>
      <c r="BE20" s="29">
        <v>277.67</v>
      </c>
      <c r="BF20" s="29">
        <v>10245.01</v>
      </c>
      <c r="BG20" s="29"/>
      <c r="BH20" s="29">
        <v>442739.7</v>
      </c>
      <c r="BI20" s="29"/>
      <c r="BJ20" s="29">
        <v>1581.66</v>
      </c>
      <c r="BK20" s="29">
        <v>264.82</v>
      </c>
      <c r="BL20" s="29">
        <v>415.3</v>
      </c>
      <c r="BM20" s="29">
        <v>15455.3</v>
      </c>
      <c r="BN20" s="29">
        <v>401.45</v>
      </c>
      <c r="BO20" s="29"/>
      <c r="BP20" s="29"/>
      <c r="BQ20" s="29"/>
      <c r="BR20" s="29"/>
      <c r="BS20" s="28"/>
      <c r="BT20" s="29">
        <v>118.19</v>
      </c>
      <c r="BU20" s="29">
        <v>26.06</v>
      </c>
      <c r="BV20" s="29">
        <v>1134.8</v>
      </c>
    </row>
    <row r="21" spans="1:74">
      <c r="A21" t="str">
        <f>VLOOKUP(D21,info!$A$2:$G$49,3,FALSE)</f>
        <v>Daewoo</v>
      </c>
      <c r="B21">
        <v>22</v>
      </c>
      <c r="C21" t="s">
        <v>30</v>
      </c>
      <c r="D21">
        <v>8501017</v>
      </c>
      <c r="E21" s="1" t="s">
        <v>32</v>
      </c>
      <c r="F21">
        <v>109879</v>
      </c>
      <c r="G21">
        <v>27956</v>
      </c>
      <c r="H21">
        <v>7257</v>
      </c>
      <c r="I21">
        <v>364818</v>
      </c>
      <c r="J21">
        <v>799.7</v>
      </c>
      <c r="K21">
        <v>162.19999999999999</v>
      </c>
      <c r="L21">
        <v>4696</v>
      </c>
      <c r="M21">
        <v>31443</v>
      </c>
      <c r="N21">
        <v>58980</v>
      </c>
      <c r="O21">
        <v>53249</v>
      </c>
      <c r="P21">
        <v>209.1</v>
      </c>
      <c r="Q21">
        <v>275.60000000000002</v>
      </c>
      <c r="R21">
        <v>64.52</v>
      </c>
      <c r="S21">
        <v>3586</v>
      </c>
      <c r="T21">
        <v>25.88</v>
      </c>
      <c r="U21">
        <v>8.0229999999999997</v>
      </c>
      <c r="V21">
        <v>0</v>
      </c>
      <c r="W21">
        <v>20.04</v>
      </c>
      <c r="X21">
        <v>9.7189999999999994</v>
      </c>
      <c r="Y21">
        <v>25.36</v>
      </c>
      <c r="Z21">
        <v>9646</v>
      </c>
      <c r="AA21">
        <v>29239</v>
      </c>
      <c r="AB21">
        <v>3908</v>
      </c>
      <c r="AC21" s="5">
        <v>97676.1</v>
      </c>
      <c r="AD21" s="5">
        <v>21750.7</v>
      </c>
      <c r="AE21" s="5">
        <v>4565.8</v>
      </c>
      <c r="AF21" s="5">
        <v>335356.40000000002</v>
      </c>
      <c r="AG21" s="5">
        <v>1126.4000000000001</v>
      </c>
      <c r="AH21" s="5"/>
      <c r="AI21" s="5">
        <v>4465.3</v>
      </c>
      <c r="AK21" s="5">
        <v>51787.4</v>
      </c>
      <c r="AM21" s="5">
        <v>245</v>
      </c>
      <c r="AN21" s="5">
        <v>385.3</v>
      </c>
      <c r="AO21" s="8">
        <v>25.8</v>
      </c>
      <c r="AP21" s="5">
        <v>3117.3</v>
      </c>
      <c r="AV21" s="8">
        <v>54</v>
      </c>
      <c r="AZ21" s="28"/>
      <c r="BA21" s="29"/>
      <c r="BB21" s="29">
        <v>636.58000000000004</v>
      </c>
      <c r="BC21" s="29">
        <v>112236.45</v>
      </c>
      <c r="BD21" s="29">
        <v>590.58000000000004</v>
      </c>
      <c r="BE21" s="29">
        <v>93.68</v>
      </c>
      <c r="BF21" s="29">
        <v>7414.11</v>
      </c>
      <c r="BG21" s="29"/>
      <c r="BH21" s="29">
        <v>127194.87</v>
      </c>
      <c r="BI21" s="29"/>
      <c r="BJ21" s="29">
        <v>355.78</v>
      </c>
      <c r="BK21" s="29">
        <v>45.08</v>
      </c>
      <c r="BL21" s="29">
        <v>83.12</v>
      </c>
      <c r="BM21" s="29">
        <v>5234.7299999999996</v>
      </c>
      <c r="BN21" s="29">
        <v>130.25</v>
      </c>
      <c r="BO21" s="29"/>
      <c r="BP21" s="29"/>
      <c r="BQ21" s="29"/>
      <c r="BR21" s="29"/>
      <c r="BS21" s="28"/>
      <c r="BT21" s="29">
        <v>998</v>
      </c>
      <c r="BU21" s="29">
        <v>3262.29</v>
      </c>
      <c r="BV21" s="29">
        <v>196.67</v>
      </c>
    </row>
    <row r="22" spans="1:74">
      <c r="A22" t="str">
        <f>VLOOKUP(D22,info!$A$2:$G$49,3,FALSE)</f>
        <v>Daewoo</v>
      </c>
      <c r="B22">
        <v>23</v>
      </c>
      <c r="C22" t="s">
        <v>30</v>
      </c>
      <c r="D22">
        <v>8501017</v>
      </c>
      <c r="E22" s="1" t="s">
        <v>34</v>
      </c>
      <c r="F22">
        <v>116802</v>
      </c>
      <c r="G22">
        <v>29019</v>
      </c>
      <c r="H22">
        <v>7395</v>
      </c>
      <c r="I22">
        <v>371677</v>
      </c>
      <c r="J22">
        <v>818.3</v>
      </c>
      <c r="K22">
        <v>106.6</v>
      </c>
      <c r="L22">
        <v>4659</v>
      </c>
      <c r="M22">
        <v>32272</v>
      </c>
      <c r="N22">
        <v>59157</v>
      </c>
      <c r="O22">
        <v>53750</v>
      </c>
      <c r="P22">
        <v>215.2</v>
      </c>
      <c r="Q22">
        <v>163.80000000000001</v>
      </c>
      <c r="R22">
        <v>46.94</v>
      </c>
      <c r="S22">
        <v>3191</v>
      </c>
      <c r="T22">
        <v>26.06</v>
      </c>
      <c r="U22">
        <v>7.6689999999999996</v>
      </c>
      <c r="V22">
        <v>5.24</v>
      </c>
      <c r="W22">
        <v>19.09</v>
      </c>
      <c r="X22">
        <v>16.760000000000002</v>
      </c>
      <c r="Y22">
        <v>30.04</v>
      </c>
      <c r="Z22">
        <v>10495</v>
      </c>
      <c r="AA22">
        <v>30603</v>
      </c>
      <c r="AB22">
        <v>3852</v>
      </c>
      <c r="AC22" s="5">
        <v>97187.9</v>
      </c>
      <c r="AD22" s="5">
        <v>21675.7</v>
      </c>
      <c r="AE22" s="5">
        <v>4713.2</v>
      </c>
      <c r="AF22" s="5">
        <v>335919.5</v>
      </c>
      <c r="AG22" s="5">
        <v>988</v>
      </c>
      <c r="AH22" s="5"/>
      <c r="AI22" s="5">
        <v>4261.1000000000004</v>
      </c>
      <c r="AK22" s="5">
        <v>51026.2</v>
      </c>
      <c r="AM22" s="5">
        <v>230</v>
      </c>
      <c r="AN22" s="5">
        <v>391.8</v>
      </c>
      <c r="AO22" s="8">
        <v>32.5</v>
      </c>
      <c r="AP22" s="5">
        <v>3173.7</v>
      </c>
      <c r="AV22" s="8">
        <v>60.2</v>
      </c>
      <c r="AZ22" s="28"/>
      <c r="BA22" s="29"/>
      <c r="BB22" s="29">
        <v>2175.12</v>
      </c>
      <c r="BC22" s="29">
        <v>350437.94</v>
      </c>
      <c r="BD22" s="29">
        <v>2101.84</v>
      </c>
      <c r="BE22" s="29">
        <v>208.76</v>
      </c>
      <c r="BF22" s="29">
        <v>22823.33</v>
      </c>
      <c r="BG22" s="29"/>
      <c r="BH22" s="29">
        <v>396462.39</v>
      </c>
      <c r="BI22" s="29"/>
      <c r="BJ22" s="29">
        <v>1253.95</v>
      </c>
      <c r="BK22" s="29">
        <v>12.93</v>
      </c>
      <c r="BL22" s="29">
        <v>199.26</v>
      </c>
      <c r="BM22" s="29">
        <v>17438.3</v>
      </c>
      <c r="BN22" s="29">
        <v>444.54</v>
      </c>
      <c r="BO22" s="29"/>
      <c r="BP22" s="29"/>
      <c r="BQ22" s="29"/>
      <c r="BR22" s="29"/>
      <c r="BS22" s="28"/>
      <c r="BT22" s="29">
        <v>2658.88</v>
      </c>
      <c r="BU22" s="29">
        <v>7611.59</v>
      </c>
      <c r="BV22" s="29">
        <v>563.63</v>
      </c>
    </row>
    <row r="23" spans="1:74">
      <c r="A23" t="str">
        <f>VLOOKUP(D23,info!$A$2:$G$49,3,FALSE)</f>
        <v>Mitsubishi</v>
      </c>
      <c r="B23">
        <v>24</v>
      </c>
      <c r="C23" t="s">
        <v>30</v>
      </c>
      <c r="D23">
        <v>7027220</v>
      </c>
      <c r="E23" s="1" t="s">
        <v>32</v>
      </c>
      <c r="F23">
        <v>129829</v>
      </c>
      <c r="G23">
        <v>35131</v>
      </c>
      <c r="H23">
        <v>12039</v>
      </c>
      <c r="I23">
        <v>400736</v>
      </c>
      <c r="J23">
        <v>513.1</v>
      </c>
      <c r="K23">
        <v>97.41</v>
      </c>
      <c r="L23">
        <v>2513</v>
      </c>
      <c r="M23">
        <v>30176</v>
      </c>
      <c r="N23">
        <v>64289</v>
      </c>
      <c r="O23">
        <v>58013</v>
      </c>
      <c r="P23">
        <v>336.3</v>
      </c>
      <c r="Q23">
        <v>106</v>
      </c>
      <c r="R23">
        <v>136.6</v>
      </c>
      <c r="S23">
        <v>2355</v>
      </c>
      <c r="T23">
        <v>20.18</v>
      </c>
      <c r="U23">
        <v>4.4550000000000001</v>
      </c>
      <c r="V23">
        <v>12.11</v>
      </c>
      <c r="W23">
        <v>22.47</v>
      </c>
      <c r="X23">
        <v>25.2</v>
      </c>
      <c r="Y23">
        <v>55.26</v>
      </c>
      <c r="Z23">
        <v>10902</v>
      </c>
      <c r="AA23">
        <v>33062</v>
      </c>
      <c r="AB23">
        <v>3328</v>
      </c>
      <c r="AC23" s="5">
        <v>96926.9</v>
      </c>
      <c r="AD23" s="5">
        <v>23692.9</v>
      </c>
      <c r="AE23" s="5">
        <v>7288.2</v>
      </c>
      <c r="AF23" s="5">
        <v>333055.90000000002</v>
      </c>
      <c r="AG23" s="5">
        <v>690.4</v>
      </c>
      <c r="AH23" s="5"/>
      <c r="AI23" s="5">
        <v>2277.6999999999998</v>
      </c>
      <c r="AK23" s="5">
        <v>52322.2</v>
      </c>
      <c r="AM23" s="5">
        <v>313.10000000000002</v>
      </c>
      <c r="AN23" s="5">
        <v>430.2</v>
      </c>
      <c r="AO23" s="5">
        <v>128.5</v>
      </c>
      <c r="AP23" s="5">
        <v>2370.1999999999998</v>
      </c>
      <c r="AV23" s="8">
        <v>62.5</v>
      </c>
      <c r="AZ23" s="28"/>
      <c r="BA23" s="29"/>
      <c r="BB23" s="29">
        <v>509.5</v>
      </c>
      <c r="BC23" s="29">
        <v>66137.490000000005</v>
      </c>
      <c r="BD23" s="29">
        <v>346.29</v>
      </c>
      <c r="BE23" s="29">
        <v>27.54</v>
      </c>
      <c r="BF23" s="29">
        <v>2021.93</v>
      </c>
      <c r="BG23" s="29"/>
      <c r="BH23" s="29">
        <v>80768.37</v>
      </c>
      <c r="BI23" s="29"/>
      <c r="BJ23" s="29">
        <v>435.14</v>
      </c>
      <c r="BK23" s="29">
        <v>10.87</v>
      </c>
      <c r="BL23" s="29">
        <v>189.55</v>
      </c>
      <c r="BM23" s="29">
        <v>2655.34</v>
      </c>
      <c r="BN23" s="29">
        <v>58.13</v>
      </c>
      <c r="BO23" s="29"/>
      <c r="BP23" s="29"/>
      <c r="BQ23" s="29"/>
      <c r="BR23" s="29"/>
      <c r="BS23" s="28"/>
      <c r="BT23" s="29">
        <v>584.4</v>
      </c>
      <c r="BU23" s="29">
        <v>1337.55</v>
      </c>
      <c r="BV23" s="29">
        <v>7.34</v>
      </c>
    </row>
    <row r="24" spans="1:74">
      <c r="A24" t="str">
        <f>VLOOKUP(D24,info!$A$2:$G$49,3,FALSE)</f>
        <v>Subaru</v>
      </c>
      <c r="B24">
        <v>25</v>
      </c>
      <c r="C24" t="s">
        <v>30</v>
      </c>
      <c r="D24">
        <v>2675308</v>
      </c>
      <c r="E24" s="1" t="s">
        <v>32</v>
      </c>
      <c r="F24">
        <v>120756</v>
      </c>
      <c r="G24">
        <v>29037</v>
      </c>
      <c r="H24">
        <v>10612</v>
      </c>
      <c r="I24">
        <v>381853</v>
      </c>
      <c r="J24">
        <v>678.2</v>
      </c>
      <c r="K24">
        <v>342.9</v>
      </c>
      <c r="L24">
        <v>5437</v>
      </c>
      <c r="M24">
        <v>35647</v>
      </c>
      <c r="N24">
        <v>66084</v>
      </c>
      <c r="O24">
        <v>59866</v>
      </c>
      <c r="P24">
        <v>167</v>
      </c>
      <c r="Q24">
        <v>255.4</v>
      </c>
      <c r="R24">
        <v>70.34</v>
      </c>
      <c r="S24">
        <v>2770</v>
      </c>
      <c r="T24">
        <v>25.82</v>
      </c>
      <c r="U24">
        <v>11.73</v>
      </c>
      <c r="V24">
        <v>0</v>
      </c>
      <c r="W24">
        <v>27.94</v>
      </c>
      <c r="X24">
        <v>25.28</v>
      </c>
      <c r="Y24">
        <v>8.9629999999999992</v>
      </c>
      <c r="Z24">
        <v>4070</v>
      </c>
      <c r="AA24">
        <v>35248</v>
      </c>
      <c r="AB24">
        <v>4291</v>
      </c>
      <c r="AC24" s="5">
        <v>99245.5</v>
      </c>
      <c r="AD24" s="5">
        <v>20596.400000000001</v>
      </c>
      <c r="AE24" s="5">
        <v>6496</v>
      </c>
      <c r="AF24" s="5">
        <v>333363.3</v>
      </c>
      <c r="AG24" s="5">
        <v>948.8</v>
      </c>
      <c r="AH24" s="5"/>
      <c r="AI24" s="5">
        <v>4720.5</v>
      </c>
      <c r="AK24" s="5">
        <v>55569.599999999999</v>
      </c>
      <c r="AM24" s="5">
        <v>201.8</v>
      </c>
      <c r="AN24" s="5">
        <v>294.7</v>
      </c>
      <c r="AO24" s="8">
        <v>68.5</v>
      </c>
      <c r="AP24" s="5">
        <v>2148</v>
      </c>
      <c r="AV24" s="8">
        <v>60.7</v>
      </c>
      <c r="AZ24" s="28"/>
      <c r="BA24" s="29"/>
      <c r="BB24" s="29">
        <v>1497.4</v>
      </c>
      <c r="BC24" s="29">
        <v>186840.71</v>
      </c>
      <c r="BD24" s="29">
        <v>901.41</v>
      </c>
      <c r="BE24" s="29">
        <v>246.33</v>
      </c>
      <c r="BF24" s="29">
        <v>14058.67</v>
      </c>
      <c r="BG24" s="29"/>
      <c r="BH24" s="29">
        <v>227564.2</v>
      </c>
      <c r="BI24" s="29"/>
      <c r="BJ24" s="29">
        <v>548.05999999999995</v>
      </c>
      <c r="BK24" s="29">
        <v>188.8</v>
      </c>
      <c r="BL24" s="29">
        <v>238.63</v>
      </c>
      <c r="BM24" s="29">
        <v>6652.74</v>
      </c>
      <c r="BN24" s="29">
        <v>277.7</v>
      </c>
      <c r="BO24" s="29"/>
      <c r="BP24" s="29"/>
      <c r="BQ24" s="29"/>
      <c r="BR24" s="29"/>
      <c r="BS24" s="28"/>
      <c r="BT24" s="29">
        <v>2213.83</v>
      </c>
      <c r="BU24" s="29">
        <v>5258.93</v>
      </c>
      <c r="BV24" s="29">
        <v>113.85</v>
      </c>
    </row>
    <row r="25" spans="1:74">
      <c r="A25" t="str">
        <f>VLOOKUP(D25,info!$A$2:$G$49,3,FALSE)</f>
        <v>Mitsubishi</v>
      </c>
      <c r="B25">
        <v>26</v>
      </c>
      <c r="C25" t="s">
        <v>30</v>
      </c>
      <c r="D25">
        <v>7027220</v>
      </c>
      <c r="E25" s="1" t="s">
        <v>34</v>
      </c>
      <c r="F25">
        <v>114750</v>
      </c>
      <c r="G25">
        <v>32789</v>
      </c>
      <c r="H25">
        <v>11189</v>
      </c>
      <c r="I25">
        <v>368880</v>
      </c>
      <c r="J25">
        <v>672.2</v>
      </c>
      <c r="K25">
        <v>188.4</v>
      </c>
      <c r="L25">
        <v>4387</v>
      </c>
      <c r="M25">
        <v>30898</v>
      </c>
      <c r="N25">
        <v>59707</v>
      </c>
      <c r="O25">
        <v>53787</v>
      </c>
      <c r="P25">
        <v>460.4</v>
      </c>
      <c r="Q25">
        <v>324.3</v>
      </c>
      <c r="R25">
        <v>123.5</v>
      </c>
      <c r="S25">
        <v>3069</v>
      </c>
      <c r="T25">
        <v>23.04</v>
      </c>
      <c r="U25">
        <v>11.91</v>
      </c>
      <c r="V25">
        <v>7.3220000000000001</v>
      </c>
      <c r="W25">
        <v>23.59</v>
      </c>
      <c r="X25">
        <v>5.8860000000000001</v>
      </c>
      <c r="Y25">
        <v>30.54</v>
      </c>
      <c r="Z25">
        <v>10870</v>
      </c>
      <c r="AA25">
        <v>28194</v>
      </c>
      <c r="AB25">
        <v>3634</v>
      </c>
      <c r="AC25" s="5">
        <v>98699</v>
      </c>
      <c r="AD25" s="5">
        <v>24567.9</v>
      </c>
      <c r="AE25" s="5">
        <v>7288.4</v>
      </c>
      <c r="AF25" s="5">
        <v>330298.09999999998</v>
      </c>
      <c r="AG25" s="5">
        <v>900.7</v>
      </c>
      <c r="AH25" s="5"/>
      <c r="AI25" s="5">
        <v>4092.4</v>
      </c>
      <c r="AK25" s="5">
        <v>50916.6</v>
      </c>
      <c r="AM25" s="5">
        <v>517.1</v>
      </c>
      <c r="AN25" s="5">
        <v>470.8</v>
      </c>
      <c r="AO25" s="5">
        <v>112.2</v>
      </c>
      <c r="AP25" s="5">
        <v>2193.4</v>
      </c>
      <c r="AV25" s="8">
        <v>55</v>
      </c>
      <c r="AZ25" s="28"/>
      <c r="BA25" s="29"/>
      <c r="BB25" s="29">
        <v>1331.59</v>
      </c>
      <c r="BC25" s="29">
        <v>183948.2</v>
      </c>
      <c r="BD25" s="29">
        <v>802.8</v>
      </c>
      <c r="BE25" s="29">
        <v>96.8</v>
      </c>
      <c r="BF25" s="29">
        <v>11394.39</v>
      </c>
      <c r="BG25" s="29"/>
      <c r="BH25" s="29">
        <v>212506.16</v>
      </c>
      <c r="BI25" s="29"/>
      <c r="BJ25" s="29">
        <v>1881.49</v>
      </c>
      <c r="BK25" s="29">
        <v>63.21</v>
      </c>
      <c r="BL25" s="29">
        <v>299.64999999999998</v>
      </c>
      <c r="BM25" s="29">
        <v>6733</v>
      </c>
      <c r="BN25" s="29">
        <v>313.2</v>
      </c>
      <c r="BO25" s="29"/>
      <c r="BP25" s="29"/>
      <c r="BQ25" s="29"/>
      <c r="BR25" s="29"/>
      <c r="BS25" s="28"/>
      <c r="BT25" s="29">
        <v>2062.61</v>
      </c>
      <c r="BU25" s="29">
        <v>4445.96</v>
      </c>
      <c r="BV25" s="29">
        <v>173.39</v>
      </c>
    </row>
    <row r="26" spans="1:74">
      <c r="A26" t="str">
        <f>VLOOKUP(D26,info!$A$2:$G$49,3,FALSE)</f>
        <v>Fiat</v>
      </c>
      <c r="B26">
        <v>27</v>
      </c>
      <c r="C26" t="s">
        <v>30</v>
      </c>
      <c r="D26">
        <v>5751910</v>
      </c>
      <c r="E26" s="1" t="s">
        <v>32</v>
      </c>
      <c r="F26">
        <v>120056</v>
      </c>
      <c r="G26">
        <v>29006</v>
      </c>
      <c r="H26">
        <v>4852</v>
      </c>
      <c r="I26">
        <v>375591</v>
      </c>
      <c r="J26">
        <v>481.6</v>
      </c>
      <c r="K26">
        <v>241.9</v>
      </c>
      <c r="L26">
        <v>2784</v>
      </c>
      <c r="M26">
        <v>28094</v>
      </c>
      <c r="N26">
        <v>58461</v>
      </c>
      <c r="O26">
        <v>52934</v>
      </c>
      <c r="P26">
        <v>240.3</v>
      </c>
      <c r="Q26">
        <v>251.1</v>
      </c>
      <c r="R26">
        <v>68.69</v>
      </c>
      <c r="S26">
        <v>5351</v>
      </c>
      <c r="T26">
        <v>33.29</v>
      </c>
      <c r="U26">
        <v>9.1150000000000002</v>
      </c>
      <c r="V26">
        <v>1.5589999999999999</v>
      </c>
      <c r="W26">
        <v>21.34</v>
      </c>
      <c r="X26">
        <v>43.21</v>
      </c>
      <c r="Y26">
        <v>0</v>
      </c>
      <c r="Z26">
        <v>9970</v>
      </c>
      <c r="AA26">
        <v>27342</v>
      </c>
      <c r="AB26">
        <v>3218</v>
      </c>
      <c r="AC26" s="5">
        <v>97078.5</v>
      </c>
      <c r="AD26" s="5">
        <v>21353.1</v>
      </c>
      <c r="AE26" s="5">
        <v>2618.1999999999998</v>
      </c>
      <c r="AF26" s="5">
        <v>331686.40000000002</v>
      </c>
      <c r="AG26" s="5">
        <v>690.7</v>
      </c>
      <c r="AH26" s="5"/>
      <c r="AI26" s="5">
        <v>2753.8</v>
      </c>
      <c r="AK26" s="5">
        <v>49724.1</v>
      </c>
      <c r="AM26" s="5">
        <v>254.3</v>
      </c>
      <c r="AN26" s="5">
        <v>546.4</v>
      </c>
      <c r="AO26" s="8">
        <v>45.3</v>
      </c>
      <c r="AP26" s="5">
        <v>5161.6000000000004</v>
      </c>
      <c r="AV26" s="8"/>
      <c r="AZ26" s="28"/>
      <c r="BA26" s="29"/>
      <c r="BB26" s="29">
        <v>949.42</v>
      </c>
      <c r="BC26" s="29">
        <v>202649.46</v>
      </c>
      <c r="BD26" s="29">
        <v>466.98</v>
      </c>
      <c r="BE26" s="29">
        <v>34.200000000000003</v>
      </c>
      <c r="BF26" s="29">
        <v>6722.37</v>
      </c>
      <c r="BG26" s="29"/>
      <c r="BH26" s="29">
        <v>226709.71</v>
      </c>
      <c r="BI26" s="29"/>
      <c r="BJ26" s="29">
        <v>947.14</v>
      </c>
      <c r="BK26" s="29">
        <v>67.56</v>
      </c>
      <c r="BL26" s="29">
        <v>140.51</v>
      </c>
      <c r="BM26" s="29">
        <v>17355.580000000002</v>
      </c>
      <c r="BN26" s="29">
        <v>314.79000000000002</v>
      </c>
      <c r="BO26" s="29"/>
      <c r="BP26" s="29"/>
      <c r="BQ26" s="29"/>
      <c r="BR26" s="29"/>
      <c r="BS26" s="28"/>
      <c r="BT26" s="29">
        <v>1883.8</v>
      </c>
      <c r="BU26" s="29">
        <v>5659.71</v>
      </c>
      <c r="BV26" s="29">
        <v>170.78</v>
      </c>
    </row>
    <row r="27" spans="1:74">
      <c r="A27" t="str">
        <f>VLOOKUP(D27,info!$A$2:$G$49,3,FALSE)</f>
        <v>Subaru</v>
      </c>
      <c r="B27">
        <v>28</v>
      </c>
      <c r="C27" t="s">
        <v>30</v>
      </c>
      <c r="D27">
        <v>2675308</v>
      </c>
      <c r="E27" s="1" t="s">
        <v>32</v>
      </c>
      <c r="F27">
        <v>125667</v>
      </c>
      <c r="G27">
        <v>29408</v>
      </c>
      <c r="H27">
        <v>10530</v>
      </c>
      <c r="I27">
        <v>382671</v>
      </c>
      <c r="J27">
        <v>639.9</v>
      </c>
      <c r="K27">
        <v>289.5</v>
      </c>
      <c r="L27">
        <v>5376</v>
      </c>
      <c r="M27">
        <v>35665</v>
      </c>
      <c r="N27">
        <v>65589</v>
      </c>
      <c r="O27">
        <v>59434</v>
      </c>
      <c r="P27">
        <v>187.1</v>
      </c>
      <c r="Q27">
        <v>145.6</v>
      </c>
      <c r="R27">
        <v>65.930000000000007</v>
      </c>
      <c r="S27">
        <v>2309</v>
      </c>
      <c r="T27">
        <v>21.04</v>
      </c>
      <c r="U27">
        <v>7.3390000000000004</v>
      </c>
      <c r="V27">
        <v>14.23</v>
      </c>
      <c r="W27">
        <v>27.73</v>
      </c>
      <c r="X27">
        <v>24.63</v>
      </c>
      <c r="Y27">
        <v>8.9039999999999999</v>
      </c>
      <c r="Z27">
        <v>8763</v>
      </c>
      <c r="AA27">
        <v>33932</v>
      </c>
      <c r="AB27">
        <v>4205</v>
      </c>
      <c r="AC27" s="5">
        <v>99544.8</v>
      </c>
      <c r="AD27" s="5">
        <v>20768.5</v>
      </c>
      <c r="AE27" s="5">
        <v>6663.6</v>
      </c>
      <c r="AF27" s="5">
        <v>330405.8</v>
      </c>
      <c r="AG27" s="5">
        <v>868.9</v>
      </c>
      <c r="AH27" s="5"/>
      <c r="AI27" s="5">
        <v>4745.3999999999996</v>
      </c>
      <c r="AK27" s="5">
        <v>55353.8</v>
      </c>
      <c r="AM27" s="5">
        <v>206.3</v>
      </c>
      <c r="AN27" s="5">
        <v>525.70000000000005</v>
      </c>
      <c r="AO27" s="8">
        <v>58.4</v>
      </c>
      <c r="AP27" s="5">
        <v>2253.6999999999998</v>
      </c>
      <c r="AV27" s="8">
        <v>58.3</v>
      </c>
      <c r="AZ27" s="28"/>
      <c r="BA27" s="29"/>
      <c r="BB27" s="29">
        <v>1785.66</v>
      </c>
      <c r="BC27" s="29">
        <v>238777.88</v>
      </c>
      <c r="BD27" s="29">
        <v>1078.6199999999999</v>
      </c>
      <c r="BE27" s="29">
        <v>166.11</v>
      </c>
      <c r="BF27" s="29">
        <v>17730.88</v>
      </c>
      <c r="BG27" s="29"/>
      <c r="BH27" s="29">
        <v>288977.21000000002</v>
      </c>
      <c r="BI27" s="29"/>
      <c r="BJ27" s="29">
        <v>675.21</v>
      </c>
      <c r="BK27" s="29">
        <v>117.1</v>
      </c>
      <c r="BL27" s="29">
        <v>225.76</v>
      </c>
      <c r="BM27" s="29">
        <v>8014.53</v>
      </c>
      <c r="BN27" s="29">
        <v>367.77</v>
      </c>
      <c r="BO27" s="29"/>
      <c r="BP27" s="29"/>
      <c r="BQ27" s="29"/>
      <c r="BR27" s="29"/>
      <c r="BS27" s="28"/>
      <c r="BT27" s="29">
        <v>104.76</v>
      </c>
      <c r="BU27" s="29">
        <v>75.77</v>
      </c>
      <c r="BV27" s="29">
        <v>453.22</v>
      </c>
    </row>
    <row r="28" spans="1:74">
      <c r="A28" t="str">
        <f>VLOOKUP(D28,info!$A$2:$G$49,3,FALSE)</f>
        <v>Renault</v>
      </c>
      <c r="B28">
        <v>29</v>
      </c>
      <c r="C28" t="s">
        <v>30</v>
      </c>
      <c r="D28">
        <v>1147816</v>
      </c>
      <c r="E28" s="1" t="s">
        <v>52</v>
      </c>
      <c r="F28">
        <v>109678</v>
      </c>
      <c r="G28">
        <v>27119</v>
      </c>
      <c r="H28">
        <v>6440</v>
      </c>
      <c r="I28">
        <v>307492</v>
      </c>
      <c r="J28">
        <v>528.6</v>
      </c>
      <c r="K28">
        <v>168.7</v>
      </c>
      <c r="L28">
        <v>1042</v>
      </c>
      <c r="M28">
        <v>22833</v>
      </c>
      <c r="N28">
        <v>52928</v>
      </c>
      <c r="O28">
        <v>49093</v>
      </c>
      <c r="P28">
        <v>247.7</v>
      </c>
      <c r="Q28">
        <v>15.35</v>
      </c>
      <c r="R28">
        <v>140.19999999999999</v>
      </c>
      <c r="S28">
        <v>2958</v>
      </c>
      <c r="T28">
        <v>20.9</v>
      </c>
      <c r="U28">
        <v>6.9930000000000003</v>
      </c>
      <c r="V28">
        <v>7.2469999999999999</v>
      </c>
      <c r="W28">
        <v>9.3780000000000001</v>
      </c>
      <c r="X28">
        <v>2.8279999999999998</v>
      </c>
      <c r="Y28">
        <v>40.5</v>
      </c>
      <c r="Z28">
        <v>8759</v>
      </c>
      <c r="AA28">
        <v>27267</v>
      </c>
      <c r="AB28">
        <v>2360</v>
      </c>
      <c r="AC28" s="5">
        <v>101263</v>
      </c>
      <c r="AD28" s="5">
        <v>23159.3</v>
      </c>
      <c r="AE28" s="5">
        <v>3936.6</v>
      </c>
      <c r="AF28" s="5">
        <v>328359.59999999998</v>
      </c>
      <c r="AG28" s="5">
        <v>856.1</v>
      </c>
      <c r="AH28" s="5"/>
      <c r="AI28" s="5">
        <v>1474.5</v>
      </c>
      <c r="AK28" s="5">
        <v>51480.9</v>
      </c>
      <c r="AM28" s="5">
        <v>319.10000000000002</v>
      </c>
      <c r="AN28" s="5">
        <v>652.6</v>
      </c>
      <c r="AO28" s="5">
        <v>191.8</v>
      </c>
      <c r="AP28" s="5">
        <v>3710.4</v>
      </c>
      <c r="AV28" s="8">
        <v>45.9</v>
      </c>
      <c r="AZ28" s="28"/>
      <c r="BA28" s="29"/>
      <c r="BB28" s="29">
        <v>537.30999999999995</v>
      </c>
      <c r="BC28" s="29">
        <v>109163.26</v>
      </c>
      <c r="BD28" s="29">
        <v>286.19</v>
      </c>
      <c r="BE28" s="29">
        <v>19.670000000000002</v>
      </c>
      <c r="BF28" s="29">
        <v>1264.48</v>
      </c>
      <c r="BG28" s="29"/>
      <c r="BH28" s="29">
        <v>126401.99</v>
      </c>
      <c r="BI28" s="29"/>
      <c r="BJ28" s="29">
        <v>603.79</v>
      </c>
      <c r="BK28" s="29">
        <v>47.66</v>
      </c>
      <c r="BL28" s="29">
        <v>329.07</v>
      </c>
      <c r="BM28" s="29">
        <v>5948.38</v>
      </c>
      <c r="BN28" s="29">
        <v>157.93</v>
      </c>
      <c r="BO28" s="29"/>
      <c r="BP28" s="29"/>
      <c r="BQ28" s="29"/>
      <c r="BR28" s="29"/>
      <c r="BS28" s="28"/>
      <c r="BT28" s="29">
        <v>915.63</v>
      </c>
      <c r="BU28" s="29">
        <v>1564.52</v>
      </c>
      <c r="BV28" s="29">
        <v>202.39</v>
      </c>
    </row>
    <row r="29" spans="1:74">
      <c r="A29" t="str">
        <f>VLOOKUP(D29,info!$A$2:$G$49,3,FALSE)</f>
        <v>Ford</v>
      </c>
      <c r="B29">
        <v>30</v>
      </c>
      <c r="C29" t="s">
        <v>30</v>
      </c>
      <c r="D29">
        <v>6917835</v>
      </c>
      <c r="E29" s="1" t="s">
        <v>34</v>
      </c>
      <c r="F29">
        <v>101977</v>
      </c>
      <c r="G29">
        <v>26208</v>
      </c>
      <c r="H29">
        <v>5379</v>
      </c>
      <c r="I29">
        <v>318642</v>
      </c>
      <c r="J29">
        <v>479.3</v>
      </c>
      <c r="K29">
        <v>146.80000000000001</v>
      </c>
      <c r="L29">
        <v>2257</v>
      </c>
      <c r="M29">
        <v>24829</v>
      </c>
      <c r="N29">
        <v>54981</v>
      </c>
      <c r="O29">
        <v>50346</v>
      </c>
      <c r="P29">
        <v>207.6</v>
      </c>
      <c r="Q29">
        <v>12.09</v>
      </c>
      <c r="R29">
        <v>24.91</v>
      </c>
      <c r="S29">
        <v>5151</v>
      </c>
      <c r="T29">
        <v>20.61</v>
      </c>
      <c r="U29">
        <v>7.0369999999999999</v>
      </c>
      <c r="V29">
        <v>0</v>
      </c>
      <c r="W29">
        <v>5.5590000000000002</v>
      </c>
      <c r="X29">
        <v>7.6180000000000003</v>
      </c>
      <c r="Y29">
        <v>36.409999999999997</v>
      </c>
      <c r="Z29">
        <v>9911</v>
      </c>
      <c r="AA29">
        <v>25222</v>
      </c>
      <c r="AB29">
        <v>2758</v>
      </c>
      <c r="AC29" s="5">
        <v>94040.1</v>
      </c>
      <c r="AD29" s="5">
        <v>22354.799999999999</v>
      </c>
      <c r="AE29" s="5">
        <v>3526.2</v>
      </c>
      <c r="AF29" s="5">
        <v>330540.79999999999</v>
      </c>
      <c r="AG29" s="5">
        <v>814</v>
      </c>
      <c r="AH29" s="5"/>
      <c r="AI29" s="5">
        <v>2507</v>
      </c>
      <c r="AK29" s="5">
        <v>54285.599999999999</v>
      </c>
      <c r="AM29" s="5">
        <v>294.5</v>
      </c>
      <c r="AN29" s="5">
        <v>406.8</v>
      </c>
      <c r="AO29" s="8">
        <v>35</v>
      </c>
      <c r="AP29" s="5">
        <v>6831</v>
      </c>
      <c r="AV29" s="5">
        <v>105.7</v>
      </c>
      <c r="AZ29" s="28"/>
      <c r="BA29" s="29"/>
      <c r="BB29" s="29">
        <v>711.26</v>
      </c>
      <c r="BC29" s="29">
        <v>134306.35</v>
      </c>
      <c r="BD29" s="29">
        <v>441.56</v>
      </c>
      <c r="BE29" s="29">
        <v>116.31</v>
      </c>
      <c r="BF29" s="29">
        <v>4534.6000000000004</v>
      </c>
      <c r="BG29" s="29"/>
      <c r="BH29" s="29">
        <v>159982.97</v>
      </c>
      <c r="BI29" s="29"/>
      <c r="BJ29" s="29">
        <v>586.99</v>
      </c>
      <c r="BK29" s="29">
        <v>197.33</v>
      </c>
      <c r="BL29" s="29">
        <v>46.51</v>
      </c>
      <c r="BM29" s="29">
        <v>13825.39</v>
      </c>
      <c r="BN29" s="29">
        <v>295.8</v>
      </c>
      <c r="BO29" s="29"/>
      <c r="BP29" s="29"/>
      <c r="BQ29" s="29"/>
      <c r="BR29" s="29"/>
      <c r="BS29" s="28"/>
      <c r="BT29" s="29">
        <v>934.48</v>
      </c>
      <c r="BU29" s="29">
        <v>3388.79</v>
      </c>
      <c r="BV29" s="29">
        <v>387.2</v>
      </c>
    </row>
    <row r="30" spans="1:74">
      <c r="A30" t="str">
        <f>VLOOKUP(D30,info!$A$2:$G$49,3,FALSE)</f>
        <v>Hyundai</v>
      </c>
      <c r="B30">
        <v>31</v>
      </c>
      <c r="C30" t="s">
        <v>30</v>
      </c>
      <c r="D30">
        <v>9602910</v>
      </c>
      <c r="E30" s="1" t="s">
        <v>52</v>
      </c>
      <c r="F30">
        <v>107807</v>
      </c>
      <c r="G30">
        <v>26643</v>
      </c>
      <c r="H30">
        <v>7300</v>
      </c>
      <c r="I30">
        <v>331481</v>
      </c>
      <c r="J30">
        <v>516.79999999999995</v>
      </c>
      <c r="K30">
        <v>276.39999999999998</v>
      </c>
      <c r="L30">
        <v>3440</v>
      </c>
      <c r="M30">
        <v>30817</v>
      </c>
      <c r="N30">
        <v>65498</v>
      </c>
      <c r="O30">
        <v>59304</v>
      </c>
      <c r="P30">
        <v>230.6</v>
      </c>
      <c r="Q30">
        <v>16.41</v>
      </c>
      <c r="R30">
        <v>51.11</v>
      </c>
      <c r="S30">
        <v>2469</v>
      </c>
      <c r="T30">
        <v>17.649999999999999</v>
      </c>
      <c r="U30">
        <v>6.3040000000000003</v>
      </c>
      <c r="V30">
        <v>4.3070000000000004</v>
      </c>
      <c r="W30">
        <v>3.609</v>
      </c>
      <c r="X30">
        <v>9.8260000000000005</v>
      </c>
      <c r="Y30">
        <v>41.68</v>
      </c>
      <c r="Z30">
        <v>9509</v>
      </c>
      <c r="AA30">
        <v>30078</v>
      </c>
      <c r="AB30">
        <v>3431</v>
      </c>
      <c r="AC30" s="5">
        <v>98033.5</v>
      </c>
      <c r="AD30" s="5">
        <v>21770.6</v>
      </c>
      <c r="AE30" s="5">
        <v>4765.8999999999996</v>
      </c>
      <c r="AF30" s="5">
        <v>324490.59999999998</v>
      </c>
      <c r="AG30" s="5">
        <v>910.5</v>
      </c>
      <c r="AH30" s="5"/>
      <c r="AI30" s="5">
        <v>3464.1</v>
      </c>
      <c r="AK30" s="5">
        <v>60485.5</v>
      </c>
      <c r="AM30" s="5">
        <v>230.9</v>
      </c>
      <c r="AN30" s="5">
        <v>477.6</v>
      </c>
      <c r="AO30" s="8">
        <v>73</v>
      </c>
      <c r="AP30" s="5">
        <v>3117.8</v>
      </c>
      <c r="AV30" s="8">
        <v>41.5</v>
      </c>
      <c r="AZ30" s="28"/>
      <c r="BA30" s="29"/>
      <c r="BB30" s="29">
        <v>1190.6300000000001</v>
      </c>
      <c r="BC30" s="29">
        <v>205608.01</v>
      </c>
      <c r="BD30" s="29">
        <v>1307.8800000000001</v>
      </c>
      <c r="BE30" s="29">
        <v>266.55</v>
      </c>
      <c r="BF30" s="29">
        <v>9919.01</v>
      </c>
      <c r="BG30" s="29"/>
      <c r="BH30" s="29">
        <v>275961.33</v>
      </c>
      <c r="BI30" s="29"/>
      <c r="BJ30" s="29">
        <v>904.44</v>
      </c>
      <c r="BK30" s="29">
        <v>143.97</v>
      </c>
      <c r="BL30" s="29">
        <v>129.32</v>
      </c>
      <c r="BM30" s="29">
        <v>10033</v>
      </c>
      <c r="BN30" s="29">
        <v>371.82</v>
      </c>
      <c r="BO30" s="29"/>
      <c r="BP30" s="29"/>
      <c r="BQ30" s="29"/>
      <c r="BR30" s="29"/>
      <c r="BS30" s="28"/>
      <c r="BT30" s="29">
        <v>1167.25</v>
      </c>
      <c r="BU30" s="29">
        <v>3355.3</v>
      </c>
      <c r="BV30" s="29">
        <v>384.89</v>
      </c>
    </row>
    <row r="31" spans="1:74">
      <c r="A31" t="str">
        <f>VLOOKUP(D31,info!$A$2:$G$49,3,FALSE)</f>
        <v>Hyundai</v>
      </c>
      <c r="B31">
        <v>32</v>
      </c>
      <c r="C31" t="s">
        <v>30</v>
      </c>
      <c r="D31">
        <v>9602910</v>
      </c>
      <c r="E31" s="1" t="s">
        <v>52</v>
      </c>
      <c r="F31">
        <v>93078</v>
      </c>
      <c r="G31">
        <v>23701</v>
      </c>
      <c r="H31">
        <v>6662</v>
      </c>
      <c r="I31">
        <v>303542</v>
      </c>
      <c r="J31">
        <v>515</v>
      </c>
      <c r="K31">
        <v>276.39999999999998</v>
      </c>
      <c r="L31">
        <v>3256</v>
      </c>
      <c r="M31">
        <v>29273</v>
      </c>
      <c r="N31">
        <v>62272</v>
      </c>
      <c r="O31">
        <v>56731</v>
      </c>
      <c r="P31">
        <v>191.3</v>
      </c>
      <c r="Q31">
        <v>15.1</v>
      </c>
      <c r="R31">
        <v>59.44</v>
      </c>
      <c r="S31">
        <v>2422</v>
      </c>
      <c r="T31">
        <v>23.81</v>
      </c>
      <c r="U31">
        <v>8.1310000000000002</v>
      </c>
      <c r="V31">
        <v>0</v>
      </c>
      <c r="W31">
        <v>9.3140000000000001</v>
      </c>
      <c r="X31">
        <v>9.907</v>
      </c>
      <c r="Y31">
        <v>45.21</v>
      </c>
      <c r="Z31">
        <v>2334</v>
      </c>
      <c r="AA31">
        <v>29205</v>
      </c>
      <c r="AB31">
        <v>3244</v>
      </c>
      <c r="AC31" s="5">
        <v>100506</v>
      </c>
      <c r="AD31" s="5">
        <v>21497.5</v>
      </c>
      <c r="AE31" s="5">
        <v>4691.8999999999996</v>
      </c>
      <c r="AF31" s="5">
        <v>327688.8</v>
      </c>
      <c r="AG31" s="5">
        <v>918.7</v>
      </c>
      <c r="AH31" s="5"/>
      <c r="AI31" s="5">
        <v>3399</v>
      </c>
      <c r="AK31" s="5">
        <v>59611.1</v>
      </c>
      <c r="AM31" s="5">
        <v>291.5</v>
      </c>
      <c r="AN31" s="5">
        <v>521.9</v>
      </c>
      <c r="AO31" s="8">
        <v>61.4</v>
      </c>
      <c r="AP31" s="5">
        <v>3084.9</v>
      </c>
      <c r="AV31" s="8">
        <v>44</v>
      </c>
      <c r="AZ31" s="28"/>
      <c r="BA31" s="29"/>
      <c r="BB31" s="29">
        <v>990.74</v>
      </c>
      <c r="BC31" s="29">
        <v>167655.17000000001</v>
      </c>
      <c r="BD31" s="29">
        <v>1094.2</v>
      </c>
      <c r="BE31" s="29">
        <v>298.7</v>
      </c>
      <c r="BF31" s="29">
        <v>8671.81</v>
      </c>
      <c r="BG31" s="29"/>
      <c r="BH31" s="29">
        <v>227280.87</v>
      </c>
      <c r="BI31" s="29"/>
      <c r="BJ31" s="29">
        <v>911.75</v>
      </c>
      <c r="BK31" s="29">
        <v>122.56</v>
      </c>
      <c r="BL31" s="29">
        <v>169.62</v>
      </c>
      <c r="BM31" s="29">
        <v>8457.86</v>
      </c>
      <c r="BN31" s="29">
        <v>277.79000000000002</v>
      </c>
      <c r="BO31" s="29"/>
      <c r="BP31" s="29"/>
      <c r="BQ31" s="29"/>
      <c r="BR31" s="29"/>
      <c r="BS31" s="28"/>
      <c r="BT31" s="29">
        <v>813.72</v>
      </c>
      <c r="BU31" s="29">
        <v>4692.78</v>
      </c>
      <c r="BV31" s="29">
        <v>282.17</v>
      </c>
    </row>
    <row r="32" spans="1:74">
      <c r="A32" t="str">
        <f>VLOOKUP(D32,info!$A$2:$G$49,3,FALSE)</f>
        <v>Hyundai</v>
      </c>
      <c r="B32">
        <v>33</v>
      </c>
      <c r="C32" t="s">
        <v>30</v>
      </c>
      <c r="D32">
        <v>9602910</v>
      </c>
      <c r="E32" s="1" t="s">
        <v>34</v>
      </c>
      <c r="F32">
        <v>97835</v>
      </c>
      <c r="G32">
        <v>23776</v>
      </c>
      <c r="H32">
        <v>6186</v>
      </c>
      <c r="I32">
        <v>299212</v>
      </c>
      <c r="J32">
        <v>581.9</v>
      </c>
      <c r="K32">
        <v>303.60000000000002</v>
      </c>
      <c r="L32">
        <v>2691</v>
      </c>
      <c r="M32">
        <v>27259</v>
      </c>
      <c r="N32">
        <v>60273</v>
      </c>
      <c r="O32">
        <v>55101</v>
      </c>
      <c r="P32">
        <v>192.8</v>
      </c>
      <c r="Q32">
        <v>12.68</v>
      </c>
      <c r="R32">
        <v>49.67</v>
      </c>
      <c r="S32">
        <v>2433</v>
      </c>
      <c r="T32">
        <v>11.31</v>
      </c>
      <c r="U32">
        <v>8.1890000000000001</v>
      </c>
      <c r="V32">
        <v>9.2940000000000005</v>
      </c>
      <c r="W32">
        <v>5.58</v>
      </c>
      <c r="X32">
        <v>0</v>
      </c>
      <c r="Y32">
        <v>15.19</v>
      </c>
      <c r="Z32">
        <v>5352</v>
      </c>
      <c r="AA32">
        <v>28719</v>
      </c>
      <c r="AB32">
        <v>2908</v>
      </c>
      <c r="AC32" s="5">
        <v>97167.4</v>
      </c>
      <c r="AD32" s="5">
        <v>21390.6</v>
      </c>
      <c r="AE32" s="5">
        <v>4373.6000000000004</v>
      </c>
      <c r="AF32" s="5">
        <v>326606.40000000002</v>
      </c>
      <c r="AG32" s="5">
        <v>1004</v>
      </c>
      <c r="AH32" s="5"/>
      <c r="AI32" s="5">
        <v>2995.6</v>
      </c>
      <c r="AK32" s="5">
        <v>61263.3</v>
      </c>
      <c r="AM32" s="5">
        <v>270.10000000000002</v>
      </c>
      <c r="AN32" s="5">
        <v>468.2</v>
      </c>
      <c r="AO32" s="8">
        <v>61.8</v>
      </c>
      <c r="AP32" s="5">
        <v>3176.7</v>
      </c>
      <c r="AV32" s="8">
        <v>40</v>
      </c>
      <c r="AZ32" s="28"/>
      <c r="BA32" s="29"/>
      <c r="BB32" s="29">
        <v>2139.88</v>
      </c>
      <c r="BC32" s="29">
        <v>383572.47</v>
      </c>
      <c r="BD32" s="29">
        <v>1735.28</v>
      </c>
      <c r="BE32" s="29">
        <v>327.45</v>
      </c>
      <c r="BF32" s="29">
        <v>15644.56</v>
      </c>
      <c r="BG32" s="29"/>
      <c r="BH32" s="29">
        <v>472796.28</v>
      </c>
      <c r="BI32" s="29"/>
      <c r="BJ32" s="29">
        <v>1577.67</v>
      </c>
      <c r="BK32" s="29">
        <v>398.3</v>
      </c>
      <c r="BL32" s="29">
        <v>338.75</v>
      </c>
      <c r="BM32" s="29">
        <v>16290.96</v>
      </c>
      <c r="BN32" s="29">
        <v>491.93</v>
      </c>
      <c r="BO32" s="29"/>
      <c r="BP32" s="29"/>
      <c r="BQ32" s="29"/>
      <c r="BR32" s="29"/>
      <c r="BS32" s="28"/>
      <c r="BT32" s="29">
        <v>89.45</v>
      </c>
      <c r="BU32" s="29">
        <v>65.13</v>
      </c>
      <c r="BV32" s="29">
        <v>2302.81</v>
      </c>
    </row>
    <row r="33" spans="1:74">
      <c r="A33" t="str">
        <f>VLOOKUP(D33,info!$A$2:$G$49,3,FALSE)</f>
        <v>Hyundai</v>
      </c>
      <c r="B33">
        <v>34</v>
      </c>
      <c r="C33" t="s">
        <v>30</v>
      </c>
      <c r="D33">
        <v>9602910</v>
      </c>
      <c r="E33" s="1" t="s">
        <v>52</v>
      </c>
      <c r="F33">
        <v>105655</v>
      </c>
      <c r="G33">
        <v>25814</v>
      </c>
      <c r="H33">
        <v>6623</v>
      </c>
      <c r="I33">
        <v>325135</v>
      </c>
      <c r="J33">
        <v>567.20000000000005</v>
      </c>
      <c r="K33">
        <v>377.1</v>
      </c>
      <c r="L33">
        <v>2844</v>
      </c>
      <c r="M33">
        <v>28807</v>
      </c>
      <c r="N33">
        <v>65439</v>
      </c>
      <c r="O33">
        <v>59466</v>
      </c>
      <c r="P33">
        <v>212.2</v>
      </c>
      <c r="Q33">
        <v>11.35</v>
      </c>
      <c r="R33">
        <v>59.96</v>
      </c>
      <c r="S33">
        <v>2494</v>
      </c>
      <c r="T33">
        <v>15.98</v>
      </c>
      <c r="U33">
        <v>6.681</v>
      </c>
      <c r="V33">
        <v>0</v>
      </c>
      <c r="W33">
        <v>1.6120000000000001</v>
      </c>
      <c r="X33">
        <v>2.0569999999999999</v>
      </c>
      <c r="Y33">
        <v>17.5</v>
      </c>
      <c r="Z33">
        <v>5775</v>
      </c>
      <c r="AA33">
        <v>30170</v>
      </c>
      <c r="AB33">
        <v>2985</v>
      </c>
      <c r="AC33" s="5">
        <v>98938.7</v>
      </c>
      <c r="AD33" s="5">
        <v>21392.3</v>
      </c>
      <c r="AE33" s="5">
        <v>4294.8999999999996</v>
      </c>
      <c r="AF33" s="5">
        <v>324593</v>
      </c>
      <c r="AG33" s="5">
        <v>1071.8</v>
      </c>
      <c r="AH33" s="5"/>
      <c r="AI33" s="5">
        <v>2907.4</v>
      </c>
      <c r="AK33" s="5">
        <v>61263.5</v>
      </c>
      <c r="AM33" s="5">
        <v>253.1</v>
      </c>
      <c r="AN33" s="5">
        <v>471.9</v>
      </c>
      <c r="AO33" s="8">
        <v>65.8</v>
      </c>
      <c r="AP33" s="5">
        <v>3162</v>
      </c>
      <c r="AV33" s="8">
        <v>45.4</v>
      </c>
      <c r="AZ33" s="28"/>
      <c r="BA33" s="29"/>
      <c r="BB33" s="29">
        <v>1287.54</v>
      </c>
      <c r="BC33" s="29">
        <v>280772.40999999997</v>
      </c>
      <c r="BD33" s="29">
        <v>1637.22</v>
      </c>
      <c r="BE33" s="29">
        <v>332.08</v>
      </c>
      <c r="BF33" s="29">
        <v>10682.54</v>
      </c>
      <c r="BG33" s="29"/>
      <c r="BH33" s="29">
        <v>392332.95</v>
      </c>
      <c r="BI33" s="29"/>
      <c r="BJ33" s="29">
        <v>1296.27</v>
      </c>
      <c r="BK33" s="29">
        <v>23.03</v>
      </c>
      <c r="BL33" s="29">
        <v>154</v>
      </c>
      <c r="BM33" s="29">
        <v>14898.57</v>
      </c>
      <c r="BN33" s="29">
        <v>486.76</v>
      </c>
      <c r="BO33" s="29"/>
      <c r="BP33" s="29"/>
      <c r="BQ33" s="29"/>
      <c r="BR33" s="29"/>
      <c r="BS33" s="28"/>
      <c r="BT33" s="29">
        <v>1079.3699999999999</v>
      </c>
      <c r="BU33" s="29">
        <v>3107.29</v>
      </c>
      <c r="BV33" s="29">
        <v>961.42</v>
      </c>
    </row>
    <row r="34" spans="1:74">
      <c r="A34" t="str">
        <f>VLOOKUP(D34,info!$A$2:$G$49,3,FALSE)</f>
        <v>Hyundai</v>
      </c>
      <c r="B34">
        <v>35</v>
      </c>
      <c r="C34" t="s">
        <v>30</v>
      </c>
      <c r="D34">
        <v>5826120</v>
      </c>
      <c r="E34" s="1" t="s">
        <v>32</v>
      </c>
      <c r="F34">
        <v>104443</v>
      </c>
      <c r="G34">
        <v>25381</v>
      </c>
      <c r="H34">
        <v>6194</v>
      </c>
      <c r="I34">
        <v>325508</v>
      </c>
      <c r="J34">
        <v>724.3</v>
      </c>
      <c r="K34">
        <v>346</v>
      </c>
      <c r="L34">
        <v>2401</v>
      </c>
      <c r="M34">
        <v>28589</v>
      </c>
      <c r="N34">
        <v>66315</v>
      </c>
      <c r="O34">
        <v>59995</v>
      </c>
      <c r="P34">
        <v>228.7</v>
      </c>
      <c r="Q34">
        <v>14.35</v>
      </c>
      <c r="R34">
        <v>64.67</v>
      </c>
      <c r="S34">
        <v>2463</v>
      </c>
      <c r="T34">
        <v>9.5310000000000006</v>
      </c>
      <c r="U34">
        <v>7.6159999999999997</v>
      </c>
      <c r="V34">
        <v>10.27</v>
      </c>
      <c r="W34">
        <v>3.0819999999999999</v>
      </c>
      <c r="X34">
        <v>9.3249999999999993</v>
      </c>
      <c r="Y34">
        <v>18.11</v>
      </c>
      <c r="Z34">
        <v>4989</v>
      </c>
      <c r="AA34">
        <v>30475</v>
      </c>
      <c r="AB34">
        <v>3059</v>
      </c>
      <c r="AC34" s="5">
        <v>101984.4</v>
      </c>
      <c r="AD34" s="5">
        <v>21588.2</v>
      </c>
      <c r="AE34" s="5">
        <v>4176.7</v>
      </c>
      <c r="AF34" s="5">
        <v>328003.59999999998</v>
      </c>
      <c r="AG34" s="5">
        <v>1181</v>
      </c>
      <c r="AH34" s="5"/>
      <c r="AI34" s="5">
        <v>2472.8000000000002</v>
      </c>
      <c r="AK34" s="5">
        <v>60807.6</v>
      </c>
      <c r="AM34" s="5">
        <v>314.2</v>
      </c>
      <c r="AN34" s="5">
        <v>381.7</v>
      </c>
      <c r="AO34" s="8">
        <v>82.9</v>
      </c>
      <c r="AP34" s="5">
        <v>3135.7</v>
      </c>
      <c r="AV34" s="8">
        <v>49.6</v>
      </c>
      <c r="AZ34" s="28"/>
      <c r="BA34" s="29"/>
      <c r="BB34" s="29">
        <v>1227.1600000000001</v>
      </c>
      <c r="BC34" s="29">
        <v>277329.68</v>
      </c>
      <c r="BD34" s="29">
        <v>1401.23</v>
      </c>
      <c r="BE34" s="29">
        <v>120.52</v>
      </c>
      <c r="BF34" s="29">
        <v>8554.26</v>
      </c>
      <c r="BG34" s="29"/>
      <c r="BH34" s="29">
        <v>394335.83</v>
      </c>
      <c r="BI34" s="29"/>
      <c r="BJ34" s="29">
        <v>1357.24</v>
      </c>
      <c r="BK34" s="29">
        <v>16.420000000000002</v>
      </c>
      <c r="BL34" s="29">
        <v>412.16</v>
      </c>
      <c r="BM34" s="29">
        <v>14616.02</v>
      </c>
      <c r="BN34" s="29">
        <v>590.11</v>
      </c>
      <c r="BO34" s="29"/>
      <c r="BP34" s="29"/>
      <c r="BQ34" s="29"/>
      <c r="BR34" s="29"/>
      <c r="BS34" s="28"/>
      <c r="BT34" s="29">
        <v>2935.21</v>
      </c>
      <c r="BU34" s="29">
        <v>4306.05</v>
      </c>
      <c r="BV34" s="29">
        <v>662.06</v>
      </c>
    </row>
    <row r="35" spans="1:74">
      <c r="A35" t="str">
        <f>VLOOKUP(D35,info!$A$2:$G$49,3,FALSE)</f>
        <v>Hyundai</v>
      </c>
      <c r="B35">
        <v>36</v>
      </c>
      <c r="C35" t="s">
        <v>30</v>
      </c>
      <c r="D35">
        <v>5826120</v>
      </c>
      <c r="E35" s="1" t="s">
        <v>34</v>
      </c>
      <c r="F35">
        <v>102036</v>
      </c>
      <c r="G35">
        <v>28906</v>
      </c>
      <c r="H35">
        <v>10473</v>
      </c>
      <c r="I35">
        <v>323518</v>
      </c>
      <c r="J35">
        <v>554.20000000000005</v>
      </c>
      <c r="K35">
        <v>33.42</v>
      </c>
      <c r="L35">
        <v>5572</v>
      </c>
      <c r="M35">
        <v>31458</v>
      </c>
      <c r="N35">
        <v>57097</v>
      </c>
      <c r="O35">
        <v>52228</v>
      </c>
      <c r="P35">
        <v>274.60000000000002</v>
      </c>
      <c r="Q35">
        <v>10.68</v>
      </c>
      <c r="R35">
        <v>135.69999999999999</v>
      </c>
      <c r="S35">
        <v>2403</v>
      </c>
      <c r="T35">
        <v>8.9559999999999995</v>
      </c>
      <c r="U35">
        <v>9.3780000000000001</v>
      </c>
      <c r="V35">
        <v>0</v>
      </c>
      <c r="W35">
        <v>9.2289999999999992</v>
      </c>
      <c r="X35">
        <v>22.25</v>
      </c>
      <c r="Y35">
        <v>45.08</v>
      </c>
      <c r="Z35">
        <v>9717</v>
      </c>
      <c r="AA35">
        <v>29023</v>
      </c>
      <c r="AB35">
        <v>3673</v>
      </c>
      <c r="AC35" s="5">
        <v>96732.6</v>
      </c>
      <c r="AD35" s="5">
        <v>24389.4</v>
      </c>
      <c r="AE35" s="5">
        <v>7774</v>
      </c>
      <c r="AF35" s="5">
        <v>329233.8</v>
      </c>
      <c r="AG35" s="5">
        <v>762.8</v>
      </c>
      <c r="AH35" s="5"/>
      <c r="AI35" s="5">
        <v>5544.9</v>
      </c>
      <c r="AK35" s="5">
        <v>53466</v>
      </c>
      <c r="AM35" s="5">
        <v>273.5</v>
      </c>
      <c r="AN35" s="5">
        <v>459.7</v>
      </c>
      <c r="AO35" s="5">
        <v>185.1</v>
      </c>
      <c r="AP35" s="5">
        <v>2934</v>
      </c>
      <c r="AV35" s="8">
        <v>57.2</v>
      </c>
      <c r="AZ35" s="28"/>
      <c r="BA35" s="29"/>
      <c r="BB35" s="29">
        <v>3271.94</v>
      </c>
      <c r="BC35" s="29">
        <v>374408.53</v>
      </c>
      <c r="BD35" s="29">
        <v>1761.78</v>
      </c>
      <c r="BE35" s="29">
        <v>25.57</v>
      </c>
      <c r="BF35" s="29">
        <v>32211.66</v>
      </c>
      <c r="BG35" s="29"/>
      <c r="BH35" s="29">
        <v>418722.22</v>
      </c>
      <c r="BI35" s="29"/>
      <c r="BJ35" s="29">
        <v>1949.5</v>
      </c>
      <c r="BK35" s="29">
        <v>152.87</v>
      </c>
      <c r="BL35" s="29">
        <v>924.33</v>
      </c>
      <c r="BM35" s="29">
        <v>15914.64</v>
      </c>
      <c r="BN35" s="29">
        <v>467.27</v>
      </c>
      <c r="BO35" s="29"/>
      <c r="BP35" s="29"/>
      <c r="BQ35" s="29"/>
      <c r="BR35" s="29"/>
      <c r="BS35" s="28"/>
      <c r="BT35" s="29">
        <v>1421.62</v>
      </c>
      <c r="BU35" s="29">
        <v>1994.6</v>
      </c>
      <c r="BV35" s="29">
        <v>1693.32</v>
      </c>
    </row>
    <row r="36" spans="1:74">
      <c r="A36" t="str">
        <f>VLOOKUP(D36,info!$A$2:$G$49,3,FALSE)</f>
        <v>Ford</v>
      </c>
      <c r="B36">
        <v>37</v>
      </c>
      <c r="C36" t="s">
        <v>30</v>
      </c>
      <c r="D36">
        <v>6917835</v>
      </c>
      <c r="E36" s="1" t="s">
        <v>32</v>
      </c>
      <c r="F36">
        <v>107206</v>
      </c>
      <c r="G36">
        <v>27594</v>
      </c>
      <c r="H36">
        <v>5663</v>
      </c>
      <c r="I36">
        <v>335440</v>
      </c>
      <c r="J36">
        <v>465</v>
      </c>
      <c r="K36">
        <v>181.4</v>
      </c>
      <c r="L36">
        <v>2440</v>
      </c>
      <c r="M36">
        <v>25580</v>
      </c>
      <c r="N36">
        <v>57187</v>
      </c>
      <c r="O36">
        <v>51928</v>
      </c>
      <c r="P36">
        <v>216.6</v>
      </c>
      <c r="Q36">
        <v>14.05</v>
      </c>
      <c r="R36">
        <v>27.02</v>
      </c>
      <c r="S36">
        <v>5200</v>
      </c>
      <c r="T36">
        <v>20.97</v>
      </c>
      <c r="U36">
        <v>7.4960000000000004</v>
      </c>
      <c r="V36">
        <v>7.6360000000000001</v>
      </c>
      <c r="W36">
        <v>5.42</v>
      </c>
      <c r="X36">
        <v>6.4630000000000001</v>
      </c>
      <c r="Y36">
        <v>47.32</v>
      </c>
      <c r="Z36">
        <v>9914</v>
      </c>
      <c r="AA36">
        <v>26518</v>
      </c>
      <c r="AB36">
        <v>2677</v>
      </c>
      <c r="AC36" s="5">
        <v>94959.7</v>
      </c>
      <c r="AD36" s="5">
        <v>22336.1</v>
      </c>
      <c r="AE36" s="5">
        <v>3559.3</v>
      </c>
      <c r="AF36" s="5">
        <v>331875.90000000002</v>
      </c>
      <c r="AG36" s="5">
        <v>722.6</v>
      </c>
      <c r="AH36" s="5"/>
      <c r="AI36" s="5">
        <v>2591</v>
      </c>
      <c r="AK36" s="5">
        <v>54114.3</v>
      </c>
      <c r="AM36" s="5">
        <v>219.6</v>
      </c>
      <c r="AN36" s="5">
        <v>294.8</v>
      </c>
      <c r="AO36" s="8">
        <v>36.6</v>
      </c>
      <c r="AP36" s="5">
        <v>6696.5</v>
      </c>
      <c r="AV36" s="8">
        <v>74.5</v>
      </c>
      <c r="AZ36" s="28"/>
      <c r="BA36" s="29"/>
      <c r="BB36" s="29">
        <v>2222.48</v>
      </c>
      <c r="BC36" s="29">
        <v>367669.36</v>
      </c>
      <c r="BD36" s="29">
        <v>1528.74</v>
      </c>
      <c r="BE36" s="29">
        <v>401.64</v>
      </c>
      <c r="BF36" s="29">
        <v>12511.69</v>
      </c>
      <c r="BG36" s="29"/>
      <c r="BH36" s="29">
        <v>397638.63</v>
      </c>
      <c r="BI36" s="29"/>
      <c r="BJ36" s="29">
        <v>1351.11</v>
      </c>
      <c r="BK36" s="29">
        <v>96.56</v>
      </c>
      <c r="BL36" s="29">
        <v>250.28</v>
      </c>
      <c r="BM36" s="29">
        <v>33322.42</v>
      </c>
      <c r="BN36" s="29">
        <v>513.91999999999996</v>
      </c>
      <c r="BO36" s="29"/>
      <c r="BP36" s="29"/>
      <c r="BQ36" s="29"/>
      <c r="BR36" s="29"/>
      <c r="BS36" s="28"/>
      <c r="BT36" s="29">
        <v>1156.8599999999999</v>
      </c>
      <c r="BU36" s="29">
        <v>3161.27</v>
      </c>
      <c r="BV36" s="29">
        <v>1927.4</v>
      </c>
    </row>
    <row r="37" spans="1:74">
      <c r="A37" t="str">
        <f>VLOOKUP(D37,info!$A$2:$G$49,3,FALSE)</f>
        <v>Hyundai</v>
      </c>
      <c r="B37">
        <v>38</v>
      </c>
      <c r="C37" t="s">
        <v>30</v>
      </c>
      <c r="D37">
        <v>5826120</v>
      </c>
      <c r="E37" s="1" t="s">
        <v>34</v>
      </c>
      <c r="F37">
        <v>112179</v>
      </c>
      <c r="G37">
        <v>26070</v>
      </c>
      <c r="H37">
        <v>6233</v>
      </c>
      <c r="I37">
        <v>318727</v>
      </c>
      <c r="J37">
        <v>657.5</v>
      </c>
      <c r="K37">
        <v>355</v>
      </c>
      <c r="L37">
        <v>2301</v>
      </c>
      <c r="M37">
        <v>27645</v>
      </c>
      <c r="N37">
        <v>64190</v>
      </c>
      <c r="O37">
        <v>58534</v>
      </c>
      <c r="P37">
        <v>245.9</v>
      </c>
      <c r="Q37">
        <v>14.52</v>
      </c>
      <c r="R37">
        <v>59.98</v>
      </c>
      <c r="S37">
        <v>2425</v>
      </c>
      <c r="T37">
        <v>17.5</v>
      </c>
      <c r="U37">
        <v>3.1309999999999998</v>
      </c>
      <c r="V37">
        <v>10.039999999999999</v>
      </c>
      <c r="W37">
        <v>1.2010000000000001</v>
      </c>
      <c r="X37">
        <v>9.3610000000000007</v>
      </c>
      <c r="Y37">
        <v>42.63</v>
      </c>
      <c r="Z37">
        <v>9384</v>
      </c>
      <c r="AA37">
        <v>30329</v>
      </c>
      <c r="AB37">
        <v>2930</v>
      </c>
      <c r="AC37" s="5">
        <v>100209.3</v>
      </c>
      <c r="AD37" s="5">
        <v>21428</v>
      </c>
      <c r="AE37" s="5">
        <v>4163.8999999999996</v>
      </c>
      <c r="AF37" s="5">
        <v>325971.5</v>
      </c>
      <c r="AG37" s="5">
        <v>1166</v>
      </c>
      <c r="AH37" s="5"/>
      <c r="AI37" s="5">
        <v>2492.4</v>
      </c>
      <c r="AK37" s="5">
        <v>61628.4</v>
      </c>
      <c r="AM37" s="5">
        <v>283.39999999999998</v>
      </c>
      <c r="AN37" s="5">
        <v>471.9</v>
      </c>
      <c r="AO37" s="8">
        <v>83.9</v>
      </c>
      <c r="AP37" s="5">
        <v>3032.7</v>
      </c>
      <c r="AV37" s="8"/>
      <c r="AZ37" s="28"/>
      <c r="BA37" s="29"/>
      <c r="BB37" s="29">
        <v>1234.96</v>
      </c>
      <c r="BC37" s="29">
        <v>277077.39</v>
      </c>
      <c r="BD37" s="29">
        <v>1581.49</v>
      </c>
      <c r="BE37" s="29">
        <v>320.24</v>
      </c>
      <c r="BF37" s="29">
        <v>7969.72</v>
      </c>
      <c r="BG37" s="29"/>
      <c r="BH37" s="29">
        <v>394341.3</v>
      </c>
      <c r="BI37" s="29"/>
      <c r="BJ37" s="29">
        <v>1537.26</v>
      </c>
      <c r="BK37" s="29">
        <v>137.29</v>
      </c>
      <c r="BL37" s="29">
        <v>399.11</v>
      </c>
      <c r="BM37" s="29">
        <v>14689.9</v>
      </c>
      <c r="BN37" s="29">
        <v>661.94</v>
      </c>
      <c r="BO37" s="29"/>
      <c r="BP37" s="29"/>
      <c r="BQ37" s="29"/>
      <c r="BR37" s="29"/>
      <c r="BS37" s="28"/>
      <c r="BT37" s="29">
        <v>1961.47</v>
      </c>
      <c r="BU37" s="29">
        <v>3283.28</v>
      </c>
      <c r="BV37" s="29">
        <v>1138.3699999999999</v>
      </c>
    </row>
    <row r="38" spans="1:74">
      <c r="A38" t="str">
        <f>VLOOKUP(D38,info!$A$2:$G$49,3,FALSE)</f>
        <v>Renault</v>
      </c>
      <c r="B38">
        <v>39</v>
      </c>
      <c r="C38" t="s">
        <v>30</v>
      </c>
      <c r="D38">
        <v>1147816</v>
      </c>
      <c r="E38" s="1" t="s">
        <v>52</v>
      </c>
      <c r="F38">
        <v>110577</v>
      </c>
      <c r="G38">
        <v>27202</v>
      </c>
      <c r="H38">
        <v>6453</v>
      </c>
      <c r="I38">
        <v>304959</v>
      </c>
      <c r="J38">
        <v>453.3</v>
      </c>
      <c r="K38">
        <v>187.8</v>
      </c>
      <c r="L38">
        <v>1040</v>
      </c>
      <c r="M38">
        <v>22622</v>
      </c>
      <c r="N38">
        <v>52082</v>
      </c>
      <c r="O38">
        <v>48320</v>
      </c>
      <c r="P38">
        <v>240.1</v>
      </c>
      <c r="Q38">
        <v>26.31</v>
      </c>
      <c r="R38">
        <v>134.30000000000001</v>
      </c>
      <c r="S38">
        <v>3035</v>
      </c>
      <c r="T38">
        <v>19.72</v>
      </c>
      <c r="U38">
        <v>4.1440000000000001</v>
      </c>
      <c r="V38">
        <v>0</v>
      </c>
      <c r="W38">
        <v>10.050000000000001</v>
      </c>
      <c r="X38">
        <v>13.37</v>
      </c>
      <c r="Y38">
        <v>37.630000000000003</v>
      </c>
      <c r="Z38">
        <v>9128</v>
      </c>
      <c r="AA38">
        <v>27111</v>
      </c>
      <c r="AB38">
        <v>2336</v>
      </c>
      <c r="AC38" s="5">
        <v>100216</v>
      </c>
      <c r="AD38" s="5">
        <v>22879.7</v>
      </c>
      <c r="AE38" s="5">
        <v>4065.7</v>
      </c>
      <c r="AF38" s="5">
        <v>331263.09999999998</v>
      </c>
      <c r="AG38" s="5">
        <v>834.4</v>
      </c>
      <c r="AH38" s="5"/>
      <c r="AI38" s="5">
        <v>1156.5</v>
      </c>
      <c r="AK38" s="5">
        <v>52965.8</v>
      </c>
      <c r="AM38" s="5">
        <v>233.3</v>
      </c>
      <c r="AN38" s="5">
        <v>386.9</v>
      </c>
      <c r="AO38" s="5">
        <v>189</v>
      </c>
      <c r="AP38" s="5">
        <v>3785.9</v>
      </c>
      <c r="AV38" s="8">
        <v>45.1</v>
      </c>
      <c r="AZ38" s="28"/>
      <c r="BA38" s="29"/>
      <c r="BB38" s="29">
        <v>845.33</v>
      </c>
      <c r="BC38" s="29">
        <v>235970.59</v>
      </c>
      <c r="BD38" s="29">
        <v>1318.55</v>
      </c>
      <c r="BE38" s="29">
        <v>11.64</v>
      </c>
      <c r="BF38" s="29">
        <v>2218.59</v>
      </c>
      <c r="BG38" s="29"/>
      <c r="BH38" s="29">
        <v>278856.05</v>
      </c>
      <c r="BI38" s="29"/>
      <c r="BJ38" s="29">
        <v>1041.9100000000001</v>
      </c>
      <c r="BK38" s="29">
        <v>226.64</v>
      </c>
      <c r="BL38" s="29">
        <v>783.89</v>
      </c>
      <c r="BM38" s="29">
        <v>14204.52</v>
      </c>
      <c r="BN38" s="29">
        <v>391.42</v>
      </c>
      <c r="BO38" s="29"/>
      <c r="BP38" s="29"/>
      <c r="BQ38" s="29"/>
      <c r="BR38" s="29"/>
      <c r="BS38" s="28"/>
      <c r="BT38" s="29">
        <v>140.36000000000001</v>
      </c>
      <c r="BU38" s="29">
        <v>207.36</v>
      </c>
      <c r="BV38" s="29">
        <v>385.11</v>
      </c>
    </row>
    <row r="39" spans="1:74">
      <c r="A39" t="str">
        <f>VLOOKUP(D39,info!$A$2:$G$49,3,FALSE)</f>
        <v>Subaru</v>
      </c>
      <c r="B39">
        <v>40</v>
      </c>
      <c r="C39" t="s">
        <v>30</v>
      </c>
      <c r="D39">
        <v>2675308</v>
      </c>
      <c r="E39" s="1" t="s">
        <v>34</v>
      </c>
      <c r="F39">
        <v>119640</v>
      </c>
      <c r="G39">
        <v>28095</v>
      </c>
      <c r="H39">
        <v>10003</v>
      </c>
      <c r="I39">
        <v>357292</v>
      </c>
      <c r="J39">
        <v>571.9</v>
      </c>
      <c r="K39">
        <v>227.1</v>
      </c>
      <c r="L39">
        <v>4991</v>
      </c>
      <c r="M39">
        <v>34810</v>
      </c>
      <c r="N39">
        <v>62163</v>
      </c>
      <c r="O39">
        <v>56732</v>
      </c>
      <c r="P39">
        <v>177.7</v>
      </c>
      <c r="Q39">
        <v>10.67</v>
      </c>
      <c r="R39">
        <v>40.47</v>
      </c>
      <c r="S39">
        <v>1764</v>
      </c>
      <c r="T39">
        <v>13.47</v>
      </c>
      <c r="U39">
        <v>3.1219999999999999</v>
      </c>
      <c r="V39">
        <v>0</v>
      </c>
      <c r="W39">
        <v>5.8540000000000001</v>
      </c>
      <c r="X39">
        <v>6.8040000000000003</v>
      </c>
      <c r="Y39">
        <v>32.29</v>
      </c>
      <c r="Z39">
        <v>6411</v>
      </c>
      <c r="AA39">
        <v>33421</v>
      </c>
      <c r="AB39">
        <v>4098</v>
      </c>
      <c r="AC39" s="5">
        <v>99103.7</v>
      </c>
      <c r="AD39" s="5">
        <v>20998.1</v>
      </c>
      <c r="AE39" s="5">
        <v>6583.8</v>
      </c>
      <c r="AF39" s="5">
        <v>333393.3</v>
      </c>
      <c r="AG39" s="5">
        <v>928.8</v>
      </c>
      <c r="AH39" s="5"/>
      <c r="AI39" s="5">
        <v>4668.3</v>
      </c>
      <c r="AK39" s="5">
        <v>56061.599999999999</v>
      </c>
      <c r="AM39" s="5"/>
      <c r="AN39" s="5">
        <v>416.4</v>
      </c>
      <c r="AO39" s="8">
        <v>60.1</v>
      </c>
      <c r="AP39" s="5">
        <v>2204.1</v>
      </c>
      <c r="AV39" s="8">
        <v>67.099999999999994</v>
      </c>
      <c r="AZ39" s="28"/>
      <c r="BA39" s="29"/>
      <c r="BB39" s="29">
        <v>1034.93</v>
      </c>
      <c r="BC39" s="29">
        <v>177583.47</v>
      </c>
      <c r="BD39" s="29">
        <v>925.84</v>
      </c>
      <c r="BE39" s="29">
        <v>5.79</v>
      </c>
      <c r="BF39" s="29">
        <v>13411.63</v>
      </c>
      <c r="BG39" s="29"/>
      <c r="BH39" s="29">
        <v>241571.13</v>
      </c>
      <c r="BI39" s="29"/>
      <c r="BJ39" s="29">
        <v>593.14</v>
      </c>
      <c r="BK39" s="29">
        <v>13.92</v>
      </c>
      <c r="BL39" s="29">
        <v>296.38</v>
      </c>
      <c r="BM39" s="29">
        <v>8116.9</v>
      </c>
      <c r="BN39" s="29">
        <v>346.34</v>
      </c>
      <c r="BO39" s="29"/>
      <c r="BP39" s="29"/>
      <c r="BQ39" s="29"/>
      <c r="BR39" s="29"/>
      <c r="BS39" s="28"/>
      <c r="BT39" s="29">
        <v>124.42</v>
      </c>
      <c r="BU39" s="29">
        <v>179.48</v>
      </c>
      <c r="BV39" s="29">
        <v>142.4</v>
      </c>
    </row>
    <row r="40" spans="1:74">
      <c r="A40" t="str">
        <f>VLOOKUP(D40,info!$A$2:$G$49,3,FALSE)</f>
        <v>Fiat</v>
      </c>
      <c r="B40">
        <v>41</v>
      </c>
      <c r="C40" t="s">
        <v>30</v>
      </c>
      <c r="D40">
        <v>5751910</v>
      </c>
      <c r="E40" s="1" t="s">
        <v>34</v>
      </c>
      <c r="F40">
        <v>117611</v>
      </c>
      <c r="G40">
        <v>27768</v>
      </c>
      <c r="H40">
        <v>4638</v>
      </c>
      <c r="I40">
        <v>351733</v>
      </c>
      <c r="J40">
        <v>532.79999999999995</v>
      </c>
      <c r="K40">
        <v>233.4</v>
      </c>
      <c r="L40">
        <v>876.4</v>
      </c>
      <c r="M40">
        <v>23828</v>
      </c>
      <c r="N40">
        <v>59296</v>
      </c>
      <c r="O40">
        <v>53938</v>
      </c>
      <c r="P40">
        <v>171.9</v>
      </c>
      <c r="Q40">
        <v>12</v>
      </c>
      <c r="R40">
        <v>98.18</v>
      </c>
      <c r="S40">
        <v>4221</v>
      </c>
      <c r="T40">
        <v>23.8</v>
      </c>
      <c r="U40">
        <v>6.3120000000000003</v>
      </c>
      <c r="V40">
        <v>0</v>
      </c>
      <c r="W40">
        <v>12.58</v>
      </c>
      <c r="X40">
        <v>0</v>
      </c>
      <c r="Y40">
        <v>28.23</v>
      </c>
      <c r="Z40">
        <v>8775</v>
      </c>
      <c r="AA40">
        <v>28377</v>
      </c>
      <c r="AB40">
        <v>2235</v>
      </c>
      <c r="AC40" s="5">
        <v>98057.5</v>
      </c>
      <c r="AD40" s="5">
        <v>21137.599999999999</v>
      </c>
      <c r="AE40" s="5">
        <v>2500.8000000000002</v>
      </c>
      <c r="AF40" s="5">
        <v>328805</v>
      </c>
      <c r="AG40" s="5">
        <v>885.6</v>
      </c>
      <c r="AH40" s="5"/>
      <c r="AI40" s="5">
        <v>933.2</v>
      </c>
      <c r="AK40" s="5">
        <v>53141.3</v>
      </c>
      <c r="AM40" s="5"/>
      <c r="AN40" s="5">
        <v>389.7</v>
      </c>
      <c r="AO40" s="5">
        <v>113.2</v>
      </c>
      <c r="AP40" s="5">
        <v>5087.6000000000004</v>
      </c>
      <c r="AV40" s="8">
        <v>47.5</v>
      </c>
      <c r="AZ40" s="28"/>
      <c r="BA40" s="29"/>
      <c r="BB40" s="29">
        <v>672.84</v>
      </c>
      <c r="BC40" s="29">
        <v>270018.61</v>
      </c>
      <c r="BD40" s="29">
        <v>1469.38</v>
      </c>
      <c r="BE40" s="29">
        <v>64.31</v>
      </c>
      <c r="BF40" s="29">
        <v>1634.79</v>
      </c>
      <c r="BG40" s="29"/>
      <c r="BH40" s="29">
        <v>329886.57</v>
      </c>
      <c r="BI40" s="29"/>
      <c r="BJ40" s="29">
        <v>805.93</v>
      </c>
      <c r="BK40" s="29">
        <v>0.54</v>
      </c>
      <c r="BL40" s="29">
        <v>712.95</v>
      </c>
      <c r="BM40" s="29">
        <v>24837.27</v>
      </c>
      <c r="BN40" s="29">
        <v>702.15</v>
      </c>
      <c r="BO40" s="29"/>
      <c r="BP40" s="29"/>
      <c r="BQ40" s="29"/>
      <c r="BR40" s="29"/>
      <c r="BS40" s="28"/>
      <c r="BT40" s="29">
        <v>1595.24</v>
      </c>
      <c r="BU40" s="29">
        <v>5066.54</v>
      </c>
      <c r="BV40" s="29">
        <v>675.23</v>
      </c>
    </row>
    <row r="41" spans="1:74">
      <c r="A41" t="str">
        <f>VLOOKUP(D41,info!$A$2:$G$49,3,FALSE)</f>
        <v>Renault</v>
      </c>
      <c r="B41">
        <v>42</v>
      </c>
      <c r="C41" t="s">
        <v>30</v>
      </c>
      <c r="D41">
        <v>1147816</v>
      </c>
      <c r="E41" s="1" t="s">
        <v>34</v>
      </c>
      <c r="F41">
        <v>88337</v>
      </c>
      <c r="G41">
        <v>24390</v>
      </c>
      <c r="H41">
        <v>9805</v>
      </c>
      <c r="I41">
        <v>290812</v>
      </c>
      <c r="J41">
        <v>358.8</v>
      </c>
      <c r="K41">
        <v>190.5</v>
      </c>
      <c r="L41">
        <v>6806</v>
      </c>
      <c r="M41">
        <v>27296</v>
      </c>
      <c r="N41">
        <v>55206</v>
      </c>
      <c r="O41">
        <v>50713</v>
      </c>
      <c r="P41">
        <v>180.5</v>
      </c>
      <c r="Q41">
        <v>22.89</v>
      </c>
      <c r="R41">
        <v>41.2</v>
      </c>
      <c r="S41">
        <v>4064</v>
      </c>
      <c r="T41">
        <v>16.38</v>
      </c>
      <c r="U41">
        <v>5.5549999999999997</v>
      </c>
      <c r="V41">
        <v>0</v>
      </c>
      <c r="W41">
        <v>4.077</v>
      </c>
      <c r="X41">
        <v>1.2250000000000001</v>
      </c>
      <c r="Y41">
        <v>8.6509999999999998</v>
      </c>
      <c r="Z41">
        <v>225.4</v>
      </c>
      <c r="AA41">
        <v>26092</v>
      </c>
      <c r="AB41">
        <v>3245</v>
      </c>
      <c r="AC41" s="5">
        <v>95328</v>
      </c>
      <c r="AD41" s="5">
        <v>22352.9</v>
      </c>
      <c r="AE41" s="5">
        <v>7214.5</v>
      </c>
      <c r="AF41" s="5">
        <v>323646.09999999998</v>
      </c>
      <c r="AG41" s="5">
        <v>732.5</v>
      </c>
      <c r="AH41" s="5"/>
      <c r="AI41" s="5">
        <v>7278.2</v>
      </c>
      <c r="AK41" s="5">
        <v>54284.9</v>
      </c>
      <c r="AM41" s="5">
        <v>298.8</v>
      </c>
      <c r="AN41" s="5">
        <v>550</v>
      </c>
      <c r="AO41" s="8">
        <v>47.5</v>
      </c>
      <c r="AP41" s="5">
        <v>4814.2</v>
      </c>
      <c r="AV41" s="8">
        <v>43.1</v>
      </c>
      <c r="AZ41" s="28"/>
      <c r="BA41" s="29"/>
      <c r="BB41" s="29">
        <v>2823.53</v>
      </c>
      <c r="BC41" s="29">
        <v>396312.7</v>
      </c>
      <c r="BD41" s="29">
        <v>1319.15</v>
      </c>
      <c r="BE41" s="29">
        <v>306.01</v>
      </c>
      <c r="BF41" s="29">
        <v>44459.29</v>
      </c>
      <c r="BG41" s="29"/>
      <c r="BH41" s="29">
        <v>444425.68</v>
      </c>
      <c r="BI41" s="29"/>
      <c r="BJ41" s="29">
        <v>1610.53</v>
      </c>
      <c r="BK41" s="29">
        <v>191.43</v>
      </c>
      <c r="BL41" s="29">
        <v>267.57</v>
      </c>
      <c r="BM41" s="29">
        <v>26429.5</v>
      </c>
      <c r="BN41" s="29">
        <v>467.53</v>
      </c>
      <c r="BO41" s="29"/>
      <c r="BP41" s="29"/>
      <c r="BQ41" s="29"/>
      <c r="BR41" s="29"/>
      <c r="BS41" s="28"/>
      <c r="BT41" s="29">
        <v>1605.62</v>
      </c>
      <c r="BU41" s="29">
        <v>1260.98</v>
      </c>
      <c r="BV41" s="29">
        <v>1991.7</v>
      </c>
    </row>
    <row r="42" spans="1:74">
      <c r="A42" t="str">
        <f>VLOOKUP(D42,info!$A$2:$G$49,3,FALSE)</f>
        <v>Fiat</v>
      </c>
      <c r="B42">
        <v>43</v>
      </c>
      <c r="C42" t="s">
        <v>30</v>
      </c>
      <c r="D42">
        <v>5751910</v>
      </c>
      <c r="E42" s="1" t="s">
        <v>32</v>
      </c>
      <c r="F42">
        <v>111790</v>
      </c>
      <c r="G42">
        <v>26850</v>
      </c>
      <c r="H42">
        <v>4575</v>
      </c>
      <c r="I42">
        <v>348447</v>
      </c>
      <c r="J42">
        <v>461.5</v>
      </c>
      <c r="K42">
        <v>255.9</v>
      </c>
      <c r="L42">
        <v>900.3</v>
      </c>
      <c r="M42">
        <v>23207</v>
      </c>
      <c r="N42">
        <v>59100</v>
      </c>
      <c r="O42">
        <v>53617</v>
      </c>
      <c r="P42">
        <v>178.8</v>
      </c>
      <c r="Q42">
        <v>28.62</v>
      </c>
      <c r="R42">
        <v>97.22</v>
      </c>
      <c r="S42">
        <v>4203</v>
      </c>
      <c r="T42">
        <v>16.510000000000002</v>
      </c>
      <c r="U42">
        <v>6.6840000000000002</v>
      </c>
      <c r="V42">
        <v>0</v>
      </c>
      <c r="W42">
        <v>9.2560000000000002</v>
      </c>
      <c r="X42">
        <v>6.3360000000000003</v>
      </c>
      <c r="Y42">
        <v>26.62</v>
      </c>
      <c r="Z42">
        <v>10342</v>
      </c>
      <c r="AA42">
        <v>27832</v>
      </c>
      <c r="AB42">
        <v>2236</v>
      </c>
      <c r="AC42" s="5">
        <v>97261.8</v>
      </c>
      <c r="AD42" s="5">
        <v>21304.3</v>
      </c>
      <c r="AE42" s="5">
        <v>2498.8000000000002</v>
      </c>
      <c r="AF42" s="5">
        <v>326868.3</v>
      </c>
      <c r="AG42" s="5">
        <v>774.8</v>
      </c>
      <c r="AH42" s="5"/>
      <c r="AI42" s="5">
        <v>1237.0999999999999</v>
      </c>
      <c r="AK42" s="5">
        <v>53207</v>
      </c>
      <c r="AM42" s="5">
        <v>225.6</v>
      </c>
      <c r="AN42" s="5">
        <v>563.20000000000005</v>
      </c>
      <c r="AO42" s="5">
        <v>114.8</v>
      </c>
      <c r="AP42" s="5">
        <v>5287.7</v>
      </c>
      <c r="AV42" s="8">
        <v>54.8</v>
      </c>
      <c r="AZ42" s="28"/>
      <c r="BA42" s="29"/>
      <c r="BB42" s="29">
        <v>1828.66</v>
      </c>
      <c r="BC42" s="29">
        <v>419405.56</v>
      </c>
      <c r="BD42" s="29">
        <v>1898.51</v>
      </c>
      <c r="BE42" s="29">
        <v>403.75</v>
      </c>
      <c r="BF42" s="29">
        <v>3411.47</v>
      </c>
      <c r="BG42" s="29"/>
      <c r="BH42" s="29">
        <v>454829.47</v>
      </c>
      <c r="BI42" s="29"/>
      <c r="BJ42" s="29">
        <v>1434.41</v>
      </c>
      <c r="BK42" s="29">
        <v>62.6</v>
      </c>
      <c r="BL42" s="29">
        <v>722.31</v>
      </c>
      <c r="BM42" s="29">
        <v>29523.72</v>
      </c>
      <c r="BN42" s="29">
        <v>586.33000000000004</v>
      </c>
      <c r="BO42" s="29"/>
      <c r="BP42" s="29"/>
      <c r="BQ42" s="29"/>
      <c r="BR42" s="29"/>
      <c r="BS42" s="28"/>
      <c r="BT42" s="29">
        <v>915.05</v>
      </c>
      <c r="BU42" s="29">
        <v>2081.0100000000002</v>
      </c>
      <c r="BV42" s="29">
        <v>1874.97</v>
      </c>
    </row>
    <row r="43" spans="1:74">
      <c r="A43" t="str">
        <f>VLOOKUP(D43,info!$A$2:$G$49,3,FALSE)</f>
        <v>Hyundai</v>
      </c>
      <c r="B43">
        <v>44</v>
      </c>
      <c r="C43" t="s">
        <v>30</v>
      </c>
      <c r="D43">
        <v>9602910</v>
      </c>
      <c r="E43" s="1" t="s">
        <v>32</v>
      </c>
      <c r="F43">
        <v>110542</v>
      </c>
      <c r="G43">
        <v>26737</v>
      </c>
      <c r="H43">
        <v>6919</v>
      </c>
      <c r="I43">
        <v>339530</v>
      </c>
      <c r="J43">
        <v>642.5</v>
      </c>
      <c r="K43">
        <v>336.2</v>
      </c>
      <c r="L43">
        <v>2959</v>
      </c>
      <c r="M43">
        <v>29915</v>
      </c>
      <c r="N43">
        <v>67368</v>
      </c>
      <c r="O43">
        <v>60849</v>
      </c>
      <c r="P43">
        <v>231.4</v>
      </c>
      <c r="Q43">
        <v>15.44</v>
      </c>
      <c r="R43">
        <v>58.33</v>
      </c>
      <c r="S43">
        <v>2493</v>
      </c>
      <c r="T43">
        <v>16.66</v>
      </c>
      <c r="U43">
        <v>8.5169999999999995</v>
      </c>
      <c r="V43">
        <v>13.74</v>
      </c>
      <c r="W43">
        <v>3.294</v>
      </c>
      <c r="X43">
        <v>8.8140000000000001</v>
      </c>
      <c r="Y43">
        <v>33.06</v>
      </c>
      <c r="Z43">
        <v>8830</v>
      </c>
      <c r="AA43">
        <v>31808</v>
      </c>
      <c r="AB43">
        <v>3187</v>
      </c>
      <c r="AC43" s="5">
        <v>101974.8</v>
      </c>
      <c r="AD43" s="5">
        <v>21562.9</v>
      </c>
      <c r="AE43" s="5">
        <v>4463.1000000000004</v>
      </c>
      <c r="AF43" s="5">
        <v>327975.09999999998</v>
      </c>
      <c r="AG43" s="5">
        <v>926.9</v>
      </c>
      <c r="AH43" s="5"/>
      <c r="AI43" s="5">
        <v>2954.3</v>
      </c>
      <c r="AK43" s="5">
        <v>59897.5</v>
      </c>
      <c r="AM43" s="5"/>
      <c r="AN43" s="5">
        <v>587.6</v>
      </c>
      <c r="AO43" s="8">
        <v>63</v>
      </c>
      <c r="AP43" s="5">
        <v>3210.5</v>
      </c>
      <c r="AV43" s="8">
        <v>40</v>
      </c>
      <c r="AZ43" s="28"/>
      <c r="BA43" s="29"/>
      <c r="BB43" s="29">
        <v>2239.39</v>
      </c>
      <c r="BC43" s="29">
        <v>402446.81</v>
      </c>
      <c r="BD43" s="29">
        <v>1856.17</v>
      </c>
      <c r="BE43" s="29">
        <v>419.12</v>
      </c>
      <c r="BF43" s="29">
        <v>15529.12</v>
      </c>
      <c r="BG43" s="29"/>
      <c r="BH43" s="29">
        <v>511919.48</v>
      </c>
      <c r="BI43" s="29"/>
      <c r="BJ43" s="29">
        <v>1629.8</v>
      </c>
      <c r="BK43" s="29">
        <v>124.71</v>
      </c>
      <c r="BL43" s="29">
        <v>407.85</v>
      </c>
      <c r="BM43" s="29">
        <v>17300.09</v>
      </c>
      <c r="BN43" s="29">
        <v>715.24</v>
      </c>
      <c r="BO43" s="29"/>
      <c r="BP43" s="29"/>
      <c r="BQ43" s="29"/>
      <c r="BR43" s="29"/>
      <c r="BS43" s="28"/>
      <c r="BT43" s="29">
        <v>3964</v>
      </c>
      <c r="BU43" s="29">
        <v>7204.81</v>
      </c>
      <c r="BV43" s="29">
        <v>2219.5</v>
      </c>
    </row>
    <row r="44" spans="1:74">
      <c r="A44" t="str">
        <f>VLOOKUP(D44,info!$A$2:$G$49,3,FALSE)</f>
        <v>Subaru</v>
      </c>
      <c r="B44">
        <v>45</v>
      </c>
      <c r="C44" t="s">
        <v>30</v>
      </c>
      <c r="D44">
        <v>2675308</v>
      </c>
      <c r="E44" s="1" t="s">
        <v>34</v>
      </c>
      <c r="F44">
        <v>106328</v>
      </c>
      <c r="G44">
        <v>25172</v>
      </c>
      <c r="H44">
        <v>9484</v>
      </c>
      <c r="I44">
        <v>333282</v>
      </c>
      <c r="J44">
        <v>544.29999999999995</v>
      </c>
      <c r="K44">
        <v>254.4</v>
      </c>
      <c r="L44">
        <v>4794</v>
      </c>
      <c r="M44">
        <v>32741</v>
      </c>
      <c r="N44">
        <v>60039</v>
      </c>
      <c r="O44">
        <v>55025</v>
      </c>
      <c r="P44">
        <v>169.7</v>
      </c>
      <c r="Q44">
        <v>13.99</v>
      </c>
      <c r="R44">
        <v>48.73</v>
      </c>
      <c r="S44">
        <v>1863</v>
      </c>
      <c r="T44">
        <v>15.27</v>
      </c>
      <c r="U44">
        <v>5.5469999999999997</v>
      </c>
      <c r="V44">
        <v>8.0920000000000005</v>
      </c>
      <c r="W44">
        <v>5.8849999999999998</v>
      </c>
      <c r="X44">
        <v>6.7679999999999998</v>
      </c>
      <c r="Y44">
        <v>38.86</v>
      </c>
      <c r="Z44">
        <v>8612</v>
      </c>
      <c r="AA44">
        <v>29479</v>
      </c>
      <c r="AB44">
        <v>3794</v>
      </c>
      <c r="AC44" s="5">
        <v>99551</v>
      </c>
      <c r="AD44" s="5">
        <v>20821.7</v>
      </c>
      <c r="AE44" s="5">
        <v>6512.5</v>
      </c>
      <c r="AF44" s="5">
        <v>329508.59999999998</v>
      </c>
      <c r="AG44" s="5">
        <v>978.7</v>
      </c>
      <c r="AH44" s="5"/>
      <c r="AI44" s="5">
        <v>4832</v>
      </c>
      <c r="AK44" s="5">
        <v>55407.3</v>
      </c>
      <c r="AM44" s="5"/>
      <c r="AN44" s="5">
        <v>434.7</v>
      </c>
      <c r="AO44" s="8">
        <v>53.3</v>
      </c>
      <c r="AP44" s="5">
        <v>2349.3000000000002</v>
      </c>
      <c r="AV44" s="8"/>
      <c r="AZ44" s="28"/>
      <c r="BA44" s="29"/>
      <c r="BB44" s="29">
        <v>786.49</v>
      </c>
      <c r="BC44" s="29">
        <v>128025.02</v>
      </c>
      <c r="BD44" s="29">
        <v>859.65</v>
      </c>
      <c r="BE44" s="29">
        <v>47</v>
      </c>
      <c r="BF44" s="29">
        <v>9318.7900000000009</v>
      </c>
      <c r="BG44" s="29"/>
      <c r="BH44" s="29">
        <v>166866.35999999999</v>
      </c>
      <c r="BI44" s="29"/>
      <c r="BJ44" s="29">
        <v>367.27</v>
      </c>
      <c r="BK44" s="29">
        <v>6.06</v>
      </c>
      <c r="BL44" s="29">
        <v>152.72</v>
      </c>
      <c r="BM44" s="29">
        <v>6495.03</v>
      </c>
      <c r="BN44" s="29">
        <v>438.39</v>
      </c>
      <c r="BO44" s="29"/>
      <c r="BP44" s="29"/>
      <c r="BQ44" s="29"/>
      <c r="BR44" s="29"/>
      <c r="BS44" s="28"/>
      <c r="BT44" s="29">
        <v>40.78</v>
      </c>
      <c r="BU44" s="29">
        <v>40.229999999999997</v>
      </c>
      <c r="BV44" s="29">
        <v>2.13</v>
      </c>
    </row>
    <row r="45" spans="1:74">
      <c r="A45" t="str">
        <f>VLOOKUP(D45,info!$A$2:$G$49,3,FALSE)</f>
        <v>Mazda</v>
      </c>
      <c r="B45">
        <v>1</v>
      </c>
      <c r="C45" t="s">
        <v>77</v>
      </c>
      <c r="D45">
        <v>3550828</v>
      </c>
      <c r="E45" s="1" t="s">
        <v>32</v>
      </c>
      <c r="F45">
        <v>113460</v>
      </c>
      <c r="G45">
        <v>32955</v>
      </c>
      <c r="H45">
        <v>10656</v>
      </c>
      <c r="I45">
        <v>386322</v>
      </c>
      <c r="J45">
        <v>410.2</v>
      </c>
      <c r="K45">
        <v>128.9</v>
      </c>
      <c r="L45">
        <v>6124</v>
      </c>
      <c r="M45">
        <v>35003</v>
      </c>
      <c r="N45">
        <v>58650</v>
      </c>
      <c r="O45">
        <v>52752</v>
      </c>
      <c r="P45">
        <v>188</v>
      </c>
      <c r="Q45">
        <v>288.3</v>
      </c>
      <c r="R45">
        <v>69.510000000000005</v>
      </c>
      <c r="S45">
        <v>3236</v>
      </c>
      <c r="T45">
        <v>23.27</v>
      </c>
      <c r="U45">
        <v>6.093</v>
      </c>
      <c r="V45">
        <v>11.78</v>
      </c>
      <c r="W45">
        <v>16.170000000000002</v>
      </c>
      <c r="X45">
        <v>6.2549999999999999</v>
      </c>
      <c r="Y45">
        <v>25.83</v>
      </c>
      <c r="Z45">
        <v>8496</v>
      </c>
      <c r="AA45">
        <v>31588</v>
      </c>
      <c r="AB45">
        <v>4369</v>
      </c>
      <c r="AC45" s="5">
        <v>90414</v>
      </c>
      <c r="AD45" s="5">
        <v>22085</v>
      </c>
      <c r="AE45" s="5">
        <v>7700</v>
      </c>
      <c r="AF45" s="5">
        <v>334334</v>
      </c>
      <c r="AG45" s="5">
        <v>500.2</v>
      </c>
      <c r="AH45" s="5"/>
      <c r="AI45" s="5">
        <v>5335</v>
      </c>
      <c r="AK45" s="5">
        <v>54023</v>
      </c>
      <c r="AM45" s="5">
        <v>209.2</v>
      </c>
      <c r="AN45" s="5">
        <v>520.70000000000005</v>
      </c>
      <c r="AO45" s="8">
        <v>60.3</v>
      </c>
      <c r="AP45" s="5">
        <v>2965</v>
      </c>
      <c r="AV45" s="8">
        <v>52.2</v>
      </c>
      <c r="AZ45" s="28"/>
      <c r="BA45" s="29"/>
      <c r="BB45" s="29">
        <v>2160.5700000000002</v>
      </c>
      <c r="BC45" s="30">
        <v>424997.29</v>
      </c>
      <c r="BD45" s="30">
        <v>1949.72</v>
      </c>
      <c r="BE45" s="30">
        <v>720.94</v>
      </c>
      <c r="BF45" s="30">
        <v>38055.14</v>
      </c>
      <c r="BG45" s="30"/>
      <c r="BH45" s="30">
        <v>549876.54</v>
      </c>
      <c r="BI45" s="30"/>
      <c r="BJ45" s="30">
        <v>1571.64</v>
      </c>
      <c r="BK45" s="30">
        <v>242.71</v>
      </c>
      <c r="BL45" s="30">
        <v>205.2</v>
      </c>
      <c r="BM45" s="30">
        <v>20687.439999999999</v>
      </c>
      <c r="BN45" s="30">
        <v>414.03</v>
      </c>
      <c r="BO45" s="29"/>
      <c r="BP45" s="29"/>
      <c r="BQ45" s="29"/>
      <c r="BR45" s="29"/>
      <c r="BS45" s="28"/>
      <c r="BT45" s="30">
        <v>1112.6500000000001</v>
      </c>
      <c r="BU45" s="30">
        <v>1279.55</v>
      </c>
      <c r="BV45" s="29">
        <v>15522.27</v>
      </c>
    </row>
    <row r="46" spans="1:74">
      <c r="A46" t="str">
        <f>VLOOKUP(D46,info!$A$2:$G$49,3,FALSE)</f>
        <v>Mazda</v>
      </c>
      <c r="B46">
        <v>2</v>
      </c>
      <c r="C46" t="s">
        <v>77</v>
      </c>
      <c r="D46">
        <v>3550828</v>
      </c>
      <c r="E46" s="1" t="s">
        <v>34</v>
      </c>
      <c r="F46">
        <v>96315</v>
      </c>
      <c r="G46">
        <v>27711</v>
      </c>
      <c r="H46">
        <v>9550</v>
      </c>
      <c r="I46">
        <v>353252</v>
      </c>
      <c r="J46">
        <v>288.39999999999998</v>
      </c>
      <c r="K46">
        <v>165.2</v>
      </c>
      <c r="L46">
        <v>5788</v>
      </c>
      <c r="M46">
        <v>33315</v>
      </c>
      <c r="N46">
        <v>60424</v>
      </c>
      <c r="O46">
        <v>54256</v>
      </c>
      <c r="P46">
        <v>190.8</v>
      </c>
      <c r="Q46">
        <v>345.3</v>
      </c>
      <c r="R46">
        <v>81.91</v>
      </c>
      <c r="S46">
        <v>3551</v>
      </c>
      <c r="T46">
        <v>22.82</v>
      </c>
      <c r="U46">
        <v>9.4809999999999999</v>
      </c>
      <c r="V46">
        <v>0</v>
      </c>
      <c r="W46">
        <v>22.12</v>
      </c>
      <c r="X46">
        <v>32.549999999999997</v>
      </c>
      <c r="Y46">
        <v>39.74</v>
      </c>
      <c r="Z46">
        <v>25307</v>
      </c>
      <c r="AA46">
        <v>37546</v>
      </c>
      <c r="AB46">
        <v>10726</v>
      </c>
      <c r="AC46" s="5">
        <v>88167</v>
      </c>
      <c r="AD46" s="5">
        <v>22306</v>
      </c>
      <c r="AE46" s="5">
        <v>7895</v>
      </c>
      <c r="AF46" s="5">
        <v>339837</v>
      </c>
      <c r="AG46" s="5">
        <v>545.70000000000005</v>
      </c>
      <c r="AH46" s="5"/>
      <c r="AI46" s="5">
        <v>5320</v>
      </c>
      <c r="AK46" s="5">
        <v>53072</v>
      </c>
      <c r="AM46" s="5"/>
      <c r="AN46" s="5">
        <v>501.1</v>
      </c>
      <c r="AO46" s="8">
        <v>56.9</v>
      </c>
      <c r="AP46" s="5">
        <v>3076.2</v>
      </c>
      <c r="AV46" s="8">
        <v>38.799999999999997</v>
      </c>
      <c r="AZ46" s="28"/>
      <c r="BA46" s="29"/>
      <c r="BB46" s="29">
        <v>2678.47</v>
      </c>
      <c r="BC46" s="30">
        <v>513958.45</v>
      </c>
      <c r="BD46" s="30">
        <v>1979.34</v>
      </c>
      <c r="BE46" s="30">
        <v>516.78</v>
      </c>
      <c r="BF46" s="30">
        <v>44910.61</v>
      </c>
      <c r="BG46" s="30"/>
      <c r="BH46" s="30">
        <v>664221.30000000005</v>
      </c>
      <c r="BI46" s="30"/>
      <c r="BJ46" s="30">
        <v>1724.53</v>
      </c>
      <c r="BK46" s="30">
        <v>188.67</v>
      </c>
      <c r="BL46" s="30">
        <v>368.92</v>
      </c>
      <c r="BM46" s="30">
        <v>26897.97</v>
      </c>
      <c r="BN46" s="30">
        <v>622.9</v>
      </c>
      <c r="BO46" s="29"/>
      <c r="BP46" s="29"/>
      <c r="BQ46" s="29"/>
      <c r="BR46" s="29"/>
      <c r="BS46" s="28"/>
      <c r="BT46" s="30">
        <v>421.14</v>
      </c>
      <c r="BU46" s="30">
        <v>384.05</v>
      </c>
      <c r="BV46" s="29">
        <v>21836.58</v>
      </c>
    </row>
    <row r="47" spans="1:74">
      <c r="A47" t="str">
        <f>VLOOKUP(D47,info!$A$2:$G$49,3,FALSE)</f>
        <v>Mazda</v>
      </c>
      <c r="B47">
        <v>3</v>
      </c>
      <c r="C47" t="s">
        <v>77</v>
      </c>
      <c r="D47">
        <v>3550828</v>
      </c>
      <c r="E47" s="1" t="s">
        <v>34</v>
      </c>
      <c r="F47">
        <v>100557</v>
      </c>
      <c r="G47">
        <v>29343</v>
      </c>
      <c r="H47">
        <v>18752</v>
      </c>
      <c r="I47">
        <v>363699</v>
      </c>
      <c r="J47">
        <v>388.4</v>
      </c>
      <c r="K47">
        <v>157.69999999999999</v>
      </c>
      <c r="L47">
        <v>5956</v>
      </c>
      <c r="M47">
        <v>33759</v>
      </c>
      <c r="N47">
        <v>61853</v>
      </c>
      <c r="O47">
        <v>55469</v>
      </c>
      <c r="P47">
        <v>199.5</v>
      </c>
      <c r="Q47">
        <v>334.4</v>
      </c>
      <c r="R47">
        <v>97.13</v>
      </c>
      <c r="S47">
        <v>3558</v>
      </c>
      <c r="T47">
        <v>25.16</v>
      </c>
      <c r="U47">
        <v>9.0860000000000003</v>
      </c>
      <c r="V47">
        <v>3.6819999999999999</v>
      </c>
      <c r="W47">
        <v>27.87</v>
      </c>
      <c r="X47">
        <v>34.94</v>
      </c>
      <c r="Y47">
        <v>19.760000000000002</v>
      </c>
      <c r="Z47">
        <v>25745</v>
      </c>
      <c r="AA47">
        <v>36944</v>
      </c>
      <c r="AB47">
        <v>10865</v>
      </c>
      <c r="AC47" s="5">
        <v>86607</v>
      </c>
      <c r="AD47" s="5">
        <v>22297</v>
      </c>
      <c r="AE47" s="5">
        <v>8159</v>
      </c>
      <c r="AF47" s="5">
        <v>340291</v>
      </c>
      <c r="AG47" s="5">
        <v>582.9</v>
      </c>
      <c r="AH47" s="5"/>
      <c r="AI47" s="5">
        <v>5492</v>
      </c>
      <c r="AK47" s="5">
        <v>53605</v>
      </c>
      <c r="AM47" s="5">
        <v>270.7</v>
      </c>
      <c r="AN47" s="5">
        <v>584.6</v>
      </c>
      <c r="AO47" s="8">
        <v>59.1</v>
      </c>
      <c r="AP47" s="5">
        <v>3302</v>
      </c>
      <c r="AV47" s="8"/>
      <c r="AZ47" s="28"/>
      <c r="BA47" s="29"/>
      <c r="BB47" s="29">
        <v>2065.62</v>
      </c>
      <c r="BC47" s="30">
        <v>375099.64</v>
      </c>
      <c r="BD47" s="30">
        <v>6705.38</v>
      </c>
      <c r="BE47" s="30">
        <v>23782.79</v>
      </c>
      <c r="BF47" s="30">
        <v>43215.31</v>
      </c>
      <c r="BG47" s="30"/>
      <c r="BH47" s="30">
        <v>613376.59</v>
      </c>
      <c r="BI47" s="30"/>
      <c r="BJ47" s="30">
        <v>1782.97</v>
      </c>
      <c r="BK47" s="30">
        <v>62.01</v>
      </c>
      <c r="BL47" s="30">
        <v>380.85</v>
      </c>
      <c r="BM47" s="30">
        <v>25268.75</v>
      </c>
      <c r="BN47" s="30">
        <v>696.67</v>
      </c>
      <c r="BO47" s="29"/>
      <c r="BP47" s="29"/>
      <c r="BQ47" s="29"/>
      <c r="BR47" s="29"/>
      <c r="BS47" s="28"/>
      <c r="BT47" s="30">
        <v>2106.17</v>
      </c>
      <c r="BU47" s="30">
        <v>1033.5899999999999</v>
      </c>
      <c r="BV47" s="29">
        <v>19612.62</v>
      </c>
    </row>
    <row r="48" spans="1:74">
      <c r="A48" t="str">
        <f>VLOOKUP(D48,info!$A$2:$G$49,3,FALSE)</f>
        <v>Mazda</v>
      </c>
      <c r="B48">
        <v>4</v>
      </c>
      <c r="C48" t="s">
        <v>77</v>
      </c>
      <c r="D48">
        <v>3550828</v>
      </c>
      <c r="E48" s="1" t="s">
        <v>34</v>
      </c>
      <c r="F48">
        <v>108062</v>
      </c>
      <c r="G48">
        <v>30125</v>
      </c>
      <c r="H48">
        <v>9824</v>
      </c>
      <c r="I48">
        <v>369218</v>
      </c>
      <c r="J48">
        <v>450.2</v>
      </c>
      <c r="K48">
        <v>182</v>
      </c>
      <c r="L48">
        <v>5875</v>
      </c>
      <c r="M48">
        <v>34535</v>
      </c>
      <c r="N48">
        <v>60797</v>
      </c>
      <c r="O48">
        <v>54899</v>
      </c>
      <c r="P48">
        <v>186.2</v>
      </c>
      <c r="Q48">
        <v>280.2</v>
      </c>
      <c r="R48">
        <v>90.96</v>
      </c>
      <c r="S48">
        <v>3295</v>
      </c>
      <c r="T48">
        <v>13.08</v>
      </c>
      <c r="U48">
        <v>10.34</v>
      </c>
      <c r="V48">
        <v>0</v>
      </c>
      <c r="W48">
        <v>26.46</v>
      </c>
      <c r="X48">
        <v>5.5110000000000001</v>
      </c>
      <c r="Y48">
        <v>38.06</v>
      </c>
      <c r="Z48">
        <v>22455</v>
      </c>
      <c r="AA48">
        <v>40352</v>
      </c>
      <c r="AB48">
        <v>10655</v>
      </c>
      <c r="AC48" s="5">
        <v>91103</v>
      </c>
      <c r="AD48" s="5">
        <v>20802</v>
      </c>
      <c r="AE48" s="5">
        <v>3346</v>
      </c>
      <c r="AF48" s="5">
        <v>342993</v>
      </c>
      <c r="AG48" s="5">
        <v>622.5</v>
      </c>
      <c r="AH48" s="5"/>
      <c r="AI48" s="5">
        <v>1357</v>
      </c>
      <c r="AK48" s="5">
        <v>54856</v>
      </c>
      <c r="AM48" s="5">
        <v>188.7</v>
      </c>
      <c r="AN48" s="5">
        <v>487</v>
      </c>
      <c r="AO48" s="5">
        <v>104</v>
      </c>
      <c r="AP48" s="5">
        <v>5147</v>
      </c>
      <c r="AV48" s="8">
        <v>84.7</v>
      </c>
      <c r="AZ48" s="28"/>
      <c r="BA48" s="29"/>
      <c r="BB48" s="29">
        <v>1847.48</v>
      </c>
      <c r="BC48" s="30">
        <v>637060.74</v>
      </c>
      <c r="BD48" s="30">
        <v>2837.5</v>
      </c>
      <c r="BE48" s="30">
        <v>953.81</v>
      </c>
      <c r="BF48" s="30">
        <v>7381.93</v>
      </c>
      <c r="BG48" s="30"/>
      <c r="BH48" s="30">
        <v>841606.72</v>
      </c>
      <c r="BI48" s="30"/>
      <c r="BJ48" s="30">
        <v>2490.21</v>
      </c>
      <c r="BK48" s="30">
        <v>233.92</v>
      </c>
      <c r="BL48" s="30">
        <v>940.47</v>
      </c>
      <c r="BM48" s="30">
        <v>63079.7</v>
      </c>
      <c r="BN48" s="30">
        <v>866.54</v>
      </c>
      <c r="BO48" s="29"/>
      <c r="BP48" s="29"/>
      <c r="BQ48" s="29"/>
      <c r="BR48" s="29"/>
      <c r="BS48" s="28"/>
      <c r="BT48" s="30">
        <v>2241.31</v>
      </c>
      <c r="BU48" s="30">
        <v>2013.46</v>
      </c>
      <c r="BV48" s="29">
        <v>27647.51</v>
      </c>
    </row>
    <row r="49" spans="1:74">
      <c r="A49" t="str">
        <f>VLOOKUP(D49,info!$A$2:$G$49,3,FALSE)</f>
        <v>Peugeot</v>
      </c>
      <c r="B49">
        <v>5</v>
      </c>
      <c r="C49" t="s">
        <v>77</v>
      </c>
      <c r="D49">
        <v>9367324</v>
      </c>
      <c r="E49" s="1" t="s">
        <v>32</v>
      </c>
      <c r="F49">
        <v>105621</v>
      </c>
      <c r="G49">
        <v>26971</v>
      </c>
      <c r="H49">
        <v>2683</v>
      </c>
      <c r="I49">
        <v>371467</v>
      </c>
      <c r="J49">
        <v>264.7</v>
      </c>
      <c r="K49">
        <v>57.43</v>
      </c>
      <c r="L49">
        <v>678.6</v>
      </c>
      <c r="M49">
        <v>23081</v>
      </c>
      <c r="N49">
        <v>62534</v>
      </c>
      <c r="O49">
        <v>56497</v>
      </c>
      <c r="P49">
        <v>77.5</v>
      </c>
      <c r="Q49">
        <v>272</v>
      </c>
      <c r="R49">
        <v>114.8</v>
      </c>
      <c r="S49">
        <v>5271</v>
      </c>
      <c r="T49">
        <v>27.99</v>
      </c>
      <c r="U49">
        <v>7.73</v>
      </c>
      <c r="V49">
        <v>0</v>
      </c>
      <c r="W49">
        <v>14.54</v>
      </c>
      <c r="X49">
        <v>7.9880000000000004</v>
      </c>
      <c r="Y49">
        <v>15.93</v>
      </c>
      <c r="Z49">
        <v>9136</v>
      </c>
      <c r="AA49">
        <v>28036</v>
      </c>
      <c r="AB49">
        <v>2342</v>
      </c>
      <c r="AC49" s="5">
        <v>96298</v>
      </c>
      <c r="AD49" s="5">
        <v>21136</v>
      </c>
      <c r="AE49" s="5">
        <v>1394</v>
      </c>
      <c r="AF49" s="5">
        <v>343685</v>
      </c>
      <c r="AG49" s="5">
        <v>552.5</v>
      </c>
      <c r="AH49" s="5"/>
      <c r="AI49" s="5">
        <v>577.1</v>
      </c>
      <c r="AK49" s="5">
        <v>54822</v>
      </c>
      <c r="AM49" s="5"/>
      <c r="AN49" s="5">
        <v>354.6</v>
      </c>
      <c r="AO49" s="5">
        <v>119.7</v>
      </c>
      <c r="AP49" s="5">
        <v>5181</v>
      </c>
      <c r="AV49" s="8"/>
      <c r="AZ49" s="28"/>
      <c r="BA49" s="29"/>
      <c r="BB49" s="29">
        <v>1303.75</v>
      </c>
      <c r="BC49" s="30">
        <v>723083.79</v>
      </c>
      <c r="BD49" s="30">
        <v>3739.25</v>
      </c>
      <c r="BE49" s="30">
        <v>733.74</v>
      </c>
      <c r="BF49" s="30">
        <v>606.22</v>
      </c>
      <c r="BG49" s="30"/>
      <c r="BH49" s="30">
        <v>961213.09</v>
      </c>
      <c r="BI49" s="30"/>
      <c r="BJ49" s="30">
        <v>725.41</v>
      </c>
      <c r="BK49" s="30">
        <v>384.76</v>
      </c>
      <c r="BL49" s="30">
        <v>1147.6099999999999</v>
      </c>
      <c r="BM49" s="30">
        <v>71800.160000000003</v>
      </c>
      <c r="BN49" s="30">
        <v>1250.74</v>
      </c>
      <c r="BO49" s="29"/>
      <c r="BP49" s="29"/>
      <c r="BQ49" s="29"/>
      <c r="BR49" s="29"/>
      <c r="BS49" s="28"/>
      <c r="BT49" s="30">
        <v>5994.36</v>
      </c>
      <c r="BU49" s="30">
        <v>114.08</v>
      </c>
      <c r="BV49" s="29">
        <v>48409.38</v>
      </c>
    </row>
    <row r="50" spans="1:74">
      <c r="A50" t="str">
        <f>VLOOKUP(D50,info!$A$2:$G$49,3,FALSE)</f>
        <v>Mazda</v>
      </c>
      <c r="B50">
        <v>6</v>
      </c>
      <c r="C50" t="s">
        <v>77</v>
      </c>
      <c r="D50" s="2">
        <v>3550828</v>
      </c>
      <c r="E50" s="1" t="s">
        <v>32</v>
      </c>
      <c r="F50">
        <v>89592</v>
      </c>
      <c r="G50">
        <v>27724</v>
      </c>
      <c r="H50">
        <v>10525</v>
      </c>
      <c r="I50">
        <v>348625</v>
      </c>
      <c r="J50">
        <v>209</v>
      </c>
      <c r="K50">
        <v>56.98</v>
      </c>
      <c r="L50">
        <v>6041</v>
      </c>
      <c r="M50">
        <v>31740</v>
      </c>
      <c r="N50">
        <v>58342</v>
      </c>
      <c r="O50">
        <v>52986</v>
      </c>
      <c r="P50">
        <v>194</v>
      </c>
      <c r="Q50">
        <v>281.5</v>
      </c>
      <c r="R50">
        <v>86.53</v>
      </c>
      <c r="S50">
        <v>3530</v>
      </c>
      <c r="T50">
        <v>25.57</v>
      </c>
      <c r="U50">
        <v>3.2120000000000002</v>
      </c>
      <c r="V50">
        <v>9.8059999999999992</v>
      </c>
      <c r="W50">
        <v>22.14</v>
      </c>
      <c r="X50">
        <v>23.81</v>
      </c>
      <c r="Y50">
        <v>25.99</v>
      </c>
      <c r="Z50">
        <v>9970</v>
      </c>
      <c r="AA50">
        <v>26429</v>
      </c>
      <c r="AB50">
        <v>3819</v>
      </c>
      <c r="AC50" s="5">
        <v>86676</v>
      </c>
      <c r="AD50" s="5">
        <v>22280</v>
      </c>
      <c r="AE50" s="5">
        <v>8300</v>
      </c>
      <c r="AF50" s="5">
        <v>341547</v>
      </c>
      <c r="AG50" s="5">
        <v>520.70000000000005</v>
      </c>
      <c r="AH50" s="5"/>
      <c r="AI50" s="5">
        <v>5490</v>
      </c>
      <c r="AK50" s="5">
        <v>53553</v>
      </c>
      <c r="AM50" s="5"/>
      <c r="AN50" s="5">
        <v>404.1</v>
      </c>
      <c r="AO50" s="8">
        <v>60.8</v>
      </c>
      <c r="AP50" s="5">
        <v>3263</v>
      </c>
      <c r="AV50" s="8"/>
      <c r="AZ50" s="28"/>
      <c r="BA50" s="29"/>
      <c r="BB50" s="29">
        <v>2493.25</v>
      </c>
      <c r="BC50" s="30">
        <v>508529.2</v>
      </c>
      <c r="BD50" s="30">
        <v>2007.21</v>
      </c>
      <c r="BE50" s="30">
        <v>450.7</v>
      </c>
      <c r="BF50" s="30">
        <v>45399.93</v>
      </c>
      <c r="BG50" s="30"/>
      <c r="BH50" s="30">
        <v>654339.18999999994</v>
      </c>
      <c r="BI50" s="30"/>
      <c r="BJ50" s="30">
        <v>1782.42</v>
      </c>
      <c r="BK50" s="30">
        <v>146.15</v>
      </c>
      <c r="BL50" s="30">
        <v>369.58</v>
      </c>
      <c r="BM50" s="30">
        <v>26904.63</v>
      </c>
      <c r="BN50" s="30">
        <v>719.33</v>
      </c>
      <c r="BO50" s="29"/>
      <c r="BP50" s="29"/>
      <c r="BQ50" s="29"/>
      <c r="BR50" s="29"/>
      <c r="BS50" s="28"/>
      <c r="BT50" s="30">
        <v>346.22</v>
      </c>
      <c r="BU50" s="30">
        <v>1918.79</v>
      </c>
      <c r="BV50" s="29">
        <v>19610.89</v>
      </c>
    </row>
    <row r="51" spans="1:74">
      <c r="A51" t="str">
        <f>VLOOKUP(D51,info!$A$2:$G$49,3,FALSE)</f>
        <v>Honda</v>
      </c>
      <c r="B51">
        <v>8</v>
      </c>
      <c r="C51" t="s">
        <v>77</v>
      </c>
      <c r="D51">
        <v>8096906</v>
      </c>
      <c r="E51" s="1" t="s">
        <v>32</v>
      </c>
      <c r="F51">
        <v>104001</v>
      </c>
      <c r="G51">
        <v>26361</v>
      </c>
      <c r="H51">
        <v>2152</v>
      </c>
      <c r="I51">
        <v>361858</v>
      </c>
      <c r="J51">
        <v>455.9</v>
      </c>
      <c r="K51">
        <v>299.89999999999998</v>
      </c>
      <c r="L51">
        <v>438.2</v>
      </c>
      <c r="M51">
        <v>27188</v>
      </c>
      <c r="N51">
        <v>59362</v>
      </c>
      <c r="O51">
        <v>53213</v>
      </c>
      <c r="P51">
        <v>104</v>
      </c>
      <c r="Q51">
        <v>78.48</v>
      </c>
      <c r="R51">
        <v>23.94</v>
      </c>
      <c r="S51">
        <v>2588</v>
      </c>
      <c r="T51">
        <v>6.8170000000000002</v>
      </c>
      <c r="U51">
        <v>3.94</v>
      </c>
      <c r="V51">
        <v>0</v>
      </c>
      <c r="W51">
        <v>15.61</v>
      </c>
      <c r="X51">
        <v>19.2</v>
      </c>
      <c r="Y51">
        <v>8.093</v>
      </c>
      <c r="Z51">
        <v>37568</v>
      </c>
      <c r="AA51">
        <v>41955</v>
      </c>
      <c r="AB51">
        <v>14521</v>
      </c>
      <c r="AC51" s="5">
        <v>88404</v>
      </c>
      <c r="AD51" s="5">
        <v>21627</v>
      </c>
      <c r="AE51" s="5">
        <v>906.2</v>
      </c>
      <c r="AF51" s="5">
        <v>349310</v>
      </c>
      <c r="AG51" s="5">
        <v>598.9</v>
      </c>
      <c r="AH51" s="5"/>
      <c r="AI51" s="5">
        <v>561.20000000000005</v>
      </c>
      <c r="AK51" s="5">
        <v>54166</v>
      </c>
      <c r="AM51" s="5"/>
      <c r="AN51" s="5">
        <v>408.6</v>
      </c>
      <c r="AO51" s="9">
        <v>0</v>
      </c>
      <c r="AP51" s="5">
        <v>3011</v>
      </c>
      <c r="AV51" s="8">
        <v>36.6</v>
      </c>
      <c r="AZ51" s="28"/>
      <c r="BA51" s="29"/>
      <c r="BB51" s="29">
        <v>613.12</v>
      </c>
      <c r="BC51" s="30">
        <v>443832.75</v>
      </c>
      <c r="BD51" s="30">
        <v>2404.44</v>
      </c>
      <c r="BE51" s="30">
        <v>864.95</v>
      </c>
      <c r="BF51" s="30">
        <v>1606.7</v>
      </c>
      <c r="BG51" s="30"/>
      <c r="BH51" s="30">
        <v>575202.84</v>
      </c>
      <c r="BI51" s="30"/>
      <c r="BJ51" s="30">
        <v>194.19</v>
      </c>
      <c r="BK51" s="30">
        <v>243.2</v>
      </c>
      <c r="BL51" s="30">
        <v>131.55000000000001</v>
      </c>
      <c r="BM51" s="30">
        <v>21460.73</v>
      </c>
      <c r="BN51" s="30">
        <v>513.03</v>
      </c>
      <c r="BO51" s="29"/>
      <c r="BP51" s="29"/>
      <c r="BQ51" s="29"/>
      <c r="BR51" s="29"/>
      <c r="BS51" s="28"/>
      <c r="BT51" s="30">
        <v>1695.59</v>
      </c>
      <c r="BU51" s="30">
        <v>1348.91</v>
      </c>
      <c r="BV51" s="29">
        <v>19165.509999999998</v>
      </c>
    </row>
    <row r="52" spans="1:74">
      <c r="A52" t="str">
        <f>VLOOKUP(D52,info!$A$2:$G$49,3,FALSE)</f>
        <v>Honda</v>
      </c>
      <c r="B52">
        <v>9</v>
      </c>
      <c r="C52" t="s">
        <v>77</v>
      </c>
      <c r="D52" s="2">
        <v>8096906</v>
      </c>
      <c r="E52" s="1" t="s">
        <v>34</v>
      </c>
      <c r="F52">
        <v>98702</v>
      </c>
      <c r="G52">
        <v>28091</v>
      </c>
      <c r="H52">
        <v>2178</v>
      </c>
      <c r="I52">
        <v>388769</v>
      </c>
      <c r="J52">
        <v>414.2</v>
      </c>
      <c r="K52">
        <v>187.6</v>
      </c>
      <c r="L52">
        <v>496.7</v>
      </c>
      <c r="M52">
        <v>23931</v>
      </c>
      <c r="N52">
        <v>62412</v>
      </c>
      <c r="O52">
        <v>56706</v>
      </c>
      <c r="P52">
        <v>75.13</v>
      </c>
      <c r="Q52">
        <v>282.60000000000002</v>
      </c>
      <c r="R52">
        <v>34.700000000000003</v>
      </c>
      <c r="S52">
        <v>3461</v>
      </c>
      <c r="T52">
        <v>17.09</v>
      </c>
      <c r="U52">
        <v>10.77</v>
      </c>
      <c r="V52">
        <v>11.79</v>
      </c>
      <c r="W52">
        <v>13.09</v>
      </c>
      <c r="X52">
        <v>2.2000000000000002</v>
      </c>
      <c r="Y52">
        <v>33.090000000000003</v>
      </c>
      <c r="Z52">
        <v>9334</v>
      </c>
      <c r="AA52">
        <v>31046</v>
      </c>
      <c r="AB52">
        <v>2488</v>
      </c>
      <c r="AC52" s="5">
        <v>87610</v>
      </c>
      <c r="AD52" s="5">
        <v>21759</v>
      </c>
      <c r="AE52" s="5">
        <v>918.2</v>
      </c>
      <c r="AF52" s="5">
        <v>350010</v>
      </c>
      <c r="AG52" s="5">
        <v>671.5</v>
      </c>
      <c r="AH52" s="5"/>
      <c r="AI52" s="5">
        <v>463.1</v>
      </c>
      <c r="AK52" s="5">
        <v>54280</v>
      </c>
      <c r="AM52" s="5"/>
      <c r="AN52" s="5">
        <v>374.6</v>
      </c>
      <c r="AO52" s="9">
        <v>0</v>
      </c>
      <c r="AP52" s="5">
        <v>3048</v>
      </c>
      <c r="AV52" s="8"/>
      <c r="AZ52" s="28"/>
      <c r="BA52" s="29"/>
      <c r="BB52" s="29">
        <v>992.13</v>
      </c>
      <c r="BC52" s="30">
        <v>475854.37</v>
      </c>
      <c r="BD52" s="30">
        <v>2996.22</v>
      </c>
      <c r="BE52" s="30">
        <v>1014.67</v>
      </c>
      <c r="BF52" s="30">
        <v>1845.25</v>
      </c>
      <c r="BG52" s="30"/>
      <c r="BH52" s="30">
        <v>633047.36</v>
      </c>
      <c r="BI52" s="30"/>
      <c r="BJ52" s="30">
        <v>340.62</v>
      </c>
      <c r="BK52" s="30">
        <v>244.94</v>
      </c>
      <c r="BL52" s="30">
        <v>89.74</v>
      </c>
      <c r="BM52" s="30">
        <v>27122.7</v>
      </c>
      <c r="BN52" s="30">
        <v>714.68</v>
      </c>
      <c r="BO52" s="29"/>
      <c r="BP52" s="29"/>
      <c r="BQ52" s="29"/>
      <c r="BR52" s="29"/>
      <c r="BS52" s="28"/>
      <c r="BT52" s="30">
        <v>2197.31</v>
      </c>
      <c r="BU52" s="30">
        <v>2533.5700000000002</v>
      </c>
      <c r="BV52" s="29">
        <v>29021.31</v>
      </c>
    </row>
    <row r="53" spans="1:74">
      <c r="A53" t="str">
        <f>VLOOKUP(D53,info!$A$2:$G$49,3,FALSE)</f>
        <v>Ford</v>
      </c>
      <c r="B53">
        <v>10</v>
      </c>
      <c r="C53" t="s">
        <v>77</v>
      </c>
      <c r="D53">
        <v>6917835</v>
      </c>
      <c r="E53" s="1" t="s">
        <v>32</v>
      </c>
      <c r="F53">
        <v>94341</v>
      </c>
      <c r="G53">
        <v>29167</v>
      </c>
      <c r="H53">
        <v>6122</v>
      </c>
      <c r="I53">
        <v>371896</v>
      </c>
      <c r="J53">
        <v>369.7</v>
      </c>
      <c r="K53">
        <v>119.8</v>
      </c>
      <c r="L53">
        <v>2613</v>
      </c>
      <c r="M53">
        <v>26054</v>
      </c>
      <c r="N53">
        <v>61903</v>
      </c>
      <c r="O53">
        <v>55567</v>
      </c>
      <c r="P53">
        <v>238.8</v>
      </c>
      <c r="Q53">
        <v>404.1</v>
      </c>
      <c r="R53">
        <v>70.64</v>
      </c>
      <c r="S53">
        <v>6774</v>
      </c>
      <c r="T53">
        <v>40.229999999999997</v>
      </c>
      <c r="U53">
        <v>11.11</v>
      </c>
      <c r="V53">
        <v>5.7439999999999998</v>
      </c>
      <c r="W53">
        <v>13.82</v>
      </c>
      <c r="X53">
        <v>0</v>
      </c>
      <c r="Y53">
        <v>41.11</v>
      </c>
      <c r="Z53">
        <v>11862</v>
      </c>
      <c r="AA53">
        <v>26542</v>
      </c>
      <c r="AB53">
        <v>3121</v>
      </c>
      <c r="AC53" s="5">
        <v>84919</v>
      </c>
      <c r="AD53" s="5">
        <v>21377</v>
      </c>
      <c r="AE53" s="5">
        <v>9513</v>
      </c>
      <c r="AF53" s="5">
        <v>336106</v>
      </c>
      <c r="AG53" s="5">
        <v>477.5</v>
      </c>
      <c r="AH53" s="5"/>
      <c r="AI53" s="5">
        <v>2484</v>
      </c>
      <c r="AK53" s="5">
        <v>51498</v>
      </c>
      <c r="AM53" s="5"/>
      <c r="AN53" s="5">
        <v>366.9</v>
      </c>
      <c r="AO53" s="8">
        <v>30.3</v>
      </c>
      <c r="AP53" s="5">
        <v>6348</v>
      </c>
      <c r="AV53" s="8">
        <v>99.6</v>
      </c>
      <c r="AZ53" s="28"/>
      <c r="BA53" s="29"/>
      <c r="BB53" s="29">
        <v>3216.99</v>
      </c>
      <c r="BC53" s="30">
        <v>420147.19</v>
      </c>
      <c r="BD53" s="30">
        <v>1793.69</v>
      </c>
      <c r="BE53" s="30">
        <v>645.49</v>
      </c>
      <c r="BF53" s="30">
        <v>15764.87</v>
      </c>
      <c r="BG53" s="30"/>
      <c r="BH53" s="30">
        <v>550771.28</v>
      </c>
      <c r="BI53" s="30"/>
      <c r="BJ53" s="30">
        <v>2110.85</v>
      </c>
      <c r="BK53" s="30">
        <v>293.37</v>
      </c>
      <c r="BL53" s="30">
        <v>124</v>
      </c>
      <c r="BM53" s="30">
        <v>50045.51</v>
      </c>
      <c r="BN53" s="30">
        <v>874.87</v>
      </c>
      <c r="BO53" s="29"/>
      <c r="BP53" s="29"/>
      <c r="BQ53" s="29"/>
      <c r="BR53" s="29"/>
      <c r="BS53" s="28"/>
      <c r="BT53" s="30">
        <v>4796.09</v>
      </c>
      <c r="BU53" s="30">
        <v>4189.5600000000004</v>
      </c>
      <c r="BV53" s="29">
        <v>43438.54</v>
      </c>
    </row>
    <row r="54" spans="1:74">
      <c r="A54" t="str">
        <f>VLOOKUP(D54,info!$A$2:$G$49,3,FALSE)</f>
        <v>Honda</v>
      </c>
      <c r="B54">
        <v>11</v>
      </c>
      <c r="C54" t="s">
        <v>77</v>
      </c>
      <c r="D54" s="2">
        <v>8096906</v>
      </c>
      <c r="E54" s="1" t="s">
        <v>34</v>
      </c>
      <c r="F54">
        <v>93716</v>
      </c>
      <c r="G54">
        <v>24851</v>
      </c>
      <c r="H54">
        <v>1745</v>
      </c>
      <c r="I54">
        <v>353722</v>
      </c>
      <c r="J54">
        <v>286.60000000000002</v>
      </c>
      <c r="K54">
        <v>289</v>
      </c>
      <c r="L54">
        <v>385.7</v>
      </c>
      <c r="M54">
        <v>26195</v>
      </c>
      <c r="N54">
        <v>61354</v>
      </c>
      <c r="O54">
        <v>54450</v>
      </c>
      <c r="P54">
        <v>87</v>
      </c>
      <c r="Q54">
        <v>408.2</v>
      </c>
      <c r="R54">
        <v>66.58</v>
      </c>
      <c r="S54">
        <v>3853</v>
      </c>
      <c r="T54">
        <v>21.33</v>
      </c>
      <c r="U54">
        <v>9.0749999999999993</v>
      </c>
      <c r="V54">
        <v>9.5670000000000002</v>
      </c>
      <c r="W54">
        <v>17.82</v>
      </c>
      <c r="X54">
        <v>0</v>
      </c>
      <c r="Y54">
        <v>16.18</v>
      </c>
      <c r="Z54">
        <v>37073</v>
      </c>
      <c r="AA54">
        <v>39483</v>
      </c>
      <c r="AB54">
        <v>14724</v>
      </c>
      <c r="AC54" s="5">
        <v>84318</v>
      </c>
      <c r="AD54" s="5">
        <v>21485</v>
      </c>
      <c r="AE54" s="5">
        <v>1471</v>
      </c>
      <c r="AF54" s="5">
        <v>350254</v>
      </c>
      <c r="AG54" s="5">
        <v>752.6</v>
      </c>
      <c r="AH54" s="5"/>
      <c r="AI54" s="5">
        <v>572.20000000000005</v>
      </c>
      <c r="AK54" s="5">
        <v>55363</v>
      </c>
      <c r="AM54" s="5"/>
      <c r="AN54" s="5">
        <v>335.8</v>
      </c>
      <c r="AO54" s="9">
        <v>0</v>
      </c>
      <c r="AP54" s="5">
        <v>3178</v>
      </c>
      <c r="AV54" s="8"/>
      <c r="AZ54" s="28"/>
      <c r="BA54" s="29"/>
      <c r="BB54" s="29">
        <v>571.35</v>
      </c>
      <c r="BC54" s="30">
        <v>369369.71</v>
      </c>
      <c r="BD54" s="30">
        <v>2118.19</v>
      </c>
      <c r="BE54" s="30">
        <v>493.98</v>
      </c>
      <c r="BF54" s="30">
        <v>1537.41</v>
      </c>
      <c r="BG54" s="30"/>
      <c r="BH54" s="30">
        <v>494805.87</v>
      </c>
      <c r="BI54" s="30"/>
      <c r="BJ54" s="30">
        <v>49.48</v>
      </c>
      <c r="BK54" s="30">
        <v>69.400000000000006</v>
      </c>
      <c r="BL54" s="30">
        <v>73.13</v>
      </c>
      <c r="BM54" s="30">
        <v>20611.22</v>
      </c>
      <c r="BN54" s="30">
        <v>545.22</v>
      </c>
      <c r="BO54" s="29"/>
      <c r="BP54" s="29"/>
      <c r="BQ54" s="29"/>
      <c r="BR54" s="29"/>
      <c r="BS54" s="28"/>
      <c r="BT54" s="30">
        <v>3172.71</v>
      </c>
      <c r="BU54" s="30">
        <v>1467</v>
      </c>
      <c r="BV54" s="29">
        <v>32278.37</v>
      </c>
    </row>
    <row r="55" spans="1:74">
      <c r="A55" t="str">
        <f>VLOOKUP(D55,info!$A$2:$G$49,3,FALSE)</f>
        <v>Daewoo</v>
      </c>
      <c r="B55">
        <v>12</v>
      </c>
      <c r="C55" t="s">
        <v>77</v>
      </c>
      <c r="D55">
        <v>8501017</v>
      </c>
      <c r="E55" s="1" t="s">
        <v>34</v>
      </c>
      <c r="F55">
        <v>97620</v>
      </c>
      <c r="G55">
        <v>28589</v>
      </c>
      <c r="H55">
        <v>7562</v>
      </c>
      <c r="I55">
        <v>379595</v>
      </c>
      <c r="J55">
        <v>532</v>
      </c>
      <c r="K55">
        <v>30.85</v>
      </c>
      <c r="L55">
        <v>4691</v>
      </c>
      <c r="M55">
        <v>31256</v>
      </c>
      <c r="N55">
        <v>59582</v>
      </c>
      <c r="O55">
        <v>53995</v>
      </c>
      <c r="P55">
        <v>215.3</v>
      </c>
      <c r="Q55">
        <v>308.60000000000002</v>
      </c>
      <c r="R55">
        <v>69.61</v>
      </c>
      <c r="S55">
        <v>3724</v>
      </c>
      <c r="T55">
        <v>21.26</v>
      </c>
      <c r="U55">
        <v>3.4470000000000001</v>
      </c>
      <c r="V55">
        <v>11.86</v>
      </c>
      <c r="W55">
        <v>21.21</v>
      </c>
      <c r="X55">
        <v>9.0760000000000005</v>
      </c>
      <c r="Y55">
        <v>36.08</v>
      </c>
      <c r="Z55">
        <v>11126</v>
      </c>
      <c r="AA55">
        <v>29401</v>
      </c>
      <c r="AB55">
        <v>3733</v>
      </c>
      <c r="AC55" s="5">
        <v>86638</v>
      </c>
      <c r="AD55" s="5">
        <v>21576</v>
      </c>
      <c r="AE55" s="5">
        <v>5889</v>
      </c>
      <c r="AF55" s="5">
        <v>344368</v>
      </c>
      <c r="AG55" s="5">
        <v>819.8</v>
      </c>
      <c r="AH55" s="5"/>
      <c r="AI55" s="5">
        <v>4174</v>
      </c>
      <c r="AK55" s="5">
        <v>52113</v>
      </c>
      <c r="AM55" s="5">
        <v>223.2</v>
      </c>
      <c r="AN55" s="5">
        <v>384.6</v>
      </c>
      <c r="AO55" s="8">
        <v>27.4</v>
      </c>
      <c r="AP55" s="5">
        <v>3005</v>
      </c>
      <c r="AV55" s="8">
        <v>48.5</v>
      </c>
      <c r="AZ55" s="28"/>
      <c r="BA55" s="29"/>
      <c r="BB55" s="29">
        <v>1610.07</v>
      </c>
      <c r="BC55" s="30">
        <v>388469.13</v>
      </c>
      <c r="BD55" s="30">
        <v>2234.94</v>
      </c>
      <c r="BE55" s="30">
        <v>687.28</v>
      </c>
      <c r="BF55" s="30">
        <v>25427.73</v>
      </c>
      <c r="BG55" s="30"/>
      <c r="BH55" s="30">
        <v>481163.98</v>
      </c>
      <c r="BI55" s="30"/>
      <c r="BJ55" s="30">
        <v>1728.83</v>
      </c>
      <c r="BK55" s="30">
        <v>253.82</v>
      </c>
      <c r="BL55" s="30">
        <v>230.22</v>
      </c>
      <c r="BM55" s="30">
        <v>20608.32</v>
      </c>
      <c r="BN55" s="30">
        <v>481.18</v>
      </c>
      <c r="BO55" s="29"/>
      <c r="BP55" s="29"/>
      <c r="BQ55" s="29"/>
      <c r="BR55" s="29"/>
      <c r="BS55" s="28"/>
      <c r="BT55" s="30">
        <v>253.18</v>
      </c>
      <c r="BU55" s="30">
        <v>2752.81</v>
      </c>
      <c r="BV55" s="29">
        <v>10925.91</v>
      </c>
    </row>
    <row r="56" spans="1:74">
      <c r="A56" t="str">
        <f>VLOOKUP(D56,info!$A$2:$G$49,3,FALSE)</f>
        <v>Peugeot</v>
      </c>
      <c r="B56">
        <v>14</v>
      </c>
      <c r="C56" t="s">
        <v>77</v>
      </c>
      <c r="D56">
        <v>9367324</v>
      </c>
      <c r="E56" s="1" t="s">
        <v>34</v>
      </c>
      <c r="F56">
        <v>119774</v>
      </c>
      <c r="G56">
        <v>30545</v>
      </c>
      <c r="H56">
        <v>7444</v>
      </c>
      <c r="I56">
        <v>379315</v>
      </c>
      <c r="J56">
        <v>466.4</v>
      </c>
      <c r="K56">
        <v>314.7</v>
      </c>
      <c r="L56">
        <v>3224</v>
      </c>
      <c r="M56">
        <v>34212</v>
      </c>
      <c r="N56">
        <v>71851</v>
      </c>
      <c r="O56">
        <v>64293</v>
      </c>
      <c r="P56">
        <v>260.3</v>
      </c>
      <c r="Q56">
        <v>98.35</v>
      </c>
      <c r="R56">
        <v>72.3</v>
      </c>
      <c r="S56">
        <v>2907</v>
      </c>
      <c r="T56">
        <v>20.77</v>
      </c>
      <c r="U56">
        <v>4.8380000000000001</v>
      </c>
      <c r="V56">
        <v>0</v>
      </c>
      <c r="W56">
        <v>22.49</v>
      </c>
      <c r="X56">
        <v>5.4139999999999997</v>
      </c>
      <c r="Y56">
        <v>0</v>
      </c>
      <c r="Z56">
        <v>28248</v>
      </c>
      <c r="AA56">
        <v>45059</v>
      </c>
      <c r="AB56">
        <v>11448</v>
      </c>
      <c r="AC56" s="5">
        <v>90300</v>
      </c>
      <c r="AD56" s="5">
        <v>21051</v>
      </c>
      <c r="AE56" s="5">
        <v>5840</v>
      </c>
      <c r="AF56" s="5">
        <v>336983</v>
      </c>
      <c r="AG56" s="5">
        <v>762.7</v>
      </c>
      <c r="AH56" s="5"/>
      <c r="AI56" s="5">
        <v>2773</v>
      </c>
      <c r="AK56" s="5">
        <v>61515</v>
      </c>
      <c r="AM56" s="5">
        <v>255.5</v>
      </c>
      <c r="AN56" s="5">
        <v>484.8</v>
      </c>
      <c r="AO56" s="8">
        <v>67.2</v>
      </c>
      <c r="AP56" s="5">
        <v>3193</v>
      </c>
      <c r="AV56" s="8"/>
      <c r="AZ56" s="28"/>
      <c r="BA56" s="29"/>
      <c r="BB56" s="29">
        <v>1893.67</v>
      </c>
      <c r="BC56" s="30">
        <v>451280.22</v>
      </c>
      <c r="BD56" s="30">
        <v>3667.67</v>
      </c>
      <c r="BE56" s="30">
        <v>611.70000000000005</v>
      </c>
      <c r="BF56" s="30">
        <v>16509.36</v>
      </c>
      <c r="BG56" s="30"/>
      <c r="BH56" s="30">
        <v>678714.84</v>
      </c>
      <c r="BI56" s="30"/>
      <c r="BJ56" s="30">
        <v>2246.2600000000002</v>
      </c>
      <c r="BK56" s="30">
        <v>47.93</v>
      </c>
      <c r="BL56" s="30">
        <v>506.96</v>
      </c>
      <c r="BM56" s="30">
        <v>25104.66</v>
      </c>
      <c r="BN56" s="30">
        <v>655.76</v>
      </c>
      <c r="BO56" s="29"/>
      <c r="BP56" s="29"/>
      <c r="BQ56" s="29"/>
      <c r="BR56" s="29"/>
      <c r="BS56" s="28"/>
      <c r="BT56" s="30">
        <v>2242.52</v>
      </c>
      <c r="BU56" s="30">
        <v>4106.92</v>
      </c>
      <c r="BV56" s="29">
        <v>15539.81</v>
      </c>
    </row>
    <row r="57" spans="1:74">
      <c r="A57" t="str">
        <f>VLOOKUP(D57,info!$A$2:$G$49,3,FALSE)</f>
        <v>Ford</v>
      </c>
      <c r="B57">
        <v>15</v>
      </c>
      <c r="C57" t="s">
        <v>77</v>
      </c>
      <c r="D57">
        <v>6917835</v>
      </c>
      <c r="E57" t="s">
        <v>34</v>
      </c>
      <c r="F57">
        <v>113595</v>
      </c>
      <c r="G57">
        <v>33426</v>
      </c>
      <c r="H57">
        <v>6884</v>
      </c>
      <c r="I57">
        <v>407778</v>
      </c>
      <c r="J57">
        <v>375.3</v>
      </c>
      <c r="K57">
        <v>62.4</v>
      </c>
      <c r="L57">
        <v>2713</v>
      </c>
      <c r="M57">
        <v>29476</v>
      </c>
      <c r="N57">
        <v>65008</v>
      </c>
      <c r="O57">
        <v>58186</v>
      </c>
      <c r="P57">
        <v>253.3</v>
      </c>
      <c r="Q57">
        <v>211.7</v>
      </c>
      <c r="R57">
        <v>58.36</v>
      </c>
      <c r="S57">
        <v>6134</v>
      </c>
      <c r="T57">
        <v>30.53</v>
      </c>
      <c r="U57">
        <v>15.29</v>
      </c>
      <c r="V57">
        <v>2.0089999999999999</v>
      </c>
      <c r="W57">
        <v>23.58</v>
      </c>
      <c r="X57">
        <v>27.58</v>
      </c>
      <c r="Y57">
        <v>55.97</v>
      </c>
      <c r="Z57">
        <v>13283</v>
      </c>
      <c r="AA57">
        <v>29561</v>
      </c>
      <c r="AB57">
        <v>3630</v>
      </c>
      <c r="AC57" s="5">
        <v>91285</v>
      </c>
      <c r="AD57" s="5">
        <v>21864</v>
      </c>
      <c r="AE57" s="5">
        <v>4815</v>
      </c>
      <c r="AF57" s="5">
        <v>335701</v>
      </c>
      <c r="AG57" s="5">
        <v>496.8</v>
      </c>
      <c r="AH57" s="5"/>
      <c r="AI57" s="5">
        <v>2120</v>
      </c>
      <c r="AK57" s="5">
        <v>53620</v>
      </c>
      <c r="AM57" s="5">
        <v>282.89999999999998</v>
      </c>
      <c r="AN57" s="5">
        <v>287.89999999999998</v>
      </c>
      <c r="AO57" s="8">
        <v>25.2</v>
      </c>
      <c r="AP57" s="5">
        <v>6242</v>
      </c>
      <c r="AV57" s="8">
        <v>74.8</v>
      </c>
      <c r="AZ57" s="28"/>
      <c r="BA57" s="29"/>
      <c r="BB57" s="29">
        <v>1539.5</v>
      </c>
      <c r="BC57" s="30">
        <v>429534.95</v>
      </c>
      <c r="BD57" s="30">
        <v>1938.47</v>
      </c>
      <c r="BE57" s="30">
        <v>458.68</v>
      </c>
      <c r="BF57" s="30">
        <v>15963.78</v>
      </c>
      <c r="BG57" s="30"/>
      <c r="BH57" s="30">
        <v>652331.97</v>
      </c>
      <c r="BI57" s="30"/>
      <c r="BJ57" s="30">
        <v>2507.4699999999998</v>
      </c>
      <c r="BK57" s="30">
        <v>90.35</v>
      </c>
      <c r="BL57" s="30">
        <v>152.21</v>
      </c>
      <c r="BM57" s="30">
        <v>25714.19</v>
      </c>
      <c r="BN57" s="30">
        <v>629.04999999999995</v>
      </c>
      <c r="BO57" s="29"/>
      <c r="BP57" s="29"/>
      <c r="BQ57" s="29"/>
      <c r="BR57" s="29"/>
      <c r="BS57" s="28"/>
      <c r="BT57" s="30">
        <v>1033.7</v>
      </c>
      <c r="BU57" s="30">
        <v>453.76</v>
      </c>
      <c r="BV57" s="29">
        <v>19498.93</v>
      </c>
    </row>
    <row r="58" spans="1:74">
      <c r="A58" t="str">
        <f>VLOOKUP(D58,info!$A$2:$G$49,3,FALSE)</f>
        <v>Hyundai</v>
      </c>
      <c r="B58">
        <v>16</v>
      </c>
      <c r="C58" t="s">
        <v>77</v>
      </c>
      <c r="D58">
        <v>6316720</v>
      </c>
      <c r="E58" t="s">
        <v>34</v>
      </c>
      <c r="F58">
        <v>104277</v>
      </c>
      <c r="G58">
        <v>29144</v>
      </c>
      <c r="H58">
        <v>8448</v>
      </c>
      <c r="I58">
        <v>371220</v>
      </c>
      <c r="J58">
        <v>480.8</v>
      </c>
      <c r="K58">
        <v>401.7</v>
      </c>
      <c r="L58">
        <v>3198</v>
      </c>
      <c r="M58">
        <v>34382</v>
      </c>
      <c r="N58">
        <v>72334</v>
      </c>
      <c r="O58">
        <v>65236</v>
      </c>
      <c r="P58">
        <v>239.7</v>
      </c>
      <c r="Q58">
        <v>338.7</v>
      </c>
      <c r="R58">
        <v>107.1</v>
      </c>
      <c r="S58">
        <v>3761</v>
      </c>
      <c r="T58">
        <v>36.840000000000003</v>
      </c>
      <c r="U58">
        <v>9.1910000000000007</v>
      </c>
      <c r="V58">
        <v>0</v>
      </c>
      <c r="W58">
        <v>25.69</v>
      </c>
      <c r="X58">
        <v>8.2850000000000001</v>
      </c>
      <c r="Y58">
        <v>0</v>
      </c>
      <c r="Z58">
        <v>24936</v>
      </c>
      <c r="AA58">
        <v>46141</v>
      </c>
      <c r="AB58">
        <v>11711</v>
      </c>
      <c r="AC58" s="5">
        <v>100752</v>
      </c>
      <c r="AD58" s="5">
        <v>22557</v>
      </c>
      <c r="AE58" s="5">
        <v>5450</v>
      </c>
      <c r="AF58" s="5">
        <v>332501</v>
      </c>
      <c r="AG58" s="5">
        <v>753.8</v>
      </c>
      <c r="AH58" s="5"/>
      <c r="AI58" s="5">
        <v>2470</v>
      </c>
      <c r="AK58" s="5">
        <v>54917</v>
      </c>
      <c r="AM58" s="5">
        <v>213.5</v>
      </c>
      <c r="AN58" s="5">
        <v>394.1</v>
      </c>
      <c r="AO58" s="8">
        <v>64</v>
      </c>
      <c r="AP58" s="5">
        <v>2595</v>
      </c>
      <c r="AV58" s="8">
        <v>31.8</v>
      </c>
      <c r="AZ58" s="28"/>
      <c r="BA58" s="29"/>
      <c r="BB58" s="29">
        <v>1194.71</v>
      </c>
      <c r="BC58" s="30">
        <v>382256.07</v>
      </c>
      <c r="BD58" s="30">
        <v>2025.2</v>
      </c>
      <c r="BE58" s="30">
        <v>972.8</v>
      </c>
      <c r="BF58" s="30">
        <v>10898.71</v>
      </c>
      <c r="BG58" s="30"/>
      <c r="BH58" s="30">
        <v>497572.43</v>
      </c>
      <c r="BI58" s="30"/>
      <c r="BJ58" s="30">
        <v>1983.59</v>
      </c>
      <c r="BK58" s="30">
        <v>351.05</v>
      </c>
      <c r="BL58" s="30">
        <v>202.13</v>
      </c>
      <c r="BM58" s="30">
        <v>39822.629999999997</v>
      </c>
      <c r="BN58" s="30">
        <v>626.04</v>
      </c>
      <c r="BO58" s="29"/>
      <c r="BP58" s="29"/>
      <c r="BQ58" s="29"/>
      <c r="BR58" s="29"/>
      <c r="BS58" s="28"/>
      <c r="BT58" s="30">
        <v>796.67</v>
      </c>
      <c r="BU58" s="30">
        <v>18.39</v>
      </c>
      <c r="BV58" s="29">
        <v>21178.83</v>
      </c>
    </row>
    <row r="59" spans="1:74">
      <c r="A59" t="str">
        <f>VLOOKUP(D59,info!$A$2:$G$49,3,FALSE)</f>
        <v>Hyundai</v>
      </c>
      <c r="B59">
        <v>17</v>
      </c>
      <c r="C59" t="s">
        <v>77</v>
      </c>
      <c r="D59">
        <v>6316720</v>
      </c>
      <c r="E59" t="s">
        <v>34</v>
      </c>
      <c r="F59">
        <v>108132</v>
      </c>
      <c r="G59">
        <v>29579</v>
      </c>
      <c r="H59">
        <v>8377</v>
      </c>
      <c r="I59">
        <v>378324</v>
      </c>
      <c r="J59">
        <v>532.79999999999995</v>
      </c>
      <c r="K59">
        <v>366.8</v>
      </c>
      <c r="L59">
        <v>3245</v>
      </c>
      <c r="M59">
        <v>36571</v>
      </c>
      <c r="N59">
        <v>73851</v>
      </c>
      <c r="O59">
        <v>66326</v>
      </c>
      <c r="P59">
        <v>238.1</v>
      </c>
      <c r="Q59">
        <v>379</v>
      </c>
      <c r="R59">
        <v>104.8</v>
      </c>
      <c r="S59">
        <v>3970</v>
      </c>
      <c r="T59">
        <v>31.8</v>
      </c>
      <c r="U59">
        <v>13.75</v>
      </c>
      <c r="V59">
        <v>19.89</v>
      </c>
      <c r="W59">
        <v>20.98</v>
      </c>
      <c r="X59">
        <v>24.62</v>
      </c>
      <c r="Y59">
        <v>41.87</v>
      </c>
      <c r="Z59">
        <v>27133</v>
      </c>
      <c r="AA59">
        <v>48940</v>
      </c>
      <c r="AB59">
        <v>12722</v>
      </c>
      <c r="AC59" s="5">
        <v>91464</v>
      </c>
      <c r="AD59" s="5">
        <v>21447</v>
      </c>
      <c r="AE59" s="5">
        <v>5451</v>
      </c>
      <c r="AF59" s="5">
        <v>338755</v>
      </c>
      <c r="AG59" s="5">
        <v>683.7</v>
      </c>
      <c r="AH59" s="5"/>
      <c r="AI59" s="5">
        <v>2662</v>
      </c>
      <c r="AK59" s="5">
        <v>60147</v>
      </c>
      <c r="AM59" s="5">
        <v>258.8</v>
      </c>
      <c r="AN59" s="5">
        <v>338</v>
      </c>
      <c r="AO59" s="8">
        <v>70.400000000000006</v>
      </c>
      <c r="AP59" s="5">
        <v>2877</v>
      </c>
      <c r="AV59" s="8"/>
      <c r="AZ59" s="28"/>
      <c r="BA59" s="29"/>
      <c r="BB59" s="29">
        <v>1539.9</v>
      </c>
      <c r="BC59" s="30">
        <v>374056.85</v>
      </c>
      <c r="BD59" s="30">
        <v>2022.88</v>
      </c>
      <c r="BE59" s="30">
        <v>702.69</v>
      </c>
      <c r="BF59" s="30">
        <v>13262.77</v>
      </c>
      <c r="BG59" s="30"/>
      <c r="BH59" s="30">
        <v>558201.69999999995</v>
      </c>
      <c r="BI59" s="30"/>
      <c r="BJ59" s="30">
        <v>1849.46</v>
      </c>
      <c r="BK59" s="30">
        <v>171.16</v>
      </c>
      <c r="BL59" s="30">
        <v>268.33999999999997</v>
      </c>
      <c r="BM59" s="30">
        <v>17538.23</v>
      </c>
      <c r="BN59" s="30">
        <v>561.98</v>
      </c>
      <c r="BO59" s="29"/>
      <c r="BP59" s="29"/>
      <c r="BQ59" s="29"/>
      <c r="BR59" s="29"/>
      <c r="BS59" s="28"/>
      <c r="BT59" s="30">
        <v>4481.01</v>
      </c>
      <c r="BU59" s="30">
        <v>2670.24</v>
      </c>
      <c r="BV59" s="29">
        <v>26823.95</v>
      </c>
    </row>
    <row r="60" spans="1:74">
      <c r="A60" t="str">
        <f>VLOOKUP(D60,info!$A$2:$G$49,3,FALSE)</f>
        <v>Honda</v>
      </c>
      <c r="B60">
        <v>18</v>
      </c>
      <c r="C60" t="s">
        <v>77</v>
      </c>
      <c r="D60">
        <v>8096906</v>
      </c>
      <c r="E60" t="s">
        <v>32</v>
      </c>
      <c r="F60">
        <v>101310</v>
      </c>
      <c r="G60">
        <v>26481</v>
      </c>
      <c r="H60">
        <v>2029</v>
      </c>
      <c r="I60">
        <v>375477</v>
      </c>
      <c r="J60">
        <v>285.5</v>
      </c>
      <c r="K60">
        <v>262.89999999999998</v>
      </c>
      <c r="L60">
        <v>400.7</v>
      </c>
      <c r="M60">
        <v>27080</v>
      </c>
      <c r="N60">
        <v>62638</v>
      </c>
      <c r="O60">
        <v>55521</v>
      </c>
      <c r="P60">
        <v>92.5</v>
      </c>
      <c r="Q60">
        <v>331.4</v>
      </c>
      <c r="R60">
        <v>43.68</v>
      </c>
      <c r="S60">
        <v>3639</v>
      </c>
      <c r="T60">
        <v>19.05</v>
      </c>
      <c r="U60">
        <v>15.1</v>
      </c>
      <c r="V60">
        <v>10.71</v>
      </c>
      <c r="W60">
        <v>16.57</v>
      </c>
      <c r="X60">
        <v>4.5919999999999996</v>
      </c>
      <c r="Y60">
        <v>21.89</v>
      </c>
      <c r="Z60">
        <v>36883</v>
      </c>
      <c r="AA60">
        <v>42188</v>
      </c>
      <c r="AB60">
        <v>14484</v>
      </c>
      <c r="AC60" s="5">
        <v>86791</v>
      </c>
      <c r="AD60" s="5">
        <v>21608</v>
      </c>
      <c r="AE60" s="5">
        <v>1198</v>
      </c>
      <c r="AF60" s="5">
        <v>349834</v>
      </c>
      <c r="AG60" s="5">
        <v>644</v>
      </c>
      <c r="AH60" s="5"/>
      <c r="AI60" s="5">
        <v>457.1</v>
      </c>
      <c r="AK60" s="5">
        <v>55180</v>
      </c>
      <c r="AM60" s="5"/>
      <c r="AN60" s="5">
        <v>313.60000000000002</v>
      </c>
      <c r="AO60" s="9">
        <v>0</v>
      </c>
      <c r="AP60" s="5">
        <v>3125</v>
      </c>
      <c r="AV60" s="8">
        <v>49.1</v>
      </c>
      <c r="AZ60" s="28"/>
      <c r="BA60" s="29"/>
      <c r="BB60" s="29">
        <v>796.91</v>
      </c>
      <c r="BC60" s="30">
        <v>119880.72</v>
      </c>
      <c r="BD60" s="30">
        <v>624.55999999999995</v>
      </c>
      <c r="BE60" s="30">
        <v>272.89</v>
      </c>
      <c r="BF60" s="30">
        <v>4205.47</v>
      </c>
      <c r="BG60" s="30"/>
      <c r="BH60" s="30">
        <v>167566.78</v>
      </c>
      <c r="BI60" s="30"/>
      <c r="BJ60" s="30">
        <v>500.87</v>
      </c>
      <c r="BK60" s="30">
        <v>38.270000000000003</v>
      </c>
      <c r="BL60" s="30">
        <v>156.1</v>
      </c>
      <c r="BM60" s="30">
        <v>5846.07</v>
      </c>
      <c r="BN60" s="30">
        <v>140.69999999999999</v>
      </c>
      <c r="BO60" s="29"/>
      <c r="BP60" s="29"/>
      <c r="BQ60" s="29"/>
      <c r="BR60" s="29"/>
      <c r="BS60" s="28"/>
      <c r="BT60" s="30">
        <v>310.74</v>
      </c>
      <c r="BU60" s="30">
        <v>329.29</v>
      </c>
      <c r="BV60" s="29">
        <v>16363.6</v>
      </c>
    </row>
    <row r="61" spans="1:74">
      <c r="A61" t="str">
        <f>VLOOKUP(D61,info!$A$2:$G$49,3,FALSE)</f>
        <v>Hyundai</v>
      </c>
      <c r="B61">
        <v>19</v>
      </c>
      <c r="C61" t="s">
        <v>77</v>
      </c>
      <c r="D61">
        <v>6316720</v>
      </c>
      <c r="E61" t="s">
        <v>32</v>
      </c>
      <c r="F61">
        <v>112324</v>
      </c>
      <c r="G61">
        <v>30102</v>
      </c>
      <c r="H61">
        <v>7988</v>
      </c>
      <c r="I61">
        <v>385652</v>
      </c>
      <c r="J61">
        <v>522.20000000000005</v>
      </c>
      <c r="K61">
        <v>367.7</v>
      </c>
      <c r="L61">
        <v>3249</v>
      </c>
      <c r="M61">
        <v>34124</v>
      </c>
      <c r="N61">
        <v>73325</v>
      </c>
      <c r="O61">
        <v>65042</v>
      </c>
      <c r="P61">
        <v>249.5</v>
      </c>
      <c r="Q61">
        <v>229.4</v>
      </c>
      <c r="R61">
        <v>76.3</v>
      </c>
      <c r="S61">
        <v>3024</v>
      </c>
      <c r="T61">
        <v>23.12</v>
      </c>
      <c r="U61">
        <v>6.1269999999999998</v>
      </c>
      <c r="V61">
        <v>5.8460000000000001</v>
      </c>
      <c r="W61">
        <v>15.65</v>
      </c>
      <c r="X61">
        <v>7.7679999999999998</v>
      </c>
      <c r="Y61">
        <v>25.93</v>
      </c>
      <c r="Z61">
        <v>29001</v>
      </c>
      <c r="AA61">
        <v>44340</v>
      </c>
      <c r="AB61">
        <v>11682</v>
      </c>
      <c r="AC61" s="5">
        <v>90389</v>
      </c>
      <c r="AD61" s="5">
        <v>20851</v>
      </c>
      <c r="AE61" s="5">
        <v>5556</v>
      </c>
      <c r="AF61" s="5">
        <v>332557</v>
      </c>
      <c r="AG61" s="5">
        <v>694.5</v>
      </c>
      <c r="AH61" s="5">
        <v>249.8</v>
      </c>
      <c r="AI61" s="5">
        <v>2696</v>
      </c>
      <c r="AK61" s="5">
        <v>62285</v>
      </c>
      <c r="AM61" s="5">
        <v>278.89999999999998</v>
      </c>
      <c r="AN61" s="5">
        <v>442.5</v>
      </c>
      <c r="AO61" s="8">
        <v>76.599999999999994</v>
      </c>
      <c r="AP61" s="5">
        <v>2783</v>
      </c>
      <c r="AV61" s="8">
        <v>38.700000000000003</v>
      </c>
      <c r="AZ61" s="28"/>
      <c r="BA61" s="29"/>
      <c r="BB61" s="29">
        <v>545.1</v>
      </c>
      <c r="BC61" s="30">
        <v>154795.6</v>
      </c>
      <c r="BD61" s="30">
        <v>481.96</v>
      </c>
      <c r="BE61" s="30">
        <v>314.54000000000002</v>
      </c>
      <c r="BF61" s="30">
        <v>193.84</v>
      </c>
      <c r="BG61" s="30"/>
      <c r="BH61" s="30">
        <v>189733.15</v>
      </c>
      <c r="BI61" s="30"/>
      <c r="BJ61" s="30">
        <v>175.2</v>
      </c>
      <c r="BK61" s="30">
        <v>5.0199999999999996</v>
      </c>
      <c r="BL61" s="30">
        <v>62.28</v>
      </c>
      <c r="BM61" s="30">
        <v>7602.44</v>
      </c>
      <c r="BN61" s="30">
        <v>229.35</v>
      </c>
      <c r="BO61" s="29"/>
      <c r="BP61" s="29"/>
      <c r="BQ61" s="29"/>
      <c r="BR61" s="29"/>
      <c r="BS61" s="28"/>
      <c r="BT61" s="30">
        <v>453.82</v>
      </c>
      <c r="BU61" s="30">
        <v>370.66</v>
      </c>
      <c r="BV61" s="29">
        <v>5037.07</v>
      </c>
    </row>
    <row r="62" spans="1:74">
      <c r="A62" t="str">
        <f>VLOOKUP(D62,info!$A$2:$G$49,3,FALSE)</f>
        <v>Fiat</v>
      </c>
      <c r="B62">
        <v>20</v>
      </c>
      <c r="C62" t="s">
        <v>77</v>
      </c>
      <c r="D62">
        <v>5751910</v>
      </c>
      <c r="E62" t="s">
        <v>34</v>
      </c>
      <c r="F62">
        <v>107190</v>
      </c>
      <c r="G62">
        <v>27835</v>
      </c>
      <c r="H62">
        <v>5165</v>
      </c>
      <c r="I62">
        <v>378293</v>
      </c>
      <c r="J62">
        <v>269.2</v>
      </c>
      <c r="K62">
        <v>194.8</v>
      </c>
      <c r="L62">
        <v>2873</v>
      </c>
      <c r="M62">
        <v>28826</v>
      </c>
      <c r="N62">
        <v>58499</v>
      </c>
      <c r="O62">
        <v>52304</v>
      </c>
      <c r="P62">
        <v>272.8</v>
      </c>
      <c r="Q62">
        <v>317.10000000000002</v>
      </c>
      <c r="R62">
        <v>68.540000000000006</v>
      </c>
      <c r="S62">
        <v>5554</v>
      </c>
      <c r="T62">
        <v>28.31</v>
      </c>
      <c r="U62">
        <v>7.8650000000000002</v>
      </c>
      <c r="V62">
        <v>14.04</v>
      </c>
      <c r="W62">
        <v>19.45</v>
      </c>
      <c r="X62">
        <v>2.5249999999999999</v>
      </c>
      <c r="Y62">
        <v>9.0020000000000007</v>
      </c>
      <c r="Z62">
        <v>33645</v>
      </c>
      <c r="AA62">
        <v>38413</v>
      </c>
      <c r="AB62">
        <v>12426</v>
      </c>
      <c r="AC62" s="5">
        <v>92759</v>
      </c>
      <c r="AD62" s="5">
        <v>20763</v>
      </c>
      <c r="AE62" s="5">
        <v>3956</v>
      </c>
      <c r="AF62" s="5">
        <v>338684</v>
      </c>
      <c r="AG62" s="5">
        <v>556</v>
      </c>
      <c r="AH62" s="5"/>
      <c r="AI62" s="5">
        <v>2486</v>
      </c>
      <c r="AK62" s="5">
        <v>50986</v>
      </c>
      <c r="AM62" s="5">
        <v>307.8</v>
      </c>
      <c r="AN62" s="5">
        <v>319.89999999999998</v>
      </c>
      <c r="AO62" s="8">
        <v>49.2</v>
      </c>
      <c r="AP62" s="5">
        <v>5457</v>
      </c>
      <c r="AV62" s="8">
        <v>57.8</v>
      </c>
      <c r="AZ62" s="28"/>
      <c r="BA62" s="29"/>
      <c r="BB62" s="29">
        <v>1186.44</v>
      </c>
      <c r="BC62" s="30">
        <v>171347.13</v>
      </c>
      <c r="BD62" s="30">
        <v>999.81</v>
      </c>
      <c r="BE62" s="30">
        <v>525.04999999999995</v>
      </c>
      <c r="BF62" s="30">
        <v>6039.64</v>
      </c>
      <c r="BG62" s="30"/>
      <c r="BH62" s="30">
        <v>239886.33</v>
      </c>
      <c r="BI62" s="30"/>
      <c r="BJ62" s="30">
        <v>784.83</v>
      </c>
      <c r="BK62" s="30">
        <v>14.39</v>
      </c>
      <c r="BL62" s="30">
        <v>206.57</v>
      </c>
      <c r="BM62" s="30">
        <v>7492.25</v>
      </c>
      <c r="BN62" s="30">
        <v>232.1</v>
      </c>
      <c r="BO62" s="29"/>
      <c r="BP62" s="29"/>
      <c r="BQ62" s="29"/>
      <c r="BR62" s="29"/>
      <c r="BS62" s="28"/>
      <c r="BT62" s="30">
        <v>1286.8499999999999</v>
      </c>
      <c r="BU62" s="30">
        <v>33.72</v>
      </c>
      <c r="BV62" s="29">
        <v>10833.62</v>
      </c>
    </row>
    <row r="63" spans="1:74">
      <c r="A63" t="str">
        <f>VLOOKUP(D63,info!$A$2:$G$49,3,FALSE)</f>
        <v>Hyundai</v>
      </c>
      <c r="B63">
        <v>21</v>
      </c>
      <c r="C63" t="s">
        <v>77</v>
      </c>
      <c r="D63">
        <v>5826120</v>
      </c>
      <c r="E63" t="s">
        <v>52</v>
      </c>
      <c r="F63">
        <v>104434</v>
      </c>
      <c r="G63">
        <v>28586</v>
      </c>
      <c r="H63">
        <v>7453</v>
      </c>
      <c r="I63">
        <v>376117</v>
      </c>
      <c r="J63">
        <v>581.20000000000005</v>
      </c>
      <c r="K63">
        <v>345.9</v>
      </c>
      <c r="L63">
        <v>2654</v>
      </c>
      <c r="M63">
        <v>31799</v>
      </c>
      <c r="N63">
        <v>73993</v>
      </c>
      <c r="O63">
        <v>65546</v>
      </c>
      <c r="P63">
        <v>294.3</v>
      </c>
      <c r="Q63">
        <v>392.8</v>
      </c>
      <c r="R63">
        <v>110.7</v>
      </c>
      <c r="S63">
        <v>3569</v>
      </c>
      <c r="T63">
        <v>26.56</v>
      </c>
      <c r="U63">
        <v>8.0109999999999992</v>
      </c>
      <c r="V63">
        <v>15.6</v>
      </c>
      <c r="W63">
        <v>19.82</v>
      </c>
      <c r="X63">
        <v>23.56</v>
      </c>
      <c r="Y63">
        <v>32.840000000000003</v>
      </c>
      <c r="Z63">
        <v>30543</v>
      </c>
      <c r="AA63">
        <v>41308</v>
      </c>
      <c r="AB63">
        <v>11166</v>
      </c>
      <c r="AC63" s="5">
        <v>90491</v>
      </c>
      <c r="AD63" s="5">
        <v>21433</v>
      </c>
      <c r="AE63" s="5">
        <v>5437</v>
      </c>
      <c r="AF63" s="5">
        <v>338381</v>
      </c>
      <c r="AG63" s="5">
        <v>796.6</v>
      </c>
      <c r="AH63" s="5"/>
      <c r="AI63" s="5">
        <v>2286</v>
      </c>
      <c r="AK63" s="5">
        <v>63193</v>
      </c>
      <c r="AM63" s="5">
        <v>252.4</v>
      </c>
      <c r="AN63" s="5">
        <v>325.10000000000002</v>
      </c>
      <c r="AO63" s="8">
        <v>76.099999999999994</v>
      </c>
      <c r="AP63" s="5">
        <v>3306</v>
      </c>
      <c r="AV63" s="8">
        <v>40.9</v>
      </c>
      <c r="AZ63" s="28"/>
      <c r="BA63" s="29"/>
      <c r="BB63" s="29">
        <v>1047.0999999999999</v>
      </c>
      <c r="BC63" s="30">
        <v>213049.55</v>
      </c>
      <c r="BD63" s="30">
        <v>1070.31</v>
      </c>
      <c r="BE63" s="30">
        <v>529.83000000000004</v>
      </c>
      <c r="BF63" s="30">
        <v>8809.52</v>
      </c>
      <c r="BG63" s="30"/>
      <c r="BH63" s="30">
        <v>240293.51</v>
      </c>
      <c r="BI63" s="30"/>
      <c r="BJ63" s="30">
        <v>1285.0999999999999</v>
      </c>
      <c r="BK63" s="30">
        <v>230.2</v>
      </c>
      <c r="BL63" s="30">
        <v>355.14</v>
      </c>
      <c r="BM63" s="30">
        <v>17984.7</v>
      </c>
      <c r="BN63" s="30">
        <v>394.23</v>
      </c>
      <c r="BO63" s="29"/>
      <c r="BP63" s="29"/>
      <c r="BQ63" s="29"/>
      <c r="BR63" s="29"/>
      <c r="BS63" s="28"/>
      <c r="BT63" s="30">
        <v>1053.72</v>
      </c>
      <c r="BU63" s="30">
        <v>1362.56</v>
      </c>
      <c r="BV63" s="29">
        <v>7241.13</v>
      </c>
    </row>
    <row r="64" spans="1:74">
      <c r="A64" t="str">
        <f>VLOOKUP(D64,info!$A$2:$G$49,3,FALSE)</f>
        <v>Daewoo</v>
      </c>
      <c r="B64">
        <v>22</v>
      </c>
      <c r="C64" t="s">
        <v>77</v>
      </c>
      <c r="D64">
        <v>8501017</v>
      </c>
      <c r="E64" s="1" t="s">
        <v>34</v>
      </c>
      <c r="F64">
        <v>98544</v>
      </c>
      <c r="G64">
        <v>27607</v>
      </c>
      <c r="H64">
        <v>7365</v>
      </c>
      <c r="I64">
        <v>370300</v>
      </c>
      <c r="J64">
        <v>568.9</v>
      </c>
      <c r="K64">
        <v>63.27</v>
      </c>
      <c r="L64">
        <v>4660</v>
      </c>
      <c r="M64">
        <v>31956</v>
      </c>
      <c r="N64">
        <v>59115</v>
      </c>
      <c r="O64">
        <v>53361</v>
      </c>
      <c r="P64">
        <v>232.9</v>
      </c>
      <c r="Q64">
        <v>316.89999999999998</v>
      </c>
      <c r="R64">
        <v>63.1</v>
      </c>
      <c r="S64">
        <v>3668</v>
      </c>
      <c r="T64">
        <v>19.79</v>
      </c>
      <c r="U64">
        <v>4.3099999999999996</v>
      </c>
      <c r="V64">
        <v>0</v>
      </c>
      <c r="W64">
        <v>19.940000000000001</v>
      </c>
      <c r="X64">
        <v>10.27</v>
      </c>
      <c r="Y64">
        <v>5.1749999999999998</v>
      </c>
      <c r="Z64">
        <v>25748</v>
      </c>
      <c r="AA64">
        <v>36444</v>
      </c>
      <c r="AB64">
        <v>10173</v>
      </c>
      <c r="AC64" s="5">
        <v>85058</v>
      </c>
      <c r="AD64" s="5">
        <v>21369</v>
      </c>
      <c r="AE64" s="5">
        <v>6596</v>
      </c>
      <c r="AF64" s="5">
        <v>345330</v>
      </c>
      <c r="AG64" s="5">
        <v>807.9</v>
      </c>
      <c r="AH64" s="5"/>
      <c r="AI64" s="5">
        <v>4217</v>
      </c>
      <c r="AK64" s="5">
        <v>52203</v>
      </c>
      <c r="AM64" s="5">
        <v>199.7</v>
      </c>
      <c r="AN64" s="5">
        <v>327</v>
      </c>
      <c r="AO64" s="8">
        <v>27</v>
      </c>
      <c r="AP64" s="5">
        <v>2947</v>
      </c>
      <c r="AV64" s="8"/>
      <c r="AZ64" s="28"/>
      <c r="BA64" s="29"/>
      <c r="BB64" s="29">
        <v>281.95</v>
      </c>
      <c r="BC64" s="30">
        <v>59162.39</v>
      </c>
      <c r="BD64" s="30">
        <v>562.85</v>
      </c>
      <c r="BE64" s="30">
        <v>247.74</v>
      </c>
      <c r="BF64" s="30">
        <v>1461.26</v>
      </c>
      <c r="BG64" s="30"/>
      <c r="BH64" s="30">
        <v>75195.69</v>
      </c>
      <c r="BI64" s="30"/>
      <c r="BJ64" s="30">
        <v>345.22</v>
      </c>
      <c r="BK64" s="30">
        <v>35.270000000000003</v>
      </c>
      <c r="BL64" s="30">
        <v>82.49</v>
      </c>
      <c r="BM64" s="30">
        <v>2109</v>
      </c>
      <c r="BN64" s="30">
        <v>45.26</v>
      </c>
      <c r="BO64" s="29"/>
      <c r="BP64" s="29"/>
      <c r="BQ64" s="29"/>
      <c r="BR64" s="29"/>
      <c r="BS64" s="28"/>
      <c r="BT64" s="30">
        <v>1978.5</v>
      </c>
      <c r="BU64" s="30">
        <v>2401.56</v>
      </c>
      <c r="BV64" s="29">
        <v>12390.66</v>
      </c>
    </row>
    <row r="65" spans="1:74">
      <c r="A65" t="str">
        <f>VLOOKUP(D65,info!$A$2:$G$49,3,FALSE)</f>
        <v>Daewoo</v>
      </c>
      <c r="B65">
        <v>23</v>
      </c>
      <c r="C65" t="s">
        <v>77</v>
      </c>
      <c r="D65">
        <v>8501017</v>
      </c>
      <c r="E65" s="1" t="s">
        <v>32</v>
      </c>
      <c r="F65">
        <v>96335</v>
      </c>
      <c r="G65">
        <v>28316</v>
      </c>
      <c r="H65">
        <v>8470</v>
      </c>
      <c r="I65">
        <v>371941</v>
      </c>
      <c r="J65">
        <v>490.3</v>
      </c>
      <c r="K65">
        <v>99.31</v>
      </c>
      <c r="L65">
        <v>4706</v>
      </c>
      <c r="M65">
        <v>30623</v>
      </c>
      <c r="N65">
        <v>58182</v>
      </c>
      <c r="O65">
        <v>52892</v>
      </c>
      <c r="P65">
        <v>216.2</v>
      </c>
      <c r="Q65">
        <v>218.6</v>
      </c>
      <c r="R65">
        <v>56.52</v>
      </c>
      <c r="S65">
        <v>3320</v>
      </c>
      <c r="T65">
        <v>25.56</v>
      </c>
      <c r="U65">
        <v>5.8029999999999999</v>
      </c>
      <c r="V65">
        <v>0</v>
      </c>
      <c r="W65">
        <v>21.88</v>
      </c>
      <c r="X65">
        <v>28.22</v>
      </c>
      <c r="Y65">
        <v>28.69</v>
      </c>
      <c r="Z65">
        <v>10469</v>
      </c>
      <c r="AA65">
        <v>28987</v>
      </c>
      <c r="AB65">
        <v>3667</v>
      </c>
      <c r="AC65" s="5">
        <v>85006</v>
      </c>
      <c r="AD65" s="5">
        <v>21540</v>
      </c>
      <c r="AE65" s="5">
        <v>6646</v>
      </c>
      <c r="AF65" s="5">
        <v>344877</v>
      </c>
      <c r="AG65" s="5">
        <v>858.2</v>
      </c>
      <c r="AH65" s="5"/>
      <c r="AI65" s="5">
        <v>4247</v>
      </c>
      <c r="AK65" s="5">
        <v>52459</v>
      </c>
      <c r="AM65" s="5">
        <v>220.9</v>
      </c>
      <c r="AN65" s="5">
        <v>242.9</v>
      </c>
      <c r="AO65" s="8">
        <v>23.8</v>
      </c>
      <c r="AP65" s="5">
        <v>3213</v>
      </c>
      <c r="AV65" s="8">
        <v>62</v>
      </c>
      <c r="AZ65" s="28"/>
      <c r="BA65" s="29"/>
      <c r="BB65" s="29">
        <v>2328.25</v>
      </c>
      <c r="BC65" s="30">
        <v>369088.11</v>
      </c>
      <c r="BD65" s="30">
        <v>2078.2199999999998</v>
      </c>
      <c r="BE65" s="30">
        <v>422.84</v>
      </c>
      <c r="BF65" s="30">
        <v>22804.89</v>
      </c>
      <c r="BG65" s="30"/>
      <c r="BH65" s="30">
        <v>416480.17</v>
      </c>
      <c r="BI65" s="30"/>
      <c r="BJ65" s="30">
        <v>1394.34</v>
      </c>
      <c r="BK65" s="30">
        <v>130.41</v>
      </c>
      <c r="BL65" s="30">
        <v>94.4</v>
      </c>
      <c r="BM65" s="30">
        <v>17120.77</v>
      </c>
      <c r="BN65" s="30">
        <v>375.99</v>
      </c>
      <c r="BO65" s="29"/>
      <c r="BP65" s="29"/>
      <c r="BQ65" s="29"/>
      <c r="BR65" s="29"/>
      <c r="BS65" s="28"/>
      <c r="BT65" s="30">
        <v>363.84</v>
      </c>
      <c r="BU65" s="30">
        <v>325.94</v>
      </c>
      <c r="BV65" s="29">
        <v>1600.84</v>
      </c>
    </row>
    <row r="66" spans="1:74">
      <c r="A66" t="str">
        <f>VLOOKUP(D66,info!$A$2:$G$49,3,FALSE)</f>
        <v>Mitsubishi</v>
      </c>
      <c r="B66">
        <v>24</v>
      </c>
      <c r="C66" t="s">
        <v>77</v>
      </c>
      <c r="D66">
        <v>7027220</v>
      </c>
      <c r="E66" s="1" t="s">
        <v>32</v>
      </c>
      <c r="F66">
        <v>112252</v>
      </c>
      <c r="G66">
        <v>32731</v>
      </c>
      <c r="H66">
        <v>11802</v>
      </c>
      <c r="I66">
        <v>386804</v>
      </c>
      <c r="J66">
        <v>293.3</v>
      </c>
      <c r="K66">
        <v>36.57</v>
      </c>
      <c r="L66">
        <v>2411</v>
      </c>
      <c r="M66">
        <v>30927</v>
      </c>
      <c r="N66">
        <v>62436</v>
      </c>
      <c r="O66">
        <v>56345</v>
      </c>
      <c r="P66">
        <v>337.1</v>
      </c>
      <c r="Q66">
        <v>141.1</v>
      </c>
      <c r="R66">
        <v>134.30000000000001</v>
      </c>
      <c r="S66">
        <v>2328</v>
      </c>
      <c r="T66">
        <v>12.78</v>
      </c>
      <c r="U66">
        <v>4.4210000000000003</v>
      </c>
      <c r="V66">
        <v>7.2510000000000003</v>
      </c>
      <c r="W66">
        <v>32.43</v>
      </c>
      <c r="X66">
        <v>13.06</v>
      </c>
      <c r="Y66">
        <v>26.59</v>
      </c>
      <c r="Z66">
        <v>24875</v>
      </c>
      <c r="AA66">
        <v>39819</v>
      </c>
      <c r="AB66">
        <v>9458</v>
      </c>
      <c r="AC66" s="5">
        <v>87131</v>
      </c>
      <c r="AD66" s="5">
        <v>22470</v>
      </c>
      <c r="AE66" s="5">
        <v>9021</v>
      </c>
      <c r="AF66" s="5">
        <v>339340</v>
      </c>
      <c r="AG66" s="7">
        <v>719.5</v>
      </c>
      <c r="AH66" s="5"/>
      <c r="AI66" s="5">
        <v>1980</v>
      </c>
      <c r="AK66" s="5">
        <v>54196</v>
      </c>
      <c r="AM66" s="5">
        <v>340.1</v>
      </c>
      <c r="AN66" s="5">
        <v>369</v>
      </c>
      <c r="AO66" s="5">
        <v>145.19999999999999</v>
      </c>
      <c r="AP66" s="5">
        <v>2187</v>
      </c>
      <c r="AV66" s="8">
        <v>59.4</v>
      </c>
      <c r="AZ66" s="28"/>
      <c r="BA66" s="29"/>
      <c r="BB66" s="29">
        <v>665.79</v>
      </c>
      <c r="BC66" s="30">
        <v>110624.59</v>
      </c>
      <c r="BD66" s="30">
        <v>772.01</v>
      </c>
      <c r="BE66" s="30">
        <v>589.85</v>
      </c>
      <c r="BF66" s="30">
        <v>6670.75</v>
      </c>
      <c r="BG66" s="30"/>
      <c r="BH66" s="30">
        <v>127601.61</v>
      </c>
      <c r="BI66" s="30"/>
      <c r="BJ66" s="30">
        <v>575.26</v>
      </c>
      <c r="BK66" s="30">
        <v>69.849999999999994</v>
      </c>
      <c r="BL66" s="30">
        <v>125.36</v>
      </c>
      <c r="BM66" s="30">
        <v>5656.67</v>
      </c>
      <c r="BN66" s="30">
        <v>130.47999999999999</v>
      </c>
      <c r="BO66" s="29"/>
      <c r="BP66" s="29"/>
      <c r="BQ66" s="29"/>
      <c r="BR66" s="29"/>
      <c r="BS66" s="28"/>
      <c r="BT66" s="30">
        <v>1438.58</v>
      </c>
      <c r="BU66" s="30">
        <v>1578.19</v>
      </c>
      <c r="BV66" s="29">
        <v>12147.49</v>
      </c>
    </row>
    <row r="67" spans="1:74">
      <c r="A67" t="str">
        <f>VLOOKUP(D67,info!$A$2:$G$49,3,FALSE)</f>
        <v>Subaru</v>
      </c>
      <c r="B67">
        <v>25</v>
      </c>
      <c r="C67" t="s">
        <v>77</v>
      </c>
      <c r="D67">
        <v>2675308</v>
      </c>
      <c r="E67" s="1" t="s">
        <v>34</v>
      </c>
      <c r="F67">
        <v>107512</v>
      </c>
      <c r="G67">
        <v>27688</v>
      </c>
      <c r="H67">
        <v>10634</v>
      </c>
      <c r="I67">
        <v>374303</v>
      </c>
      <c r="J67">
        <v>317.39999999999998</v>
      </c>
      <c r="K67">
        <v>268.7</v>
      </c>
      <c r="L67">
        <v>5240</v>
      </c>
      <c r="M67">
        <v>35815</v>
      </c>
      <c r="N67">
        <v>64049</v>
      </c>
      <c r="O67">
        <v>57548</v>
      </c>
      <c r="P67">
        <v>194.8</v>
      </c>
      <c r="Q67">
        <v>186.3</v>
      </c>
      <c r="R67">
        <v>58.11</v>
      </c>
      <c r="S67">
        <v>2109</v>
      </c>
      <c r="T67">
        <v>13.42</v>
      </c>
      <c r="U67">
        <v>8.4179999999999993</v>
      </c>
      <c r="V67">
        <v>2.819</v>
      </c>
      <c r="W67">
        <v>22.4</v>
      </c>
      <c r="X67">
        <v>14.53</v>
      </c>
      <c r="Y67">
        <v>31.73</v>
      </c>
      <c r="Z67">
        <v>27683</v>
      </c>
      <c r="AA67">
        <v>43502</v>
      </c>
      <c r="AB67">
        <v>11982</v>
      </c>
      <c r="AC67" s="5">
        <v>84947</v>
      </c>
      <c r="AD67" s="5">
        <v>19980</v>
      </c>
      <c r="AE67" s="5">
        <v>8814</v>
      </c>
      <c r="AF67" s="5">
        <v>342824</v>
      </c>
      <c r="AG67" s="5">
        <v>588.6</v>
      </c>
      <c r="AH67" s="5"/>
      <c r="AI67" s="5">
        <v>4736</v>
      </c>
      <c r="AK67" s="5">
        <v>55733</v>
      </c>
      <c r="AM67" s="5">
        <v>203.5</v>
      </c>
      <c r="AN67" s="5">
        <v>463.8</v>
      </c>
      <c r="AO67" s="8">
        <v>59.3</v>
      </c>
      <c r="AP67" s="5">
        <v>2070</v>
      </c>
      <c r="AV67" s="8">
        <v>44.5</v>
      </c>
      <c r="AZ67" s="28"/>
      <c r="BA67" s="29"/>
      <c r="BB67" s="29">
        <v>923.53</v>
      </c>
      <c r="BC67" s="30">
        <v>110947.68</v>
      </c>
      <c r="BD67" s="30">
        <v>678.99</v>
      </c>
      <c r="BE67" s="30">
        <v>40.76</v>
      </c>
      <c r="BF67" s="30">
        <v>3321.71</v>
      </c>
      <c r="BG67" s="30"/>
      <c r="BH67" s="30">
        <v>134948.04999999999</v>
      </c>
      <c r="BI67" s="30"/>
      <c r="BJ67" s="30">
        <v>693.8</v>
      </c>
      <c r="BK67" s="30">
        <v>16</v>
      </c>
      <c r="BL67" s="30">
        <v>252.24</v>
      </c>
      <c r="BM67" s="30">
        <v>4373.54</v>
      </c>
      <c r="BN67" s="30">
        <v>70.680000000000007</v>
      </c>
      <c r="BO67" s="29"/>
      <c r="BP67" s="29"/>
      <c r="BQ67" s="29"/>
      <c r="BR67" s="29"/>
      <c r="BS67" s="28"/>
      <c r="BT67" s="30">
        <v>569.49</v>
      </c>
      <c r="BU67" s="30">
        <v>285.04000000000002</v>
      </c>
      <c r="BV67" s="29">
        <v>3772.91</v>
      </c>
    </row>
    <row r="68" spans="1:74">
      <c r="A68" t="str">
        <f>VLOOKUP(D68,info!$A$2:$G$49,3,FALSE)</f>
        <v>Mitsubishi</v>
      </c>
      <c r="B68">
        <v>26</v>
      </c>
      <c r="C68" t="s">
        <v>77</v>
      </c>
      <c r="D68">
        <v>7027220</v>
      </c>
      <c r="E68" s="1" t="s">
        <v>34</v>
      </c>
      <c r="F68">
        <v>105718</v>
      </c>
      <c r="G68">
        <v>31983</v>
      </c>
      <c r="H68">
        <v>11341</v>
      </c>
      <c r="I68">
        <v>371831</v>
      </c>
      <c r="J68">
        <v>308</v>
      </c>
      <c r="K68">
        <v>96.94</v>
      </c>
      <c r="L68">
        <v>4379</v>
      </c>
      <c r="M68">
        <v>32113</v>
      </c>
      <c r="N68">
        <v>58994</v>
      </c>
      <c r="O68">
        <v>53142</v>
      </c>
      <c r="P68">
        <v>465.9</v>
      </c>
      <c r="Q68">
        <v>315.60000000000002</v>
      </c>
      <c r="R68">
        <v>118.6</v>
      </c>
      <c r="S68">
        <v>2766</v>
      </c>
      <c r="T68">
        <v>26.7</v>
      </c>
      <c r="U68">
        <v>12.13</v>
      </c>
      <c r="V68">
        <v>14.37</v>
      </c>
      <c r="W68">
        <v>25.57</v>
      </c>
      <c r="X68">
        <v>21.37</v>
      </c>
      <c r="Y68">
        <v>14.22</v>
      </c>
      <c r="Z68">
        <v>29312</v>
      </c>
      <c r="AA68">
        <v>39517</v>
      </c>
      <c r="AB68">
        <v>11817</v>
      </c>
      <c r="AC68" s="5">
        <v>91905</v>
      </c>
      <c r="AD68" s="5">
        <v>23522</v>
      </c>
      <c r="AE68" s="5">
        <v>9024</v>
      </c>
      <c r="AF68" s="5">
        <v>335691</v>
      </c>
      <c r="AG68" s="5">
        <v>567.4</v>
      </c>
      <c r="AH68" s="5"/>
      <c r="AI68" s="5">
        <v>3811</v>
      </c>
      <c r="AK68" s="5">
        <v>50731</v>
      </c>
      <c r="AM68" s="5">
        <v>481.2</v>
      </c>
      <c r="AN68" s="5">
        <v>411.5</v>
      </c>
      <c r="AO68" s="8">
        <v>99.9</v>
      </c>
      <c r="AP68" s="5">
        <v>1751</v>
      </c>
      <c r="AV68" s="8">
        <v>37.1</v>
      </c>
      <c r="AZ68" s="28"/>
      <c r="BA68" s="29"/>
      <c r="BB68" s="29">
        <v>651.38</v>
      </c>
      <c r="BC68" s="30">
        <v>98925.33</v>
      </c>
      <c r="BD68" s="30">
        <v>562.89</v>
      </c>
      <c r="BE68" s="30">
        <v>394.73</v>
      </c>
      <c r="BF68" s="30">
        <v>7253.94</v>
      </c>
      <c r="BG68" s="30"/>
      <c r="BH68" s="30">
        <v>122250.93</v>
      </c>
      <c r="BI68" s="30"/>
      <c r="BJ68" s="30">
        <v>389.83</v>
      </c>
      <c r="BK68" s="30">
        <v>28.02</v>
      </c>
      <c r="BL68" s="30">
        <v>168.2</v>
      </c>
      <c r="BM68" s="30">
        <v>2990.9</v>
      </c>
      <c r="BN68" s="30">
        <v>105.69</v>
      </c>
      <c r="BO68" s="29"/>
      <c r="BP68" s="29"/>
      <c r="BQ68" s="29"/>
      <c r="BR68" s="29"/>
      <c r="BS68" s="28"/>
      <c r="BT68" s="30">
        <v>515.73</v>
      </c>
      <c r="BU68" s="30">
        <v>875.77</v>
      </c>
      <c r="BV68" s="29">
        <v>108.12</v>
      </c>
    </row>
    <row r="69" spans="1:74">
      <c r="A69" t="str">
        <f>VLOOKUP(D69,info!$A$2:$G$49,3,FALSE)</f>
        <v>Fiat</v>
      </c>
      <c r="B69">
        <v>27</v>
      </c>
      <c r="C69" t="s">
        <v>77</v>
      </c>
      <c r="D69">
        <v>5751910</v>
      </c>
      <c r="E69" t="s">
        <v>32</v>
      </c>
      <c r="F69">
        <v>115880</v>
      </c>
      <c r="G69">
        <v>31650</v>
      </c>
      <c r="H69">
        <v>5396</v>
      </c>
      <c r="I69">
        <v>417256</v>
      </c>
      <c r="J69">
        <v>304</v>
      </c>
      <c r="K69">
        <v>124.1</v>
      </c>
      <c r="L69">
        <v>2981</v>
      </c>
      <c r="M69">
        <v>29684</v>
      </c>
      <c r="N69">
        <v>61408</v>
      </c>
      <c r="O69">
        <v>54992</v>
      </c>
      <c r="P69">
        <v>255.4</v>
      </c>
      <c r="Q69">
        <v>279.7</v>
      </c>
      <c r="R69">
        <v>69.23</v>
      </c>
      <c r="S69">
        <v>5422</v>
      </c>
      <c r="T69">
        <v>36.43</v>
      </c>
      <c r="U69">
        <v>11.85</v>
      </c>
      <c r="V69">
        <v>0</v>
      </c>
      <c r="W69">
        <v>22.32</v>
      </c>
      <c r="X69">
        <v>9.3559999999999999</v>
      </c>
      <c r="Y69">
        <v>28.7</v>
      </c>
      <c r="Z69">
        <v>11197</v>
      </c>
      <c r="AA69">
        <v>29337</v>
      </c>
      <c r="AB69">
        <v>3475</v>
      </c>
      <c r="AC69" s="5">
        <v>88661</v>
      </c>
      <c r="AD69" s="5">
        <v>21998</v>
      </c>
      <c r="AE69" s="5">
        <v>3480</v>
      </c>
      <c r="AF69" s="5">
        <v>346768</v>
      </c>
      <c r="AG69" s="5">
        <v>388.2</v>
      </c>
      <c r="AH69" s="5"/>
      <c r="AI69" s="5">
        <v>2364</v>
      </c>
      <c r="AK69" s="5">
        <v>49991</v>
      </c>
      <c r="AM69" s="5">
        <v>288.10000000000002</v>
      </c>
      <c r="AN69" s="5">
        <v>377.1</v>
      </c>
      <c r="AO69" s="8">
        <v>35.799999999999997</v>
      </c>
      <c r="AP69" s="5">
        <v>5110</v>
      </c>
      <c r="AV69" s="8">
        <v>55</v>
      </c>
      <c r="AZ69" s="28"/>
      <c r="BA69" s="29"/>
      <c r="BB69" s="29">
        <v>468.71</v>
      </c>
      <c r="BC69" s="30">
        <v>68802.850000000006</v>
      </c>
      <c r="BD69" s="30">
        <v>430.18</v>
      </c>
      <c r="BE69" s="30">
        <v>150</v>
      </c>
      <c r="BF69" s="30">
        <v>3915.95</v>
      </c>
      <c r="BG69" s="30"/>
      <c r="BH69" s="30">
        <v>77960.91</v>
      </c>
      <c r="BI69" s="30"/>
      <c r="BJ69" s="30">
        <v>755.41</v>
      </c>
      <c r="BK69" s="30">
        <v>43.36</v>
      </c>
      <c r="BL69" s="30">
        <v>115.52</v>
      </c>
      <c r="BM69" s="30">
        <v>1987.68</v>
      </c>
      <c r="BN69" s="30">
        <v>88.48</v>
      </c>
      <c r="BO69" s="29"/>
      <c r="BP69" s="29"/>
      <c r="BQ69" s="29"/>
      <c r="BR69" s="29"/>
      <c r="BS69" s="28"/>
      <c r="BT69" s="30">
        <v>222.33</v>
      </c>
      <c r="BU69" s="30">
        <v>634.79999999999995</v>
      </c>
      <c r="BV69" s="29">
        <v>3541.26</v>
      </c>
    </row>
    <row r="70" spans="1:74">
      <c r="A70" t="str">
        <f>VLOOKUP(D70,info!$A$2:$G$49,3,FALSE)</f>
        <v>Subaru</v>
      </c>
      <c r="B70">
        <v>28</v>
      </c>
      <c r="C70" t="s">
        <v>77</v>
      </c>
      <c r="D70">
        <v>2675308</v>
      </c>
      <c r="E70" t="s">
        <v>32</v>
      </c>
      <c r="F70">
        <v>101253</v>
      </c>
      <c r="G70">
        <v>27662</v>
      </c>
      <c r="H70">
        <v>10207</v>
      </c>
      <c r="I70">
        <v>373413</v>
      </c>
      <c r="J70">
        <v>317</v>
      </c>
      <c r="K70">
        <v>58.74</v>
      </c>
      <c r="L70">
        <v>5242</v>
      </c>
      <c r="M70">
        <v>34300</v>
      </c>
      <c r="N70">
        <v>62958</v>
      </c>
      <c r="O70">
        <v>57201</v>
      </c>
      <c r="P70">
        <v>181.3</v>
      </c>
      <c r="Q70">
        <v>204.5</v>
      </c>
      <c r="R70">
        <v>75.489999999999995</v>
      </c>
      <c r="S70">
        <v>2484</v>
      </c>
      <c r="T70">
        <v>19.7</v>
      </c>
      <c r="U70">
        <v>8.7449999999999992</v>
      </c>
      <c r="V70">
        <v>1.742</v>
      </c>
      <c r="W70">
        <v>24.79</v>
      </c>
      <c r="X70">
        <v>17.97</v>
      </c>
      <c r="Y70">
        <v>11.67</v>
      </c>
      <c r="Z70">
        <v>8726</v>
      </c>
      <c r="AA70">
        <v>31315</v>
      </c>
      <c r="AB70">
        <v>4180</v>
      </c>
      <c r="AC70" s="5">
        <v>90982</v>
      </c>
      <c r="AD70" s="5">
        <v>20658</v>
      </c>
      <c r="AE70" s="5">
        <v>8161</v>
      </c>
      <c r="AF70" s="5">
        <v>340649</v>
      </c>
      <c r="AG70" s="5">
        <v>645.5</v>
      </c>
      <c r="AH70" s="5"/>
      <c r="AI70" s="5">
        <v>4545</v>
      </c>
      <c r="AK70" s="5">
        <v>53661</v>
      </c>
      <c r="AM70" s="5">
        <v>191.9</v>
      </c>
      <c r="AN70" s="5">
        <v>375.2</v>
      </c>
      <c r="AO70" s="8">
        <v>54.8</v>
      </c>
      <c r="AP70" s="5">
        <v>1968</v>
      </c>
      <c r="AV70" s="8">
        <v>51.9</v>
      </c>
      <c r="AZ70" s="28"/>
      <c r="BA70" s="29"/>
      <c r="BB70" s="29">
        <v>1342.93</v>
      </c>
      <c r="BC70" s="30">
        <v>205460.88</v>
      </c>
      <c r="BD70" s="30">
        <v>826.81</v>
      </c>
      <c r="BE70" s="30">
        <v>684.19</v>
      </c>
      <c r="BF70" s="30">
        <v>6872.87</v>
      </c>
      <c r="BG70" s="30"/>
      <c r="BH70" s="30">
        <v>230636.32</v>
      </c>
      <c r="BI70" s="30"/>
      <c r="BJ70" s="30">
        <v>999.9</v>
      </c>
      <c r="BK70" s="30">
        <v>15.1</v>
      </c>
      <c r="BL70" s="30">
        <v>163.15</v>
      </c>
      <c r="BM70" s="30">
        <v>16696.53</v>
      </c>
      <c r="BN70" s="30">
        <v>360.87</v>
      </c>
      <c r="BO70" s="29"/>
      <c r="BP70" s="29"/>
      <c r="BQ70" s="29"/>
      <c r="BR70" s="29"/>
      <c r="BS70" s="28"/>
      <c r="BT70" s="30">
        <v>670.1</v>
      </c>
      <c r="BU70" s="30">
        <v>510.81</v>
      </c>
      <c r="BV70" s="29">
        <v>2675.21</v>
      </c>
    </row>
    <row r="71" spans="1:74">
      <c r="A71" t="str">
        <f>VLOOKUP(D71,info!$A$2:$G$49,3,FALSE)</f>
        <v>Subaru</v>
      </c>
      <c r="B71">
        <v>28</v>
      </c>
      <c r="C71" t="s">
        <v>77</v>
      </c>
      <c r="D71">
        <v>2675308</v>
      </c>
      <c r="E71" t="s">
        <v>32</v>
      </c>
      <c r="F71">
        <v>98836</v>
      </c>
      <c r="G71">
        <v>25711</v>
      </c>
      <c r="H71">
        <v>11003</v>
      </c>
      <c r="I71">
        <v>356166</v>
      </c>
      <c r="J71">
        <v>562.79999999999995</v>
      </c>
      <c r="K71">
        <v>207.1</v>
      </c>
      <c r="L71">
        <v>5055</v>
      </c>
      <c r="M71">
        <v>34377</v>
      </c>
      <c r="N71">
        <v>59909</v>
      </c>
      <c r="O71">
        <v>54472</v>
      </c>
      <c r="P71">
        <v>199</v>
      </c>
      <c r="Q71">
        <v>118.9</v>
      </c>
      <c r="R71">
        <v>61.34</v>
      </c>
      <c r="S71">
        <v>1827</v>
      </c>
      <c r="T71">
        <v>13.08</v>
      </c>
      <c r="U71">
        <v>6.0679999999999996</v>
      </c>
      <c r="V71">
        <v>9.9</v>
      </c>
      <c r="W71">
        <v>28.97</v>
      </c>
      <c r="X71">
        <v>25.34</v>
      </c>
      <c r="Y71">
        <v>26.64</v>
      </c>
      <c r="Z71">
        <v>25522</v>
      </c>
      <c r="AA71">
        <v>40594</v>
      </c>
      <c r="AB71">
        <v>10496</v>
      </c>
      <c r="AC71" s="5">
        <v>92473</v>
      </c>
      <c r="AD71" s="5">
        <v>22984</v>
      </c>
      <c r="AE71" s="5">
        <v>4978</v>
      </c>
      <c r="AF71" s="5">
        <v>340054</v>
      </c>
      <c r="AG71" s="5">
        <v>477</v>
      </c>
      <c r="AH71" s="5"/>
      <c r="AI71" s="5">
        <v>1063</v>
      </c>
      <c r="AK71" s="5">
        <v>53098</v>
      </c>
      <c r="AM71" s="5">
        <v>290</v>
      </c>
      <c r="AN71" s="5">
        <v>350.8</v>
      </c>
      <c r="AO71" s="5">
        <v>172.9</v>
      </c>
      <c r="AP71" s="5">
        <v>3070</v>
      </c>
      <c r="AV71" s="8">
        <v>51.6</v>
      </c>
      <c r="AZ71" s="28"/>
      <c r="BA71" s="29"/>
      <c r="BB71" s="29">
        <v>1933.19</v>
      </c>
      <c r="BC71" s="30">
        <v>225792.13</v>
      </c>
      <c r="BD71" s="30">
        <v>1838.49</v>
      </c>
      <c r="BE71" s="30">
        <v>993.31</v>
      </c>
      <c r="BF71" s="30">
        <v>14316.25</v>
      </c>
      <c r="BG71" s="30"/>
      <c r="BH71" s="30">
        <v>235144.83</v>
      </c>
      <c r="BI71" s="30"/>
      <c r="BJ71" s="30">
        <v>670.42</v>
      </c>
      <c r="BK71" s="30">
        <v>179.53</v>
      </c>
      <c r="BL71" s="30">
        <v>132.80000000000001</v>
      </c>
      <c r="BM71" s="30">
        <v>5415.24</v>
      </c>
      <c r="BN71" s="30">
        <v>324.07</v>
      </c>
      <c r="BO71" s="29"/>
      <c r="BP71" s="29"/>
      <c r="BQ71" s="29"/>
      <c r="BR71" s="29"/>
      <c r="BS71" s="28"/>
      <c r="BT71" s="30">
        <v>550.35</v>
      </c>
      <c r="BU71" s="30">
        <v>269.31</v>
      </c>
      <c r="BV71" s="29">
        <v>8629.9699999999993</v>
      </c>
    </row>
    <row r="72" spans="1:74">
      <c r="A72" t="str">
        <f>VLOOKUP(D72,info!$A$2:$G$49,3,FALSE)</f>
        <v>Renault</v>
      </c>
      <c r="B72">
        <v>29</v>
      </c>
      <c r="C72" t="s">
        <v>77</v>
      </c>
      <c r="D72">
        <v>1147816</v>
      </c>
      <c r="E72" t="s">
        <v>52</v>
      </c>
      <c r="F72">
        <v>101391</v>
      </c>
      <c r="G72">
        <v>28029</v>
      </c>
      <c r="H72">
        <v>5994</v>
      </c>
      <c r="I72">
        <v>325800</v>
      </c>
      <c r="J72">
        <v>211.4</v>
      </c>
      <c r="K72">
        <v>134.6</v>
      </c>
      <c r="L72">
        <v>1059</v>
      </c>
      <c r="M72">
        <v>24987</v>
      </c>
      <c r="N72">
        <v>54366</v>
      </c>
      <c r="O72">
        <v>49289</v>
      </c>
      <c r="P72">
        <v>265.89999999999998</v>
      </c>
      <c r="Q72">
        <v>16.78</v>
      </c>
      <c r="R72">
        <v>141.4</v>
      </c>
      <c r="S72">
        <v>2495</v>
      </c>
      <c r="T72">
        <v>9.2100000000000009</v>
      </c>
      <c r="U72">
        <v>7.3449999999999998</v>
      </c>
      <c r="V72">
        <v>2.665</v>
      </c>
      <c r="W72">
        <v>4.6900000000000004</v>
      </c>
      <c r="X72">
        <v>0</v>
      </c>
      <c r="Y72">
        <v>18.600000000000001</v>
      </c>
      <c r="Z72">
        <v>28543</v>
      </c>
      <c r="AA72">
        <v>35546</v>
      </c>
      <c r="AB72">
        <v>10071</v>
      </c>
      <c r="AC72" s="5">
        <v>86208</v>
      </c>
      <c r="AD72" s="5">
        <v>22576</v>
      </c>
      <c r="AE72" s="5">
        <v>4959</v>
      </c>
      <c r="AF72" s="5">
        <v>343611</v>
      </c>
      <c r="AG72" s="5">
        <v>553.70000000000005</v>
      </c>
      <c r="AH72" s="5"/>
      <c r="AI72" s="5">
        <v>2294</v>
      </c>
      <c r="AK72" s="5">
        <v>52851</v>
      </c>
      <c r="AM72" s="5">
        <v>253.5</v>
      </c>
      <c r="AN72" s="5">
        <v>372.5</v>
      </c>
      <c r="AO72" s="8">
        <v>27</v>
      </c>
      <c r="AP72" s="5">
        <v>6380</v>
      </c>
      <c r="AV72" s="8">
        <v>92.4</v>
      </c>
      <c r="AZ72" s="28"/>
      <c r="BA72" s="29"/>
      <c r="BB72" s="29">
        <v>854.32</v>
      </c>
      <c r="BC72" s="30">
        <v>146963.48000000001</v>
      </c>
      <c r="BD72" s="30">
        <v>739.69</v>
      </c>
      <c r="BE72" s="30">
        <v>466.65</v>
      </c>
      <c r="BF72" s="30">
        <v>495.85</v>
      </c>
      <c r="BG72" s="30"/>
      <c r="BH72" s="30">
        <v>176369.49</v>
      </c>
      <c r="BI72" s="30"/>
      <c r="BJ72" s="30">
        <v>808.93</v>
      </c>
      <c r="BK72" s="30">
        <v>89.7</v>
      </c>
      <c r="BL72" s="30">
        <v>319.23</v>
      </c>
      <c r="BM72" s="30">
        <v>8103.63</v>
      </c>
      <c r="BN72" s="30">
        <v>207.43</v>
      </c>
      <c r="BO72" s="29"/>
      <c r="BP72" s="29"/>
      <c r="BQ72" s="29"/>
      <c r="BR72" s="29"/>
      <c r="BS72" s="28"/>
      <c r="BT72" s="30">
        <v>694.53</v>
      </c>
      <c r="BU72" s="30">
        <v>764.63</v>
      </c>
      <c r="BV72" s="29">
        <v>5855.8</v>
      </c>
    </row>
    <row r="73" spans="1:74">
      <c r="A73" t="str">
        <f>VLOOKUP(D73,info!$A$2:$G$49,3,FALSE)</f>
        <v>Ford</v>
      </c>
      <c r="B73">
        <v>30</v>
      </c>
      <c r="C73" t="s">
        <v>77</v>
      </c>
      <c r="D73">
        <v>6917835</v>
      </c>
      <c r="E73" t="s">
        <v>34</v>
      </c>
      <c r="F73">
        <v>91824</v>
      </c>
      <c r="G73">
        <v>27543</v>
      </c>
      <c r="H73">
        <v>6323</v>
      </c>
      <c r="I73">
        <v>333751</v>
      </c>
      <c r="J73">
        <v>302</v>
      </c>
      <c r="K73">
        <v>124.7</v>
      </c>
      <c r="L73">
        <v>2291</v>
      </c>
      <c r="M73">
        <v>24600</v>
      </c>
      <c r="N73">
        <v>55444</v>
      </c>
      <c r="O73">
        <v>50626</v>
      </c>
      <c r="P73">
        <v>222.3</v>
      </c>
      <c r="Q73">
        <v>12.87</v>
      </c>
      <c r="R73">
        <v>22.76</v>
      </c>
      <c r="S73">
        <v>4975</v>
      </c>
      <c r="T73">
        <v>15.88</v>
      </c>
      <c r="U73">
        <v>5.6479999999999997</v>
      </c>
      <c r="V73">
        <v>2.7719999999999998</v>
      </c>
      <c r="W73">
        <v>4.5890000000000004</v>
      </c>
      <c r="X73">
        <v>18.82</v>
      </c>
      <c r="Y73">
        <v>42.31</v>
      </c>
      <c r="Z73">
        <v>10341</v>
      </c>
      <c r="AA73">
        <v>25046</v>
      </c>
      <c r="AB73">
        <v>2847</v>
      </c>
      <c r="AC73" s="5">
        <v>89416</v>
      </c>
      <c r="AD73" s="5">
        <v>21113</v>
      </c>
      <c r="AE73" s="5">
        <v>6211</v>
      </c>
      <c r="AF73" s="5">
        <v>333791</v>
      </c>
      <c r="AG73" s="5">
        <v>643.70000000000005</v>
      </c>
      <c r="AH73" s="5"/>
      <c r="AI73" s="5">
        <v>3277</v>
      </c>
      <c r="AK73" s="5">
        <v>61317</v>
      </c>
      <c r="AM73" s="5">
        <v>247.4</v>
      </c>
      <c r="AN73" s="5">
        <v>362</v>
      </c>
      <c r="AO73" s="8">
        <v>69.599999999999994</v>
      </c>
      <c r="AP73" s="5">
        <v>3072</v>
      </c>
      <c r="AV73" s="8">
        <v>40</v>
      </c>
      <c r="AZ73" s="28"/>
      <c r="BA73" s="29"/>
      <c r="BB73" s="29">
        <v>929.93</v>
      </c>
      <c r="BC73" s="30">
        <v>156178.70000000001</v>
      </c>
      <c r="BD73" s="30">
        <v>485.2</v>
      </c>
      <c r="BE73" s="30">
        <v>236.58</v>
      </c>
      <c r="BF73" s="30">
        <v>3010.57</v>
      </c>
      <c r="BG73" s="30"/>
      <c r="BH73" s="30">
        <v>193486.19</v>
      </c>
      <c r="BI73" s="30"/>
      <c r="BJ73" s="30">
        <v>832.98</v>
      </c>
      <c r="BK73" s="30">
        <v>54.66</v>
      </c>
      <c r="BL73" s="30">
        <v>5.81</v>
      </c>
      <c r="BM73" s="30">
        <v>17067.439999999999</v>
      </c>
      <c r="BN73" s="30">
        <v>325.64</v>
      </c>
      <c r="BO73" s="29"/>
      <c r="BP73" s="29"/>
      <c r="BQ73" s="29"/>
      <c r="BR73" s="29"/>
      <c r="BS73" s="28"/>
      <c r="BT73" s="30">
        <v>731.19</v>
      </c>
      <c r="BU73" s="30">
        <v>1825.53</v>
      </c>
      <c r="BV73" s="29">
        <v>5427.72</v>
      </c>
    </row>
    <row r="74" spans="1:74">
      <c r="A74" t="str">
        <f>VLOOKUP(D74,info!$A$2:$G$49,3,FALSE)</f>
        <v>Hyundai</v>
      </c>
      <c r="B74">
        <v>31</v>
      </c>
      <c r="C74" t="s">
        <v>77</v>
      </c>
      <c r="D74">
        <v>9602910</v>
      </c>
      <c r="E74" s="1" t="s">
        <v>52</v>
      </c>
      <c r="F74">
        <v>93177</v>
      </c>
      <c r="G74">
        <v>25563</v>
      </c>
      <c r="H74">
        <v>7624</v>
      </c>
      <c r="I74">
        <v>326521</v>
      </c>
      <c r="J74">
        <v>332.5</v>
      </c>
      <c r="K74">
        <v>251.1</v>
      </c>
      <c r="L74">
        <v>3403</v>
      </c>
      <c r="M74">
        <v>31855</v>
      </c>
      <c r="N74">
        <v>63971</v>
      </c>
      <c r="O74">
        <v>57866</v>
      </c>
      <c r="P74">
        <v>240.6</v>
      </c>
      <c r="Q74">
        <v>9.2080000000000002</v>
      </c>
      <c r="R74">
        <v>53.78</v>
      </c>
      <c r="S74">
        <v>2397</v>
      </c>
      <c r="T74">
        <v>13.88</v>
      </c>
      <c r="U74">
        <v>3.8679999999999999</v>
      </c>
      <c r="V74">
        <v>0</v>
      </c>
      <c r="W74">
        <v>3.355</v>
      </c>
      <c r="X74">
        <v>3.6659999999999999</v>
      </c>
      <c r="Y74">
        <v>35.130000000000003</v>
      </c>
      <c r="Z74">
        <v>22461</v>
      </c>
      <c r="AA74">
        <v>37655</v>
      </c>
      <c r="AB74">
        <v>9759</v>
      </c>
      <c r="AC74" s="5">
        <v>89654</v>
      </c>
      <c r="AD74" s="5">
        <v>21171</v>
      </c>
      <c r="AE74" s="5">
        <v>5910</v>
      </c>
      <c r="AF74" s="5">
        <v>335180</v>
      </c>
      <c r="AG74" s="5">
        <v>590.9</v>
      </c>
      <c r="AH74" s="5"/>
      <c r="AI74" s="5">
        <v>3302</v>
      </c>
      <c r="AK74" s="5">
        <v>60960</v>
      </c>
      <c r="AM74" s="5">
        <v>229.2</v>
      </c>
      <c r="AN74" s="5">
        <v>429.9</v>
      </c>
      <c r="AO74" s="8">
        <v>56.7</v>
      </c>
      <c r="AP74" s="5">
        <v>3078</v>
      </c>
      <c r="AV74" s="8"/>
      <c r="AZ74" s="28"/>
      <c r="BA74" s="29"/>
      <c r="BB74" s="29">
        <v>1060.97</v>
      </c>
      <c r="BC74" s="30">
        <v>151015.66</v>
      </c>
      <c r="BD74" s="30">
        <v>873.06</v>
      </c>
      <c r="BE74" s="30">
        <v>535.02</v>
      </c>
      <c r="BF74" s="30">
        <v>6880.75</v>
      </c>
      <c r="BG74" s="30"/>
      <c r="BH74" s="30">
        <v>209361.68</v>
      </c>
      <c r="BI74" s="30"/>
      <c r="BJ74" s="30">
        <v>754.09</v>
      </c>
      <c r="BK74" s="30">
        <v>96.15</v>
      </c>
      <c r="BL74" s="30">
        <v>93.81</v>
      </c>
      <c r="BM74" s="30">
        <v>7475.25</v>
      </c>
      <c r="BN74" s="30">
        <v>279.38</v>
      </c>
      <c r="BO74" s="29"/>
      <c r="BP74" s="29"/>
      <c r="BQ74" s="29"/>
      <c r="BR74" s="29"/>
      <c r="BS74" s="28"/>
      <c r="BT74" s="30">
        <v>1307.3</v>
      </c>
      <c r="BU74" s="30">
        <v>1632.7</v>
      </c>
      <c r="BV74" s="29">
        <v>8269.08</v>
      </c>
    </row>
    <row r="75" spans="1:74">
      <c r="A75" t="str">
        <f>VLOOKUP(D75,info!$A$2:$G$49,3,FALSE)</f>
        <v>Hyundai</v>
      </c>
      <c r="B75">
        <v>32</v>
      </c>
      <c r="C75" t="s">
        <v>77</v>
      </c>
      <c r="D75">
        <v>9602910</v>
      </c>
      <c r="E75" s="1" t="s">
        <v>34</v>
      </c>
      <c r="F75">
        <v>84727</v>
      </c>
      <c r="G75">
        <v>23624</v>
      </c>
      <c r="H75">
        <v>6835</v>
      </c>
      <c r="I75">
        <v>310199</v>
      </c>
      <c r="J75">
        <v>306.3</v>
      </c>
      <c r="K75">
        <v>227.3</v>
      </c>
      <c r="L75">
        <v>3278</v>
      </c>
      <c r="M75">
        <v>30586</v>
      </c>
      <c r="N75">
        <v>62153</v>
      </c>
      <c r="O75">
        <v>56152</v>
      </c>
      <c r="P75">
        <v>230.6</v>
      </c>
      <c r="Q75">
        <v>13.42</v>
      </c>
      <c r="R75">
        <v>54.07</v>
      </c>
      <c r="S75">
        <v>2340</v>
      </c>
      <c r="T75">
        <v>9.3989999999999991</v>
      </c>
      <c r="U75">
        <v>4.6189999999999998</v>
      </c>
      <c r="V75">
        <v>0</v>
      </c>
      <c r="W75">
        <v>3.1560000000000001</v>
      </c>
      <c r="X75">
        <v>0</v>
      </c>
      <c r="Y75">
        <v>17.34</v>
      </c>
      <c r="Z75">
        <v>20866</v>
      </c>
      <c r="AA75">
        <v>35267</v>
      </c>
      <c r="AB75">
        <v>9239</v>
      </c>
      <c r="AC75" s="5">
        <v>87355</v>
      </c>
      <c r="AD75" s="5">
        <v>20970</v>
      </c>
      <c r="AE75" s="5">
        <v>6063</v>
      </c>
      <c r="AF75" s="5">
        <v>335164</v>
      </c>
      <c r="AG75" s="5">
        <v>698.6</v>
      </c>
      <c r="AH75" s="5"/>
      <c r="AI75" s="5">
        <v>2906</v>
      </c>
      <c r="AK75" s="5">
        <v>62358</v>
      </c>
      <c r="AM75" s="5">
        <v>260</v>
      </c>
      <c r="AN75" s="5">
        <v>346.2</v>
      </c>
      <c r="AO75" s="8">
        <v>63.1</v>
      </c>
      <c r="AP75" s="5">
        <v>2969</v>
      </c>
      <c r="AV75" s="8">
        <v>43.2</v>
      </c>
      <c r="AZ75" s="28"/>
      <c r="BA75" s="29"/>
      <c r="BB75" s="29">
        <v>1458.99</v>
      </c>
      <c r="BC75" s="30">
        <v>242930.37</v>
      </c>
      <c r="BD75" s="30">
        <v>1462.31</v>
      </c>
      <c r="BE75" s="30">
        <v>1129.68</v>
      </c>
      <c r="BF75" s="30">
        <v>13906.58</v>
      </c>
      <c r="BG75" s="30"/>
      <c r="BH75" s="30">
        <v>340047.99</v>
      </c>
      <c r="BI75" s="30"/>
      <c r="BJ75" s="30">
        <v>1428.97</v>
      </c>
      <c r="BK75" s="30">
        <v>313.52999999999997</v>
      </c>
      <c r="BL75" s="30">
        <v>455.32</v>
      </c>
      <c r="BM75" s="30">
        <v>12486.5</v>
      </c>
      <c r="BN75" s="30">
        <v>330.75</v>
      </c>
      <c r="BO75" s="29"/>
      <c r="BP75" s="29"/>
      <c r="BQ75" s="29"/>
      <c r="BR75" s="29"/>
      <c r="BS75" s="28"/>
      <c r="BT75" s="30">
        <v>175.59</v>
      </c>
      <c r="BU75" s="30">
        <v>1452.47</v>
      </c>
      <c r="BV75" s="29">
        <v>5016.95</v>
      </c>
    </row>
    <row r="76" spans="1:74">
      <c r="A76" t="str">
        <f>VLOOKUP(D76,info!$A$2:$G$49,3,FALSE)</f>
        <v>Hyundai</v>
      </c>
      <c r="B76">
        <v>33</v>
      </c>
      <c r="C76" t="s">
        <v>77</v>
      </c>
      <c r="D76">
        <v>9602910</v>
      </c>
      <c r="E76" s="1" t="s">
        <v>52</v>
      </c>
      <c r="F76">
        <v>87097</v>
      </c>
      <c r="G76">
        <v>25222</v>
      </c>
      <c r="H76">
        <v>6759</v>
      </c>
      <c r="I76">
        <v>324049</v>
      </c>
      <c r="J76">
        <v>329</v>
      </c>
      <c r="K76">
        <v>169</v>
      </c>
      <c r="L76">
        <v>2885</v>
      </c>
      <c r="M76">
        <v>29021</v>
      </c>
      <c r="N76">
        <v>63157</v>
      </c>
      <c r="O76">
        <v>57730</v>
      </c>
      <c r="P76">
        <v>188.3</v>
      </c>
      <c r="Q76">
        <v>11.61</v>
      </c>
      <c r="R76">
        <v>56.26</v>
      </c>
      <c r="S76">
        <v>2512</v>
      </c>
      <c r="T76">
        <v>24.1</v>
      </c>
      <c r="U76">
        <v>7.5709999999999997</v>
      </c>
      <c r="V76">
        <v>11.35</v>
      </c>
      <c r="W76">
        <v>2.6560000000000001</v>
      </c>
      <c r="X76">
        <v>8.1140000000000008</v>
      </c>
      <c r="Y76">
        <v>8.02</v>
      </c>
      <c r="Z76">
        <v>3596</v>
      </c>
      <c r="AA76">
        <v>31866</v>
      </c>
      <c r="AB76">
        <v>3356</v>
      </c>
      <c r="AC76" s="5">
        <v>88492</v>
      </c>
      <c r="AD76" s="5">
        <v>21487</v>
      </c>
      <c r="AE76" s="5">
        <v>6016</v>
      </c>
      <c r="AF76" s="5">
        <v>337962</v>
      </c>
      <c r="AG76" s="5">
        <v>776.5</v>
      </c>
      <c r="AH76" s="5"/>
      <c r="AI76" s="5">
        <v>2821</v>
      </c>
      <c r="AK76" s="5">
        <v>61521</v>
      </c>
      <c r="AM76" s="5">
        <v>305.89999999999998</v>
      </c>
      <c r="AN76" s="5">
        <v>394.8</v>
      </c>
      <c r="AO76" s="8">
        <v>59.1</v>
      </c>
      <c r="AP76" s="5">
        <v>3030</v>
      </c>
      <c r="AV76" s="8"/>
      <c r="AZ76" s="28"/>
      <c r="BA76" s="29"/>
      <c r="BB76" s="29">
        <v>945.69</v>
      </c>
      <c r="BC76" s="30">
        <v>193895.76</v>
      </c>
      <c r="BD76" s="30">
        <v>2485.8000000000002</v>
      </c>
      <c r="BE76" s="30">
        <v>863.02</v>
      </c>
      <c r="BF76" s="30">
        <v>6987.94</v>
      </c>
      <c r="BG76" s="30"/>
      <c r="BH76" s="30">
        <v>271257.42</v>
      </c>
      <c r="BI76" s="30"/>
      <c r="BJ76" s="30">
        <v>931.8</v>
      </c>
      <c r="BK76" s="30">
        <v>248</v>
      </c>
      <c r="BL76" s="30">
        <v>329.24</v>
      </c>
      <c r="BM76" s="30">
        <v>9765.4500000000007</v>
      </c>
      <c r="BN76" s="30">
        <v>404.03</v>
      </c>
      <c r="BO76" s="29"/>
      <c r="BP76" s="29"/>
      <c r="BQ76" s="29"/>
      <c r="BR76" s="29"/>
      <c r="BS76" s="28"/>
      <c r="BT76" s="30">
        <v>1289.08</v>
      </c>
      <c r="BU76" s="30">
        <v>381.14</v>
      </c>
      <c r="BV76" s="29">
        <v>9153.4500000000007</v>
      </c>
    </row>
    <row r="77" spans="1:74">
      <c r="A77" t="str">
        <f>VLOOKUP(D77,info!$A$2:$G$49,3,FALSE)</f>
        <v>Hyundai</v>
      </c>
      <c r="B77">
        <v>34</v>
      </c>
      <c r="C77" t="s">
        <v>77</v>
      </c>
      <c r="D77">
        <v>9602910</v>
      </c>
      <c r="E77" s="1" t="s">
        <v>52</v>
      </c>
      <c r="F77">
        <v>90208</v>
      </c>
      <c r="G77">
        <v>23870</v>
      </c>
      <c r="H77">
        <v>6426</v>
      </c>
      <c r="I77">
        <v>308844</v>
      </c>
      <c r="J77">
        <v>388.1</v>
      </c>
      <c r="K77">
        <v>290.10000000000002</v>
      </c>
      <c r="L77">
        <v>2696</v>
      </c>
      <c r="M77">
        <v>29457</v>
      </c>
      <c r="N77">
        <v>62652</v>
      </c>
      <c r="O77">
        <v>56925</v>
      </c>
      <c r="P77">
        <v>233.3</v>
      </c>
      <c r="Q77">
        <v>13.83</v>
      </c>
      <c r="R77">
        <v>54.79</v>
      </c>
      <c r="S77">
        <v>2392</v>
      </c>
      <c r="T77">
        <v>21.18</v>
      </c>
      <c r="U77">
        <v>6.4429999999999996</v>
      </c>
      <c r="V77">
        <v>8.2360000000000007</v>
      </c>
      <c r="W77">
        <v>3.39</v>
      </c>
      <c r="X77">
        <v>5.9560000000000004</v>
      </c>
      <c r="Y77">
        <v>10.6</v>
      </c>
      <c r="Z77">
        <v>25074</v>
      </c>
      <c r="AA77">
        <v>36856</v>
      </c>
      <c r="AB77">
        <v>10682</v>
      </c>
      <c r="AC77" s="5">
        <v>90141</v>
      </c>
      <c r="AD77" s="5">
        <v>20962</v>
      </c>
      <c r="AE77" s="5">
        <v>5278</v>
      </c>
      <c r="AF77" s="5">
        <v>335565</v>
      </c>
      <c r="AG77" s="5">
        <v>711.2</v>
      </c>
      <c r="AH77" s="5"/>
      <c r="AI77" s="5">
        <v>2251</v>
      </c>
      <c r="AK77" s="5">
        <v>62263</v>
      </c>
      <c r="AM77" s="5">
        <v>266.89999999999998</v>
      </c>
      <c r="AN77" s="5">
        <v>397.6</v>
      </c>
      <c r="AO77" s="8">
        <v>77.599999999999994</v>
      </c>
      <c r="AP77" s="5">
        <v>2487</v>
      </c>
      <c r="AV77" s="8"/>
      <c r="AZ77" s="28"/>
      <c r="BA77" s="29"/>
      <c r="BB77" s="29">
        <v>2043.04</v>
      </c>
      <c r="BC77" s="30">
        <v>315674.52</v>
      </c>
      <c r="BD77" s="30">
        <v>1889.88</v>
      </c>
      <c r="BE77" s="30">
        <v>1104.8900000000001</v>
      </c>
      <c r="BF77" s="30">
        <v>11418.73</v>
      </c>
      <c r="BG77" s="30"/>
      <c r="BH77" s="30">
        <v>398977.39</v>
      </c>
      <c r="BI77" s="30"/>
      <c r="BJ77" s="30">
        <v>1449.76</v>
      </c>
      <c r="BK77" s="30">
        <v>177.82</v>
      </c>
      <c r="BL77" s="30">
        <v>169.62</v>
      </c>
      <c r="BM77" s="30">
        <v>12615.26</v>
      </c>
      <c r="BN77" s="30">
        <v>397.72</v>
      </c>
      <c r="BO77" s="29"/>
      <c r="BP77" s="29"/>
      <c r="BQ77" s="29"/>
      <c r="BR77" s="29"/>
      <c r="BS77" s="28"/>
      <c r="BT77" s="30">
        <v>509.63</v>
      </c>
      <c r="BU77" s="30">
        <v>9.82</v>
      </c>
      <c r="BV77" s="29">
        <v>7112.53</v>
      </c>
    </row>
    <row r="78" spans="1:74">
      <c r="A78" t="str">
        <f>VLOOKUP(D78,info!$A$2:$G$49,3,FALSE)</f>
        <v>Hyundai</v>
      </c>
      <c r="B78">
        <v>35</v>
      </c>
      <c r="C78" t="s">
        <v>77</v>
      </c>
      <c r="D78">
        <v>5826120</v>
      </c>
      <c r="E78" s="1" t="s">
        <v>32</v>
      </c>
      <c r="F78">
        <v>107930</v>
      </c>
      <c r="G78">
        <v>28085</v>
      </c>
      <c r="H78">
        <v>6721</v>
      </c>
      <c r="I78">
        <v>355398</v>
      </c>
      <c r="J78">
        <v>490.4</v>
      </c>
      <c r="K78">
        <v>333.4</v>
      </c>
      <c r="L78">
        <v>2416</v>
      </c>
      <c r="M78">
        <v>31658</v>
      </c>
      <c r="N78">
        <v>65921</v>
      </c>
      <c r="O78">
        <v>59236</v>
      </c>
      <c r="P78">
        <v>254</v>
      </c>
      <c r="Q78">
        <v>18.2</v>
      </c>
      <c r="R78">
        <v>63.82</v>
      </c>
      <c r="S78">
        <v>1893</v>
      </c>
      <c r="T78">
        <v>2.7360000000000002</v>
      </c>
      <c r="U78">
        <v>5.08</v>
      </c>
      <c r="V78">
        <v>2.738</v>
      </c>
      <c r="W78">
        <v>6.0460000000000003</v>
      </c>
      <c r="X78">
        <v>0</v>
      </c>
      <c r="Y78">
        <v>28.48</v>
      </c>
      <c r="Z78">
        <v>21171</v>
      </c>
      <c r="AA78">
        <v>40482</v>
      </c>
      <c r="AB78">
        <v>9101</v>
      </c>
      <c r="AC78" s="5">
        <v>86342</v>
      </c>
      <c r="AD78" s="5">
        <v>23985</v>
      </c>
      <c r="AE78" s="5">
        <v>9807</v>
      </c>
      <c r="AF78" s="5">
        <v>337776</v>
      </c>
      <c r="AG78" s="5">
        <v>698.9</v>
      </c>
      <c r="AH78" s="5"/>
      <c r="AI78" s="5">
        <v>5436</v>
      </c>
      <c r="AK78" s="5">
        <v>54161</v>
      </c>
      <c r="AM78" s="5">
        <v>347.5</v>
      </c>
      <c r="AN78" s="5">
        <v>506.4</v>
      </c>
      <c r="AO78" s="5">
        <v>173.6</v>
      </c>
      <c r="AP78" s="5">
        <v>2855</v>
      </c>
      <c r="AV78" s="8">
        <v>49.9</v>
      </c>
      <c r="AZ78" s="28"/>
      <c r="BA78" s="29"/>
      <c r="BB78" s="29">
        <v>2055.9299999999998</v>
      </c>
      <c r="BC78" s="30">
        <v>366990.74</v>
      </c>
      <c r="BD78" s="30">
        <v>2204</v>
      </c>
      <c r="BE78" s="30">
        <v>1259.6600000000001</v>
      </c>
      <c r="BF78" s="30">
        <v>11192.1</v>
      </c>
      <c r="BG78" s="30"/>
      <c r="BH78" s="30">
        <v>470631.37</v>
      </c>
      <c r="BI78" s="30"/>
      <c r="BJ78" s="30">
        <v>1815.93</v>
      </c>
      <c r="BK78" s="30">
        <v>351.88</v>
      </c>
      <c r="BL78" s="30">
        <v>306.19</v>
      </c>
      <c r="BM78" s="30">
        <v>12202.76</v>
      </c>
      <c r="BN78" s="30">
        <v>515.29</v>
      </c>
      <c r="BO78" s="29"/>
      <c r="BP78" s="29"/>
      <c r="BQ78" s="29"/>
      <c r="BR78" s="29"/>
      <c r="BS78" s="28"/>
      <c r="BT78" s="30">
        <v>707.54</v>
      </c>
      <c r="BU78" s="30">
        <v>777.54</v>
      </c>
      <c r="BV78" s="29">
        <v>12559.94</v>
      </c>
    </row>
    <row r="79" spans="1:74">
      <c r="A79" t="str">
        <f>VLOOKUP(D79,info!$A$2:$G$49,3,FALSE)</f>
        <v>Hyundai</v>
      </c>
      <c r="B79">
        <v>36</v>
      </c>
      <c r="C79" t="s">
        <v>77</v>
      </c>
      <c r="D79">
        <v>5826120</v>
      </c>
      <c r="E79" s="1" t="s">
        <v>34</v>
      </c>
      <c r="F79">
        <v>85507</v>
      </c>
      <c r="G79">
        <v>28541</v>
      </c>
      <c r="H79">
        <v>11359</v>
      </c>
      <c r="I79">
        <v>328211</v>
      </c>
      <c r="J79">
        <v>399.9</v>
      </c>
      <c r="K79">
        <v>18.690000000000001</v>
      </c>
      <c r="L79">
        <v>5679</v>
      </c>
      <c r="M79">
        <v>31706</v>
      </c>
      <c r="N79">
        <v>57613</v>
      </c>
      <c r="O79">
        <v>52483</v>
      </c>
      <c r="P79">
        <v>287</v>
      </c>
      <c r="Q79">
        <v>12.23</v>
      </c>
      <c r="R79">
        <v>133.19999999999999</v>
      </c>
      <c r="S79">
        <v>2356</v>
      </c>
      <c r="T79">
        <v>11.48</v>
      </c>
      <c r="U79">
        <v>7.7409999999999997</v>
      </c>
      <c r="V79">
        <v>17.04</v>
      </c>
      <c r="W79">
        <v>11.69</v>
      </c>
      <c r="X79">
        <v>0</v>
      </c>
      <c r="Y79">
        <v>21.87</v>
      </c>
      <c r="Z79">
        <v>10134</v>
      </c>
      <c r="AA79">
        <v>27160</v>
      </c>
      <c r="AB79">
        <v>3736</v>
      </c>
      <c r="AC79" s="5">
        <v>90459</v>
      </c>
      <c r="AD79" s="5">
        <v>21704</v>
      </c>
      <c r="AE79" s="5">
        <v>4488</v>
      </c>
      <c r="AF79" s="5">
        <v>334848</v>
      </c>
      <c r="AG79" s="5">
        <v>508.6</v>
      </c>
      <c r="AH79" s="5"/>
      <c r="AI79" s="5">
        <v>2383</v>
      </c>
      <c r="AK79" s="5">
        <v>53945</v>
      </c>
      <c r="AM79" s="5">
        <v>263.3</v>
      </c>
      <c r="AN79" s="7">
        <v>415.82727272727277</v>
      </c>
      <c r="AO79" s="10">
        <v>30.0625</v>
      </c>
      <c r="AP79" s="5">
        <v>6425</v>
      </c>
      <c r="AV79" s="8">
        <v>91.4</v>
      </c>
      <c r="AZ79" s="28"/>
      <c r="BA79" s="29"/>
      <c r="BB79" s="29">
        <v>1839.66</v>
      </c>
      <c r="BC79" s="30">
        <v>269805.84000000003</v>
      </c>
      <c r="BD79" s="30">
        <v>1222.74</v>
      </c>
      <c r="BE79" s="30">
        <v>290.17</v>
      </c>
      <c r="BF79" s="30">
        <v>23497.63</v>
      </c>
      <c r="BG79" s="30"/>
      <c r="BH79" s="30">
        <v>348824.68</v>
      </c>
      <c r="BI79" s="30"/>
      <c r="BJ79" s="30">
        <v>1759.17</v>
      </c>
      <c r="BK79" s="30">
        <v>199.3</v>
      </c>
      <c r="BL79" s="30">
        <v>787.25</v>
      </c>
      <c r="BM79" s="30">
        <v>14282.97</v>
      </c>
      <c r="BN79" s="30">
        <v>450.62</v>
      </c>
      <c r="BO79" s="29"/>
      <c r="BP79" s="29"/>
      <c r="BQ79" s="29"/>
      <c r="BR79" s="29"/>
      <c r="BS79" s="28"/>
      <c r="BT79" s="30">
        <v>2240.0500000000002</v>
      </c>
      <c r="BU79" s="30">
        <v>1682.58</v>
      </c>
      <c r="BV79" s="29">
        <v>13748.88</v>
      </c>
    </row>
    <row r="80" spans="1:74">
      <c r="A80" t="str">
        <f>VLOOKUP(D80,info!$A$2:$G$49,3,FALSE)</f>
        <v>Ford</v>
      </c>
      <c r="B80">
        <v>37</v>
      </c>
      <c r="C80" t="s">
        <v>77</v>
      </c>
      <c r="D80">
        <v>6917835</v>
      </c>
      <c r="E80" t="s">
        <v>32</v>
      </c>
      <c r="F80">
        <v>96610</v>
      </c>
      <c r="G80">
        <v>25730</v>
      </c>
      <c r="H80">
        <v>5499</v>
      </c>
      <c r="I80">
        <v>325274</v>
      </c>
      <c r="J80">
        <v>253.9</v>
      </c>
      <c r="K80">
        <v>71.44</v>
      </c>
      <c r="L80">
        <v>2390</v>
      </c>
      <c r="M80">
        <v>27297</v>
      </c>
      <c r="N80">
        <v>56321</v>
      </c>
      <c r="O80">
        <v>50081</v>
      </c>
      <c r="P80">
        <v>239.4</v>
      </c>
      <c r="Q80">
        <v>12.49</v>
      </c>
      <c r="R80">
        <v>25.72</v>
      </c>
      <c r="S80">
        <v>4745</v>
      </c>
      <c r="T80">
        <v>13.9</v>
      </c>
      <c r="U80">
        <v>5.8879999999999999</v>
      </c>
      <c r="V80">
        <v>2.5430000000000001</v>
      </c>
      <c r="W80">
        <v>3.5870000000000002</v>
      </c>
      <c r="X80">
        <v>4.3630000000000004</v>
      </c>
      <c r="Y80">
        <v>68.63</v>
      </c>
      <c r="Z80">
        <v>40323</v>
      </c>
      <c r="AA80">
        <v>38846</v>
      </c>
      <c r="AB80">
        <v>15244</v>
      </c>
      <c r="AC80" s="5">
        <v>90413</v>
      </c>
      <c r="AD80" s="5">
        <v>21264</v>
      </c>
      <c r="AE80" s="5">
        <v>5616</v>
      </c>
      <c r="AF80" s="5">
        <v>333577</v>
      </c>
      <c r="AG80" s="5">
        <v>672.5</v>
      </c>
      <c r="AH80" s="5"/>
      <c r="AI80" s="5">
        <v>2311</v>
      </c>
      <c r="AK80" s="5">
        <v>62944</v>
      </c>
      <c r="AM80" s="5">
        <v>316.7</v>
      </c>
      <c r="AN80" s="5">
        <v>528.70000000000005</v>
      </c>
      <c r="AO80" s="8">
        <v>83.9</v>
      </c>
      <c r="AP80" s="5">
        <v>2475</v>
      </c>
      <c r="AV80" s="8"/>
      <c r="AZ80" s="28"/>
      <c r="BA80" s="29"/>
      <c r="BB80" s="29">
        <v>930.17</v>
      </c>
      <c r="BC80" s="30">
        <v>255917.84</v>
      </c>
      <c r="BD80" s="30">
        <v>1247.8599999999999</v>
      </c>
      <c r="BE80" s="30">
        <v>552.12</v>
      </c>
      <c r="BF80" s="30">
        <v>8115.12</v>
      </c>
      <c r="BG80" s="30"/>
      <c r="BH80" s="30">
        <v>328711.26</v>
      </c>
      <c r="BI80" s="30"/>
      <c r="BJ80" s="30">
        <v>1418.82</v>
      </c>
      <c r="BK80" s="30">
        <v>34.369999999999997</v>
      </c>
      <c r="BL80" s="30">
        <v>251.4</v>
      </c>
      <c r="BM80" s="30">
        <v>29020.81</v>
      </c>
      <c r="BN80" s="30">
        <v>699.99</v>
      </c>
      <c r="BO80" s="29"/>
      <c r="BP80" s="29"/>
      <c r="BQ80" s="29"/>
      <c r="BR80" s="29"/>
      <c r="BS80" s="28"/>
      <c r="BT80" s="30">
        <v>37.380000000000003</v>
      </c>
      <c r="BU80" s="30">
        <v>1390.05</v>
      </c>
      <c r="BV80" s="29">
        <v>11237.59</v>
      </c>
    </row>
    <row r="81" spans="1:74">
      <c r="A81" t="str">
        <f>VLOOKUP(D81,info!$A$2:$G$49,3,FALSE)</f>
        <v>Renault</v>
      </c>
      <c r="B81">
        <v>39</v>
      </c>
      <c r="C81" t="s">
        <v>77</v>
      </c>
      <c r="D81">
        <v>1147816</v>
      </c>
      <c r="E81" t="s">
        <v>52</v>
      </c>
      <c r="F81">
        <v>100740</v>
      </c>
      <c r="G81">
        <v>28473</v>
      </c>
      <c r="H81">
        <v>6243</v>
      </c>
      <c r="I81">
        <v>332796</v>
      </c>
      <c r="J81">
        <v>177</v>
      </c>
      <c r="K81">
        <v>26.54</v>
      </c>
      <c r="L81">
        <v>1082</v>
      </c>
      <c r="M81">
        <v>22542</v>
      </c>
      <c r="N81">
        <v>53798</v>
      </c>
      <c r="O81">
        <v>49618</v>
      </c>
      <c r="P81">
        <v>253.5</v>
      </c>
      <c r="Q81">
        <v>15.54</v>
      </c>
      <c r="R81">
        <v>133.4</v>
      </c>
      <c r="S81">
        <v>2671</v>
      </c>
      <c r="T81">
        <v>13.64</v>
      </c>
      <c r="U81">
        <v>6.3810000000000002</v>
      </c>
      <c r="V81">
        <v>7.8390000000000004</v>
      </c>
      <c r="W81">
        <v>6.3630000000000004</v>
      </c>
      <c r="X81">
        <v>0</v>
      </c>
      <c r="Y81">
        <v>33.35</v>
      </c>
      <c r="Z81">
        <v>10908</v>
      </c>
      <c r="AA81">
        <v>26838</v>
      </c>
      <c r="AB81">
        <v>2302</v>
      </c>
      <c r="AC81" s="5">
        <v>87873</v>
      </c>
      <c r="AD81" s="5">
        <v>22443</v>
      </c>
      <c r="AE81" s="5">
        <v>5256</v>
      </c>
      <c r="AF81" s="5">
        <v>333082</v>
      </c>
      <c r="AG81" s="5">
        <v>580.6</v>
      </c>
      <c r="AH81" s="5"/>
      <c r="AI81" s="5">
        <v>1114</v>
      </c>
      <c r="AK81" s="5">
        <v>53007</v>
      </c>
      <c r="AM81" s="5">
        <v>296.2</v>
      </c>
      <c r="AN81" s="5">
        <v>465.8</v>
      </c>
      <c r="AO81" s="5">
        <v>173.6</v>
      </c>
      <c r="AP81" s="5">
        <v>3235</v>
      </c>
      <c r="AV81" s="8">
        <v>48.9</v>
      </c>
      <c r="AZ81" s="28"/>
      <c r="BA81" s="29"/>
      <c r="BB81" s="29">
        <v>1896.79</v>
      </c>
      <c r="BC81" s="30">
        <v>344273.03</v>
      </c>
      <c r="BD81" s="30">
        <v>2053.3000000000002</v>
      </c>
      <c r="BE81" s="30">
        <v>1220.45</v>
      </c>
      <c r="BF81" s="30">
        <v>10612.18</v>
      </c>
      <c r="BG81" s="30"/>
      <c r="BH81" s="30">
        <v>456508.41</v>
      </c>
      <c r="BI81" s="30"/>
      <c r="BJ81" s="30">
        <v>1707.17</v>
      </c>
      <c r="BK81" s="30">
        <v>205.25</v>
      </c>
      <c r="BL81" s="30">
        <v>387.96</v>
      </c>
      <c r="BM81" s="30">
        <v>12714.32</v>
      </c>
      <c r="BN81" s="30">
        <v>429.27</v>
      </c>
      <c r="BO81" s="29"/>
      <c r="BP81" s="29"/>
      <c r="BQ81" s="29"/>
      <c r="BR81" s="29"/>
      <c r="BS81" s="28"/>
      <c r="BT81" s="30">
        <v>3424.35</v>
      </c>
      <c r="BU81" s="30">
        <v>941.91</v>
      </c>
      <c r="BV81" s="29">
        <v>18895.53</v>
      </c>
    </row>
    <row r="82" spans="1:74">
      <c r="A82" t="str">
        <f>VLOOKUP(D82,info!$A$2:$G$49,3,FALSE)</f>
        <v>Subaru</v>
      </c>
      <c r="B82">
        <v>40</v>
      </c>
      <c r="C82" t="s">
        <v>77</v>
      </c>
      <c r="D82">
        <v>2675308</v>
      </c>
      <c r="E82" t="s">
        <v>34</v>
      </c>
      <c r="F82">
        <v>95505</v>
      </c>
      <c r="G82">
        <v>25891</v>
      </c>
      <c r="H82">
        <v>9656</v>
      </c>
      <c r="I82">
        <v>338472</v>
      </c>
      <c r="J82">
        <v>377.5</v>
      </c>
      <c r="K82">
        <v>134.6</v>
      </c>
      <c r="L82">
        <v>4764</v>
      </c>
      <c r="M82">
        <v>31207</v>
      </c>
      <c r="N82">
        <v>57928</v>
      </c>
      <c r="O82">
        <v>53154</v>
      </c>
      <c r="P82">
        <v>168</v>
      </c>
      <c r="Q82">
        <v>9.952</v>
      </c>
      <c r="R82">
        <v>40.83</v>
      </c>
      <c r="S82">
        <v>1597</v>
      </c>
      <c r="T82">
        <v>17.239999999999998</v>
      </c>
      <c r="U82">
        <v>4.1310000000000002</v>
      </c>
      <c r="V82">
        <v>13.1</v>
      </c>
      <c r="W82">
        <v>1.9219999999999999</v>
      </c>
      <c r="X82">
        <v>0</v>
      </c>
      <c r="Y82">
        <v>0</v>
      </c>
      <c r="Z82">
        <v>6044</v>
      </c>
      <c r="AA82">
        <v>29599</v>
      </c>
      <c r="AB82">
        <v>3725</v>
      </c>
      <c r="AC82" s="5">
        <v>88728</v>
      </c>
      <c r="AD82" s="5">
        <v>20568</v>
      </c>
      <c r="AE82" s="5">
        <v>8282</v>
      </c>
      <c r="AF82" s="5">
        <v>342049</v>
      </c>
      <c r="AG82" s="5">
        <v>610.20000000000005</v>
      </c>
      <c r="AH82" s="5"/>
      <c r="AI82" s="5">
        <v>4682</v>
      </c>
      <c r="AK82" s="5">
        <v>54179</v>
      </c>
      <c r="AM82" s="5">
        <v>235.3</v>
      </c>
      <c r="AN82" s="5">
        <v>522.70000000000005</v>
      </c>
      <c r="AO82" s="8">
        <v>45.6</v>
      </c>
      <c r="AP82" s="5">
        <v>2006</v>
      </c>
      <c r="AV82" s="8"/>
      <c r="AZ82" s="28"/>
      <c r="BA82" s="29"/>
      <c r="BB82" s="29">
        <v>1825.95</v>
      </c>
      <c r="BC82" s="30">
        <v>349811.45</v>
      </c>
      <c r="BD82" s="30">
        <v>1255.5899999999999</v>
      </c>
      <c r="BE82" s="30">
        <v>706.84</v>
      </c>
      <c r="BF82" s="30">
        <v>3445.84</v>
      </c>
      <c r="BG82" s="30"/>
      <c r="BH82" s="30">
        <v>381175.33</v>
      </c>
      <c r="BI82" s="30"/>
      <c r="BJ82" s="30">
        <v>1756.32</v>
      </c>
      <c r="BK82" s="30">
        <v>296.92</v>
      </c>
      <c r="BL82" s="30">
        <v>770.23</v>
      </c>
      <c r="BM82" s="30">
        <v>15539.77</v>
      </c>
      <c r="BN82" s="30">
        <v>385.87</v>
      </c>
      <c r="BO82" s="29"/>
      <c r="BP82" s="29"/>
      <c r="BQ82" s="29"/>
      <c r="BR82" s="29"/>
      <c r="BS82" s="28"/>
      <c r="BT82" s="30">
        <v>1836.62</v>
      </c>
      <c r="BU82" s="30">
        <v>1514.89</v>
      </c>
      <c r="BV82" s="29">
        <v>15742.95</v>
      </c>
    </row>
    <row r="83" spans="1:74">
      <c r="A83" t="str">
        <f>VLOOKUP(D83,info!$A$2:$G$49,3,FALSE)</f>
        <v>Fiat</v>
      </c>
      <c r="B83">
        <v>41</v>
      </c>
      <c r="C83" t="s">
        <v>77</v>
      </c>
      <c r="D83">
        <v>5751910</v>
      </c>
      <c r="E83" t="s">
        <v>34</v>
      </c>
      <c r="F83">
        <v>96632</v>
      </c>
      <c r="G83">
        <v>24629</v>
      </c>
      <c r="H83">
        <v>4801</v>
      </c>
      <c r="I83">
        <v>322946</v>
      </c>
      <c r="J83">
        <v>295.10000000000002</v>
      </c>
      <c r="K83">
        <v>255.7</v>
      </c>
      <c r="L83">
        <v>790.1</v>
      </c>
      <c r="M83">
        <v>23609</v>
      </c>
      <c r="N83">
        <v>55672</v>
      </c>
      <c r="O83">
        <v>49851</v>
      </c>
      <c r="P83">
        <v>184.2</v>
      </c>
      <c r="Q83">
        <v>11.34</v>
      </c>
      <c r="R83">
        <v>98.9</v>
      </c>
      <c r="S83">
        <v>4317</v>
      </c>
      <c r="T83">
        <v>25.35</v>
      </c>
      <c r="U83">
        <v>4.8209999999999997</v>
      </c>
      <c r="V83">
        <v>2.2269999999999999</v>
      </c>
      <c r="W83">
        <v>6.4059999999999997</v>
      </c>
      <c r="X83">
        <v>15.53</v>
      </c>
      <c r="Y83">
        <v>27.52</v>
      </c>
      <c r="Z83">
        <v>31331</v>
      </c>
      <c r="AA83">
        <v>34564</v>
      </c>
      <c r="AB83">
        <v>11623</v>
      </c>
      <c r="AC83" s="5">
        <v>90039</v>
      </c>
      <c r="AD83" s="5">
        <v>21458</v>
      </c>
      <c r="AE83" s="5">
        <v>3393</v>
      </c>
      <c r="AF83" s="5">
        <v>343479</v>
      </c>
      <c r="AG83" s="5">
        <v>550.4</v>
      </c>
      <c r="AH83" s="5"/>
      <c r="AI83" s="5">
        <v>976.8</v>
      </c>
      <c r="AK83" s="5">
        <v>52909</v>
      </c>
      <c r="AM83" s="5"/>
      <c r="AN83" s="5">
        <v>559.20000000000005</v>
      </c>
      <c r="AO83" s="5">
        <v>119.9</v>
      </c>
      <c r="AP83" s="5">
        <v>4955</v>
      </c>
      <c r="AV83" s="8">
        <v>65.400000000000006</v>
      </c>
      <c r="AZ83" s="28"/>
      <c r="BA83" s="29"/>
      <c r="BB83" s="29">
        <v>2891.59</v>
      </c>
      <c r="BC83" s="30">
        <v>383287.12</v>
      </c>
      <c r="BD83" s="30">
        <v>1948.39</v>
      </c>
      <c r="BE83" s="30">
        <v>753.9</v>
      </c>
      <c r="BF83" s="30">
        <v>25942.560000000001</v>
      </c>
      <c r="BG83" s="30"/>
      <c r="BH83" s="30">
        <v>418825.16</v>
      </c>
      <c r="BI83" s="30"/>
      <c r="BJ83" s="30">
        <v>1160.94</v>
      </c>
      <c r="BK83" s="30">
        <v>137.83000000000001</v>
      </c>
      <c r="BL83" s="30">
        <v>172.86</v>
      </c>
      <c r="BM83" s="30">
        <v>9048.56</v>
      </c>
      <c r="BN83" s="30">
        <v>502.95</v>
      </c>
      <c r="BO83" s="29"/>
      <c r="BP83" s="29"/>
      <c r="BQ83" s="29"/>
      <c r="BR83" s="29"/>
      <c r="BS83" s="28"/>
      <c r="BT83" s="30">
        <v>1223.6400000000001</v>
      </c>
      <c r="BU83" s="30">
        <v>840</v>
      </c>
      <c r="BV83" s="29">
        <v>13634.3</v>
      </c>
    </row>
    <row r="84" spans="1:74">
      <c r="A84" t="str">
        <f>VLOOKUP(D84,info!$A$2:$G$49,3,FALSE)</f>
        <v>Renault</v>
      </c>
      <c r="B84">
        <v>42</v>
      </c>
      <c r="C84" t="s">
        <v>77</v>
      </c>
      <c r="D84">
        <v>1147816</v>
      </c>
      <c r="E84" t="s">
        <v>34</v>
      </c>
      <c r="F84">
        <v>89731</v>
      </c>
      <c r="G84">
        <v>26367</v>
      </c>
      <c r="H84">
        <v>11379</v>
      </c>
      <c r="I84">
        <v>320032</v>
      </c>
      <c r="J84">
        <v>322.89999999999998</v>
      </c>
      <c r="K84">
        <v>207</v>
      </c>
      <c r="L84">
        <v>7218</v>
      </c>
      <c r="M84">
        <v>35369</v>
      </c>
      <c r="N84">
        <v>58116</v>
      </c>
      <c r="O84">
        <v>52593</v>
      </c>
      <c r="P84">
        <v>240.3</v>
      </c>
      <c r="Q84">
        <v>28.46</v>
      </c>
      <c r="R84">
        <v>40.4</v>
      </c>
      <c r="S84">
        <v>3548</v>
      </c>
      <c r="T84">
        <v>29.73</v>
      </c>
      <c r="U84">
        <v>8.6110000000000007</v>
      </c>
      <c r="V84">
        <v>0</v>
      </c>
      <c r="W84">
        <v>5.4349999999999996</v>
      </c>
      <c r="X84">
        <v>10.23</v>
      </c>
      <c r="Y84">
        <v>25.9</v>
      </c>
      <c r="Z84">
        <v>28850</v>
      </c>
      <c r="AA84">
        <v>36562</v>
      </c>
      <c r="AB84">
        <v>12328</v>
      </c>
      <c r="AC84" s="5">
        <v>86899</v>
      </c>
      <c r="AD84" s="5">
        <v>21956</v>
      </c>
      <c r="AE84" s="5">
        <v>8769</v>
      </c>
      <c r="AF84" s="5">
        <v>331094</v>
      </c>
      <c r="AG84" s="5">
        <v>461.6</v>
      </c>
      <c r="AH84" s="5"/>
      <c r="AI84" s="5">
        <v>7061</v>
      </c>
      <c r="AK84" s="5">
        <v>53594</v>
      </c>
      <c r="AM84" s="5">
        <v>286.89999999999998</v>
      </c>
      <c r="AN84" s="5">
        <v>579.9</v>
      </c>
      <c r="AO84" s="8">
        <v>46.1</v>
      </c>
      <c r="AP84" s="5">
        <v>4521</v>
      </c>
      <c r="AV84" s="8"/>
      <c r="AZ84" s="28"/>
      <c r="BA84" s="29"/>
      <c r="BB84" s="29">
        <v>1616.61</v>
      </c>
      <c r="BC84" s="30">
        <v>370541.9</v>
      </c>
      <c r="BD84" s="30">
        <v>1547.12</v>
      </c>
      <c r="BE84" s="30">
        <v>1049.18</v>
      </c>
      <c r="BF84" s="30">
        <v>1756.58</v>
      </c>
      <c r="BG84" s="30"/>
      <c r="BH84" s="30">
        <v>415441.46</v>
      </c>
      <c r="BI84" s="30"/>
      <c r="BJ84" s="30">
        <v>1094.6199999999999</v>
      </c>
      <c r="BK84" s="30">
        <v>191.59</v>
      </c>
      <c r="BL84" s="30">
        <v>490.65</v>
      </c>
      <c r="BM84" s="30">
        <v>27430.83</v>
      </c>
      <c r="BN84" s="30">
        <v>551.29999999999995</v>
      </c>
      <c r="BO84" s="29"/>
      <c r="BP84" s="29"/>
      <c r="BQ84" s="29"/>
      <c r="BR84" s="29"/>
      <c r="BS84" s="28"/>
      <c r="BT84" s="30">
        <v>196.77</v>
      </c>
      <c r="BU84" s="30">
        <v>2310.0100000000002</v>
      </c>
      <c r="BV84" s="29">
        <v>12927.01</v>
      </c>
    </row>
    <row r="85" spans="1:74">
      <c r="A85" t="str">
        <f>VLOOKUP(D85,info!$A$2:$G$49,3,FALSE)</f>
        <v>Fiat</v>
      </c>
      <c r="B85">
        <v>43</v>
      </c>
      <c r="C85" t="s">
        <v>77</v>
      </c>
      <c r="D85">
        <v>5751910</v>
      </c>
      <c r="E85" t="s">
        <v>32</v>
      </c>
      <c r="F85">
        <v>98839</v>
      </c>
      <c r="G85">
        <v>24839</v>
      </c>
      <c r="H85">
        <v>4455</v>
      </c>
      <c r="I85">
        <v>336236</v>
      </c>
      <c r="J85">
        <v>325.2</v>
      </c>
      <c r="K85">
        <v>192.4</v>
      </c>
      <c r="L85">
        <v>833.8</v>
      </c>
      <c r="M85">
        <v>24313</v>
      </c>
      <c r="N85">
        <v>57117</v>
      </c>
      <c r="O85">
        <v>51349</v>
      </c>
      <c r="P85">
        <v>189</v>
      </c>
      <c r="Q85">
        <v>23.09</v>
      </c>
      <c r="R85">
        <v>93.97</v>
      </c>
      <c r="S85">
        <v>4098</v>
      </c>
      <c r="T85">
        <v>9.0489999999999995</v>
      </c>
      <c r="U85">
        <v>10.94</v>
      </c>
      <c r="V85">
        <v>28.54</v>
      </c>
      <c r="W85">
        <v>4.702</v>
      </c>
      <c r="X85">
        <v>6.6529999999999996</v>
      </c>
      <c r="Y85">
        <v>12.02</v>
      </c>
      <c r="Z85">
        <v>30414</v>
      </c>
      <c r="AA85">
        <v>36674</v>
      </c>
      <c r="AB85">
        <v>10915</v>
      </c>
      <c r="AC85" s="5">
        <v>94009</v>
      </c>
      <c r="AD85" s="5">
        <v>20844</v>
      </c>
      <c r="AE85" s="5">
        <v>3197</v>
      </c>
      <c r="AF85" s="5">
        <v>337446</v>
      </c>
      <c r="AG85" s="5">
        <v>589.9</v>
      </c>
      <c r="AH85" s="5"/>
      <c r="AI85" s="5">
        <v>940.2</v>
      </c>
      <c r="AK85" s="5">
        <v>52785</v>
      </c>
      <c r="AM85" s="5"/>
      <c r="AN85" s="5">
        <v>467.3</v>
      </c>
      <c r="AO85" s="5">
        <v>108.3</v>
      </c>
      <c r="AP85" s="5">
        <v>5265</v>
      </c>
      <c r="AV85" s="8">
        <v>49.1</v>
      </c>
      <c r="AZ85" s="28"/>
      <c r="BA85" s="29"/>
      <c r="BB85" s="29">
        <v>1515.6</v>
      </c>
      <c r="BC85" s="30">
        <v>270525.96999999997</v>
      </c>
      <c r="BD85" s="30">
        <v>1327.54</v>
      </c>
      <c r="BE85" s="30">
        <v>555.19000000000005</v>
      </c>
      <c r="BF85" s="30">
        <v>31999.64</v>
      </c>
      <c r="BG85" s="30"/>
      <c r="BH85" s="30">
        <v>354727.83</v>
      </c>
      <c r="BI85" s="30"/>
      <c r="BJ85" s="30">
        <v>1212.77</v>
      </c>
      <c r="BK85" s="30">
        <v>377.2</v>
      </c>
      <c r="BL85" s="30">
        <v>74.5</v>
      </c>
      <c r="BM85" s="30">
        <v>21721.64</v>
      </c>
      <c r="BN85" s="30">
        <v>490.92</v>
      </c>
      <c r="BO85" s="29"/>
      <c r="BP85" s="29"/>
      <c r="BQ85" s="29"/>
      <c r="BR85" s="29"/>
      <c r="BS85" s="28"/>
      <c r="BT85" s="30">
        <v>1797.5</v>
      </c>
      <c r="BU85" s="30">
        <v>440.46</v>
      </c>
      <c r="BV85" s="29">
        <v>19670.59</v>
      </c>
    </row>
    <row r="86" spans="1:74">
      <c r="A86" t="str">
        <f>VLOOKUP(D86,info!$A$2:$G$49,3,FALSE)</f>
        <v>Hyundai</v>
      </c>
      <c r="B86">
        <v>44</v>
      </c>
      <c r="C86" t="s">
        <v>77</v>
      </c>
      <c r="D86">
        <v>9602910</v>
      </c>
      <c r="E86" t="s">
        <v>32</v>
      </c>
      <c r="F86">
        <v>93386</v>
      </c>
      <c r="G86">
        <v>26167</v>
      </c>
      <c r="H86">
        <v>6983</v>
      </c>
      <c r="I86">
        <v>336298</v>
      </c>
      <c r="J86">
        <v>449.9</v>
      </c>
      <c r="K86">
        <v>132.80000000000001</v>
      </c>
      <c r="L86">
        <v>2928</v>
      </c>
      <c r="M86">
        <v>29041</v>
      </c>
      <c r="N86">
        <v>65324</v>
      </c>
      <c r="O86">
        <v>59322</v>
      </c>
      <c r="P86">
        <v>235</v>
      </c>
      <c r="Q86">
        <v>26.74</v>
      </c>
      <c r="R86">
        <v>51.41</v>
      </c>
      <c r="S86">
        <v>2364</v>
      </c>
      <c r="T86">
        <v>3.4580000000000002</v>
      </c>
      <c r="U86">
        <v>7.5919999999999996</v>
      </c>
      <c r="V86">
        <v>1.7749999999999999</v>
      </c>
      <c r="W86">
        <v>2.7269999999999999</v>
      </c>
      <c r="X86">
        <v>0</v>
      </c>
      <c r="Y86">
        <v>21.13</v>
      </c>
      <c r="Z86">
        <v>10283</v>
      </c>
      <c r="AA86">
        <v>30159</v>
      </c>
      <c r="AB86">
        <v>3324</v>
      </c>
      <c r="AC86" s="5">
        <v>92376</v>
      </c>
      <c r="AD86" s="5">
        <v>21616</v>
      </c>
      <c r="AE86" s="5">
        <v>5880</v>
      </c>
      <c r="AF86" s="5">
        <v>336711</v>
      </c>
      <c r="AG86" s="5">
        <v>875</v>
      </c>
      <c r="AH86" s="5"/>
      <c r="AI86" s="5">
        <v>2800</v>
      </c>
      <c r="AK86" s="5">
        <v>58859</v>
      </c>
      <c r="AM86" s="5">
        <v>297.39999999999998</v>
      </c>
      <c r="AN86" s="5">
        <v>516.20000000000005</v>
      </c>
      <c r="AO86" s="8">
        <v>63.9</v>
      </c>
      <c r="AP86" s="5">
        <v>2966</v>
      </c>
      <c r="AV86" s="8"/>
      <c r="AZ86" s="28"/>
      <c r="BA86" s="29"/>
      <c r="BB86" s="29">
        <v>864.51</v>
      </c>
      <c r="BC86" s="30">
        <v>272920.39</v>
      </c>
      <c r="BD86" s="30">
        <v>1455.46</v>
      </c>
      <c r="BE86" s="30">
        <v>470.39</v>
      </c>
      <c r="BF86" s="30">
        <v>763.04</v>
      </c>
      <c r="BG86" s="30"/>
      <c r="BH86" s="30">
        <v>345939.94</v>
      </c>
      <c r="BI86" s="30"/>
      <c r="BJ86" s="30">
        <v>805.78</v>
      </c>
      <c r="BK86" s="30">
        <v>61.22</v>
      </c>
      <c r="BL86" s="30">
        <v>478.3</v>
      </c>
      <c r="BM86" s="30">
        <v>26152.560000000001</v>
      </c>
      <c r="BN86" s="30">
        <v>621.30999999999995</v>
      </c>
      <c r="BO86" s="29"/>
      <c r="BP86" s="29"/>
      <c r="BQ86" s="29"/>
      <c r="BR86" s="29"/>
      <c r="BS86" s="28"/>
      <c r="BT86" s="30">
        <v>1010.5</v>
      </c>
      <c r="BU86" s="30">
        <v>400.61</v>
      </c>
      <c r="BV86" s="29">
        <v>14785.22</v>
      </c>
    </row>
    <row r="87" spans="1:74">
      <c r="AC87" s="5"/>
      <c r="AD87" s="5"/>
      <c r="AE87" s="5"/>
      <c r="AF87" s="5"/>
      <c r="AG87" s="5"/>
      <c r="AH87" s="5"/>
      <c r="AI87" s="5"/>
      <c r="AK87" s="5"/>
      <c r="AM87" s="5"/>
      <c r="AN87" s="5"/>
      <c r="AO87" s="8"/>
      <c r="AP87" s="5"/>
      <c r="AV87" s="8"/>
      <c r="AZ87" s="28"/>
      <c r="BA87" s="29"/>
      <c r="BB87" s="29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29"/>
      <c r="BP87" s="29"/>
      <c r="BQ87" s="29"/>
      <c r="BR87" s="29"/>
      <c r="BS87" s="28"/>
      <c r="BT87" s="30"/>
      <c r="BU87" s="30"/>
      <c r="BV87" s="29"/>
    </row>
    <row r="88" spans="1:74">
      <c r="AC88" s="5"/>
      <c r="AD88" s="5"/>
      <c r="AE88" s="5"/>
      <c r="AF88" s="5"/>
      <c r="AG88" s="5"/>
      <c r="AH88" s="5"/>
      <c r="AI88" s="5"/>
      <c r="AK88" s="5"/>
      <c r="AM88" s="5"/>
      <c r="AN88" s="5"/>
      <c r="AO88" s="8"/>
      <c r="AP88" s="5"/>
      <c r="AV88" s="8"/>
      <c r="AZ88" s="28"/>
      <c r="BA88" s="29"/>
      <c r="BB88" s="29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29"/>
      <c r="BP88" s="29"/>
      <c r="BQ88" s="29"/>
      <c r="BR88" s="29"/>
      <c r="BS88" s="28"/>
      <c r="BT88" s="30"/>
      <c r="BU88" s="30"/>
      <c r="BV88" s="29"/>
    </row>
    <row r="89" spans="1:74">
      <c r="AC89" s="5"/>
      <c r="AD89" s="5"/>
      <c r="AE89" s="5"/>
      <c r="AF89" s="5"/>
      <c r="AG89" s="5"/>
      <c r="AH89" s="5"/>
      <c r="AI89" s="5"/>
      <c r="AK89" s="5"/>
      <c r="AM89" s="5"/>
      <c r="AN89" s="5"/>
      <c r="AO89" s="8"/>
      <c r="AP89" s="5"/>
      <c r="AV89" s="5"/>
      <c r="AZ89" s="28"/>
      <c r="BA89" s="29"/>
      <c r="BB89" s="29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29"/>
      <c r="BP89" s="29"/>
      <c r="BQ89" s="29"/>
      <c r="BR89" s="29"/>
      <c r="BS89" s="28"/>
      <c r="BT89" s="30"/>
      <c r="BU89" s="30"/>
      <c r="BV89" s="29"/>
    </row>
    <row r="90" spans="1:74">
      <c r="AZ90" s="28"/>
      <c r="BA90" s="29"/>
      <c r="BB90" s="29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29"/>
      <c r="BP90" s="29"/>
      <c r="BQ90" s="29"/>
      <c r="BR90" s="29"/>
      <c r="BS90" s="28"/>
      <c r="BT90" s="30"/>
      <c r="BU90" s="30"/>
      <c r="BV90" s="29"/>
    </row>
    <row r="91" spans="1:74">
      <c r="AZ91" s="28"/>
      <c r="BA91" s="29"/>
      <c r="BB91" s="29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29"/>
      <c r="BP91" s="29"/>
      <c r="BQ91" s="29"/>
      <c r="BR91" s="29"/>
      <c r="BS91" s="28"/>
      <c r="BT91" s="30"/>
      <c r="BU91" s="30"/>
      <c r="BV91" s="29"/>
    </row>
    <row r="92" spans="1:74">
      <c r="BO92" s="29"/>
      <c r="BP92" s="29"/>
      <c r="BQ92" s="29"/>
      <c r="BR92" s="29"/>
      <c r="BS92" s="28"/>
      <c r="BT92" s="30"/>
      <c r="BU92" s="30"/>
      <c r="BV92" s="2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Y89"/>
  <sheetViews>
    <sheetView topLeftCell="L1" zoomScale="70" zoomScaleNormal="70" workbookViewId="0">
      <selection activeCell="AC1" sqref="AC1"/>
    </sheetView>
  </sheetViews>
  <sheetFormatPr defaultRowHeight="15"/>
  <cols>
    <col min="1" max="1" width="10.28515625" bestFit="1" customWidth="1"/>
    <col min="2" max="2" width="10.140625" bestFit="1" customWidth="1"/>
    <col min="3" max="4" width="10" customWidth="1"/>
    <col min="5" max="5" width="10" style="1" customWidth="1"/>
    <col min="6" max="28" width="10" customWidth="1"/>
    <col min="29" max="51" width="9.140625" customWidth="1"/>
  </cols>
  <sheetData>
    <row r="1" spans="1:51">
      <c r="A1" t="s">
        <v>0</v>
      </c>
      <c r="B1" t="s">
        <v>127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tr">
        <f>CONCATENATE(F1,"_IRB")</f>
        <v>NaK_IRB</v>
      </c>
      <c r="AD1" t="str">
        <f t="shared" ref="AD1:AY1" si="0">CONCATENATE(G1,"_IRB")</f>
        <v>MgK_IRB</v>
      </c>
      <c r="AE1" t="str">
        <f t="shared" si="0"/>
        <v>AlK_IRB</v>
      </c>
      <c r="AF1" t="str">
        <f t="shared" si="0"/>
        <v>SiK_IRB</v>
      </c>
      <c r="AG1" t="str">
        <f t="shared" si="0"/>
        <v>S K_IRB</v>
      </c>
      <c r="AH1" t="str">
        <f t="shared" si="0"/>
        <v>ClK_IRB</v>
      </c>
      <c r="AI1" t="str">
        <f t="shared" si="0"/>
        <v>K KA_IRB</v>
      </c>
      <c r="AJ1" t="str">
        <f t="shared" si="0"/>
        <v>K KB_IRB</v>
      </c>
      <c r="AK1" t="str">
        <f t="shared" si="0"/>
        <v>CaKA_IRB</v>
      </c>
      <c r="AL1" t="str">
        <f t="shared" si="0"/>
        <v>CaKB_IRB</v>
      </c>
      <c r="AM1" t="str">
        <f t="shared" si="0"/>
        <v>TiK_IRB</v>
      </c>
      <c r="AN1" t="str">
        <f t="shared" si="0"/>
        <v>CrK_IRB</v>
      </c>
      <c r="AO1" t="str">
        <f t="shared" si="0"/>
        <v>MnK_IRB</v>
      </c>
      <c r="AP1" t="str">
        <f t="shared" si="0"/>
        <v>FeK_IRB</v>
      </c>
      <c r="AQ1" t="str">
        <f t="shared" si="0"/>
        <v>CoKA_IRB</v>
      </c>
      <c r="AR1" t="str">
        <f t="shared" si="0"/>
        <v>CuKA_IRB</v>
      </c>
      <c r="AS1" t="str">
        <f t="shared" si="0"/>
        <v>CuKB_IRB</v>
      </c>
      <c r="AT1" t="str">
        <f t="shared" si="0"/>
        <v>ZnKA_IRB</v>
      </c>
      <c r="AU1" t="str">
        <f t="shared" si="0"/>
        <v>ZnKB_IRB</v>
      </c>
      <c r="AV1" t="str">
        <f t="shared" si="0"/>
        <v>SrK_IRB</v>
      </c>
      <c r="AW1" t="str">
        <f t="shared" si="0"/>
        <v>SnL1_IRB</v>
      </c>
      <c r="AX1" t="str">
        <f t="shared" si="0"/>
        <v>SnL2_IRB</v>
      </c>
      <c r="AY1" t="str">
        <f t="shared" si="0"/>
        <v>SnL3_IRB</v>
      </c>
    </row>
    <row r="2" spans="1:51">
      <c r="A2" t="str">
        <f>VLOOKUP(D2,info!$A$2:$G$49,3,FALSE)</f>
        <v>Mazda</v>
      </c>
      <c r="B2">
        <v>1</v>
      </c>
      <c r="C2" t="s">
        <v>30</v>
      </c>
      <c r="D2">
        <v>3550828</v>
      </c>
      <c r="E2" s="1" t="s">
        <v>32</v>
      </c>
      <c r="F2">
        <v>107918</v>
      </c>
      <c r="G2">
        <v>29218</v>
      </c>
      <c r="H2">
        <v>9671</v>
      </c>
      <c r="I2">
        <v>354625</v>
      </c>
      <c r="J2">
        <v>575.6</v>
      </c>
      <c r="K2">
        <v>316.8</v>
      </c>
      <c r="L2">
        <v>6087</v>
      </c>
      <c r="M2">
        <v>34019</v>
      </c>
      <c r="N2">
        <v>61127</v>
      </c>
      <c r="O2">
        <v>55469</v>
      </c>
      <c r="P2">
        <v>181.2</v>
      </c>
      <c r="Q2">
        <v>291.7</v>
      </c>
      <c r="R2">
        <v>76.89</v>
      </c>
      <c r="S2">
        <v>3678</v>
      </c>
      <c r="T2">
        <v>30.85</v>
      </c>
      <c r="U2">
        <v>5.8710000000000004</v>
      </c>
      <c r="V2">
        <v>3.8929999999999998</v>
      </c>
      <c r="W2">
        <v>22.42</v>
      </c>
      <c r="X2">
        <v>8.56</v>
      </c>
      <c r="Y2">
        <v>17.66</v>
      </c>
      <c r="Z2">
        <v>6942</v>
      </c>
      <c r="AA2">
        <v>31241</v>
      </c>
      <c r="AB2">
        <v>3973</v>
      </c>
      <c r="AC2" s="5">
        <v>99530.9</v>
      </c>
      <c r="AD2" s="5">
        <v>23087.3</v>
      </c>
      <c r="AE2" s="5">
        <v>6509.8</v>
      </c>
      <c r="AF2" s="5">
        <v>332230</v>
      </c>
      <c r="AG2" s="5">
        <v>829.8</v>
      </c>
      <c r="AH2" s="5"/>
      <c r="AI2" s="5">
        <v>5615.9</v>
      </c>
      <c r="AK2" s="5">
        <v>53470.3</v>
      </c>
      <c r="AM2" s="5"/>
      <c r="AN2" s="5">
        <v>501.3</v>
      </c>
      <c r="AO2" s="8">
        <v>51.4</v>
      </c>
      <c r="AP2" s="5">
        <v>3338.3</v>
      </c>
      <c r="AV2" s="8"/>
    </row>
    <row r="3" spans="1:51">
      <c r="A3" t="str">
        <f>VLOOKUP(D3,info!$A$2:$G$49,3,FALSE)</f>
        <v>Mazda</v>
      </c>
      <c r="B3">
        <v>2</v>
      </c>
      <c r="C3" t="s">
        <v>30</v>
      </c>
      <c r="D3">
        <v>3550828</v>
      </c>
      <c r="E3" s="1" t="s">
        <v>34</v>
      </c>
      <c r="F3">
        <v>109257</v>
      </c>
      <c r="G3">
        <v>29082</v>
      </c>
      <c r="H3">
        <v>9318</v>
      </c>
      <c r="I3">
        <v>358228</v>
      </c>
      <c r="J3">
        <v>577</v>
      </c>
      <c r="K3">
        <v>218.6</v>
      </c>
      <c r="L3">
        <v>5844</v>
      </c>
      <c r="M3">
        <v>32669</v>
      </c>
      <c r="N3">
        <v>61719</v>
      </c>
      <c r="O3">
        <v>55688</v>
      </c>
      <c r="P3">
        <v>187.2</v>
      </c>
      <c r="Q3">
        <v>349.1</v>
      </c>
      <c r="R3">
        <v>90.81</v>
      </c>
      <c r="S3">
        <v>3968</v>
      </c>
      <c r="T3">
        <v>22.17</v>
      </c>
      <c r="U3">
        <v>10.67</v>
      </c>
      <c r="V3">
        <v>0</v>
      </c>
      <c r="W3">
        <v>33.869999999999997</v>
      </c>
      <c r="X3">
        <v>24.43</v>
      </c>
      <c r="Y3">
        <v>22.67</v>
      </c>
      <c r="Z3">
        <v>10255</v>
      </c>
      <c r="AA3">
        <v>28940</v>
      </c>
      <c r="AB3">
        <v>3724</v>
      </c>
      <c r="AC3" s="5">
        <v>99189.8</v>
      </c>
      <c r="AD3" s="5">
        <v>22585.5</v>
      </c>
      <c r="AE3" s="5">
        <v>6425.4</v>
      </c>
      <c r="AF3" s="5">
        <v>333663.3</v>
      </c>
      <c r="AG3" s="5">
        <v>816.9</v>
      </c>
      <c r="AH3" s="5"/>
      <c r="AI3" s="5">
        <v>5439</v>
      </c>
      <c r="AK3" s="5">
        <v>53762.3</v>
      </c>
      <c r="AM3" s="5">
        <v>212.3</v>
      </c>
      <c r="AN3" s="5">
        <v>525.20000000000005</v>
      </c>
      <c r="AO3" s="8">
        <v>59.6</v>
      </c>
      <c r="AP3" s="5">
        <v>3234.2</v>
      </c>
      <c r="AV3" s="8"/>
    </row>
    <row r="4" spans="1:51">
      <c r="A4" t="str">
        <f>VLOOKUP(D4,info!$A$2:$G$49,3,FALSE)</f>
        <v>Mazda</v>
      </c>
      <c r="B4">
        <v>3</v>
      </c>
      <c r="C4" t="s">
        <v>30</v>
      </c>
      <c r="D4">
        <v>3550828</v>
      </c>
      <c r="E4" s="1" t="s">
        <v>34</v>
      </c>
      <c r="F4">
        <v>118923</v>
      </c>
      <c r="G4">
        <v>30661</v>
      </c>
      <c r="H4">
        <v>9702</v>
      </c>
      <c r="I4">
        <v>368493</v>
      </c>
      <c r="J4">
        <v>597.29999999999995</v>
      </c>
      <c r="K4">
        <v>191.1</v>
      </c>
      <c r="L4">
        <v>5958</v>
      </c>
      <c r="M4">
        <v>34131</v>
      </c>
      <c r="N4">
        <v>62099</v>
      </c>
      <c r="O4">
        <v>56355</v>
      </c>
      <c r="P4">
        <v>187.6</v>
      </c>
      <c r="Q4">
        <v>216.2</v>
      </c>
      <c r="R4">
        <v>81.27</v>
      </c>
      <c r="S4">
        <v>3402</v>
      </c>
      <c r="T4">
        <v>13.61</v>
      </c>
      <c r="U4">
        <v>4.3689999999999998</v>
      </c>
      <c r="V4">
        <v>4.6769999999999996</v>
      </c>
      <c r="W4">
        <v>23.66</v>
      </c>
      <c r="X4">
        <v>10.56</v>
      </c>
      <c r="Y4">
        <v>40.33</v>
      </c>
      <c r="Z4">
        <v>10081</v>
      </c>
      <c r="AA4">
        <v>30973</v>
      </c>
      <c r="AB4">
        <v>4043</v>
      </c>
      <c r="AC4" s="5">
        <v>98045.5</v>
      </c>
      <c r="AD4" s="5">
        <v>22996.2</v>
      </c>
      <c r="AE4" s="5">
        <v>6618.1</v>
      </c>
      <c r="AF4" s="5">
        <v>333481.3</v>
      </c>
      <c r="AG4" s="5">
        <v>837.1</v>
      </c>
      <c r="AH4" s="5"/>
      <c r="AI4" s="5">
        <v>5315.7</v>
      </c>
      <c r="AK4" s="5">
        <v>53097.8</v>
      </c>
      <c r="AM4" s="5">
        <v>228</v>
      </c>
      <c r="AN4" s="5">
        <v>486.8</v>
      </c>
      <c r="AO4" s="8">
        <v>62.6</v>
      </c>
      <c r="AP4" s="5">
        <v>3106.5</v>
      </c>
      <c r="AV4" s="8"/>
    </row>
    <row r="5" spans="1:51">
      <c r="A5" t="str">
        <f>VLOOKUP(D5,info!$A$2:$G$49,3,FALSE)</f>
        <v>Peugeot</v>
      </c>
      <c r="B5">
        <v>4</v>
      </c>
      <c r="C5" t="s">
        <v>30</v>
      </c>
      <c r="D5">
        <v>9367324</v>
      </c>
      <c r="E5" s="1" t="s">
        <v>32</v>
      </c>
      <c r="F5">
        <v>125580</v>
      </c>
      <c r="G5">
        <v>27236</v>
      </c>
      <c r="H5">
        <v>4452</v>
      </c>
      <c r="I5">
        <v>356948</v>
      </c>
      <c r="J5">
        <v>546.1</v>
      </c>
      <c r="K5">
        <v>233.3</v>
      </c>
      <c r="L5">
        <v>1480</v>
      </c>
      <c r="M5">
        <v>24849</v>
      </c>
      <c r="N5">
        <v>60582</v>
      </c>
      <c r="O5">
        <v>55057</v>
      </c>
      <c r="P5">
        <v>193.8</v>
      </c>
      <c r="Q5">
        <v>81.2</v>
      </c>
      <c r="R5">
        <v>99.5</v>
      </c>
      <c r="S5">
        <v>4461</v>
      </c>
      <c r="T5">
        <v>11.09</v>
      </c>
      <c r="U5">
        <v>5.5919999999999996</v>
      </c>
      <c r="V5">
        <v>0</v>
      </c>
      <c r="W5">
        <v>25.75</v>
      </c>
      <c r="X5">
        <v>27.63</v>
      </c>
      <c r="Y5">
        <v>47.19</v>
      </c>
      <c r="Z5">
        <v>10304</v>
      </c>
      <c r="AA5">
        <v>29804</v>
      </c>
      <c r="AB5">
        <v>2558</v>
      </c>
      <c r="AC5" s="5">
        <v>104655.9</v>
      </c>
      <c r="AD5" s="5">
        <v>20937.599999999999</v>
      </c>
      <c r="AE5" s="5">
        <v>2840.5</v>
      </c>
      <c r="AF5" s="5">
        <v>336572.3</v>
      </c>
      <c r="AG5" s="5">
        <v>860.5</v>
      </c>
      <c r="AH5" s="5"/>
      <c r="AI5" s="5">
        <v>1453.8</v>
      </c>
      <c r="AK5" s="5">
        <v>53436.2</v>
      </c>
      <c r="AM5" s="5">
        <v>189.3</v>
      </c>
      <c r="AN5" s="5">
        <v>455.1</v>
      </c>
      <c r="AO5" s="5">
        <v>102.1</v>
      </c>
      <c r="AP5" s="5">
        <v>5222.5</v>
      </c>
      <c r="AV5" s="8">
        <v>67.7</v>
      </c>
    </row>
    <row r="6" spans="1:51">
      <c r="A6" t="str">
        <f>VLOOKUP(D6,info!$A$2:$G$49,3,FALSE)</f>
        <v>Peugeot</v>
      </c>
      <c r="B6">
        <v>5</v>
      </c>
      <c r="C6" t="s">
        <v>30</v>
      </c>
      <c r="D6">
        <v>9367324</v>
      </c>
      <c r="E6" s="1" t="s">
        <v>32</v>
      </c>
      <c r="F6">
        <v>83854</v>
      </c>
      <c r="G6">
        <v>19619</v>
      </c>
      <c r="H6">
        <v>2036</v>
      </c>
      <c r="I6">
        <v>269736</v>
      </c>
      <c r="J6">
        <v>511.7</v>
      </c>
      <c r="K6">
        <v>133</v>
      </c>
      <c r="L6">
        <v>531.9</v>
      </c>
      <c r="M6">
        <v>17401</v>
      </c>
      <c r="N6">
        <v>50408</v>
      </c>
      <c r="O6">
        <v>46197</v>
      </c>
      <c r="P6">
        <v>52.14</v>
      </c>
      <c r="Q6">
        <v>233.2</v>
      </c>
      <c r="R6">
        <v>97.64</v>
      </c>
      <c r="S6">
        <v>4897</v>
      </c>
      <c r="T6">
        <v>26.32</v>
      </c>
      <c r="U6">
        <v>8.4380000000000006</v>
      </c>
      <c r="V6">
        <v>6.1959999999999997</v>
      </c>
      <c r="W6">
        <v>20.190000000000001</v>
      </c>
      <c r="X6">
        <v>17.329999999999998</v>
      </c>
      <c r="Y6">
        <v>0</v>
      </c>
      <c r="Z6">
        <v>4817</v>
      </c>
      <c r="AA6">
        <v>21078</v>
      </c>
      <c r="AB6">
        <v>1631</v>
      </c>
      <c r="AC6" s="5">
        <v>103177.5</v>
      </c>
      <c r="AD6" s="5">
        <v>20691.8</v>
      </c>
      <c r="AE6" s="5">
        <v>1139.3</v>
      </c>
      <c r="AF6" s="5">
        <v>338956.7</v>
      </c>
      <c r="AG6" s="5">
        <v>1007.7</v>
      </c>
      <c r="AH6" s="5"/>
      <c r="AI6" s="5">
        <v>749.3</v>
      </c>
      <c r="AK6" s="5">
        <v>54378.400000000001</v>
      </c>
      <c r="AM6" s="5"/>
      <c r="AN6" s="5">
        <v>360.8</v>
      </c>
      <c r="AO6" s="8">
        <v>96.5</v>
      </c>
      <c r="AP6" s="5">
        <v>5312.6</v>
      </c>
      <c r="AV6" s="8"/>
    </row>
    <row r="7" spans="1:51">
      <c r="A7" t="str">
        <f>VLOOKUP(D7,info!$A$2:$G$49,3,FALSE)</f>
        <v>Mazda</v>
      </c>
      <c r="B7">
        <v>6</v>
      </c>
      <c r="C7" t="s">
        <v>30</v>
      </c>
      <c r="D7" s="2">
        <v>3550828</v>
      </c>
      <c r="E7" s="1" t="s">
        <v>32</v>
      </c>
      <c r="F7">
        <v>100377</v>
      </c>
      <c r="G7">
        <v>26472</v>
      </c>
      <c r="H7">
        <v>8280</v>
      </c>
      <c r="I7">
        <v>319164</v>
      </c>
      <c r="J7">
        <v>594.5</v>
      </c>
      <c r="K7">
        <v>192.4</v>
      </c>
      <c r="L7">
        <v>5511</v>
      </c>
      <c r="M7">
        <v>30079</v>
      </c>
      <c r="N7">
        <v>56186</v>
      </c>
      <c r="O7">
        <v>51235</v>
      </c>
      <c r="P7">
        <v>184.5</v>
      </c>
      <c r="Q7">
        <v>219</v>
      </c>
      <c r="R7">
        <v>74.14</v>
      </c>
      <c r="S7">
        <v>3317</v>
      </c>
      <c r="T7">
        <v>12.31</v>
      </c>
      <c r="U7">
        <v>7.1470000000000002</v>
      </c>
      <c r="V7">
        <v>0</v>
      </c>
      <c r="W7">
        <v>21.63</v>
      </c>
      <c r="X7">
        <v>19</v>
      </c>
      <c r="Y7">
        <v>21.16</v>
      </c>
      <c r="Z7">
        <v>8799</v>
      </c>
      <c r="AA7">
        <v>25974</v>
      </c>
      <c r="AB7">
        <v>3478</v>
      </c>
      <c r="AC7" s="5">
        <v>98500.1</v>
      </c>
      <c r="AD7" s="5">
        <v>23223</v>
      </c>
      <c r="AE7" s="5">
        <v>6822.8</v>
      </c>
      <c r="AF7" s="5">
        <v>333970.8</v>
      </c>
      <c r="AG7" s="5">
        <v>769.4</v>
      </c>
      <c r="AH7" s="5"/>
      <c r="AI7" s="5">
        <v>5507.7</v>
      </c>
      <c r="AK7" s="5">
        <v>53350.6</v>
      </c>
      <c r="AM7" s="5">
        <v>227.2</v>
      </c>
      <c r="AN7" s="5">
        <v>406.6</v>
      </c>
      <c r="AO7" s="8">
        <v>51.2</v>
      </c>
      <c r="AP7" s="5">
        <v>3298</v>
      </c>
      <c r="AV7" s="8"/>
    </row>
    <row r="8" spans="1:51">
      <c r="A8" t="str">
        <f>VLOOKUP(D8,info!$A$2:$G$49,3,FALSE)</f>
        <v>Hyundai</v>
      </c>
      <c r="B8">
        <v>7</v>
      </c>
      <c r="C8" t="s">
        <v>30</v>
      </c>
      <c r="D8">
        <v>9540217</v>
      </c>
      <c r="E8" s="1" t="s">
        <v>34</v>
      </c>
      <c r="F8">
        <v>114128</v>
      </c>
      <c r="G8">
        <v>27526</v>
      </c>
      <c r="H8">
        <v>6651</v>
      </c>
      <c r="I8">
        <v>340085</v>
      </c>
      <c r="J8">
        <v>654.79999999999995</v>
      </c>
      <c r="K8">
        <v>258.60000000000002</v>
      </c>
      <c r="L8">
        <v>2969</v>
      </c>
      <c r="M8">
        <v>29918</v>
      </c>
      <c r="N8">
        <v>67195</v>
      </c>
      <c r="O8">
        <v>61019</v>
      </c>
      <c r="P8">
        <v>232.5</v>
      </c>
      <c r="Q8">
        <v>143.19999999999999</v>
      </c>
      <c r="R8">
        <v>77.98</v>
      </c>
      <c r="S8">
        <v>3002</v>
      </c>
      <c r="T8">
        <v>21.91</v>
      </c>
      <c r="U8">
        <v>8.7569999999999997</v>
      </c>
      <c r="V8">
        <v>0</v>
      </c>
      <c r="W8">
        <v>19.690000000000001</v>
      </c>
      <c r="X8">
        <v>18.29</v>
      </c>
      <c r="Y8">
        <v>20.8</v>
      </c>
      <c r="Z8">
        <v>10162</v>
      </c>
      <c r="AA8">
        <v>32676</v>
      </c>
      <c r="AB8">
        <v>3294</v>
      </c>
      <c r="AC8" s="5">
        <v>98287.7</v>
      </c>
      <c r="AD8" s="5">
        <v>21649.599999999999</v>
      </c>
      <c r="AE8" s="5">
        <v>4553.5</v>
      </c>
      <c r="AF8" s="5">
        <v>327052.79999999999</v>
      </c>
      <c r="AG8" s="5">
        <v>1013.7</v>
      </c>
      <c r="AH8" s="5"/>
      <c r="AI8" s="5">
        <v>2896.3</v>
      </c>
      <c r="AK8" s="5">
        <v>61094.5</v>
      </c>
      <c r="AM8" s="5">
        <v>261</v>
      </c>
      <c r="AN8" s="5">
        <v>491.5</v>
      </c>
      <c r="AO8" s="8">
        <v>75</v>
      </c>
      <c r="AP8" s="5">
        <v>3163.3</v>
      </c>
      <c r="AV8" s="8">
        <v>48.5</v>
      </c>
    </row>
    <row r="9" spans="1:51">
      <c r="A9" t="str">
        <f>VLOOKUP(D9,info!$A$2:$G$49,3,FALSE)</f>
        <v>Honda</v>
      </c>
      <c r="B9">
        <v>8</v>
      </c>
      <c r="C9" t="s">
        <v>30</v>
      </c>
      <c r="D9">
        <v>8096906</v>
      </c>
      <c r="E9" s="1" t="s">
        <v>32</v>
      </c>
      <c r="F9">
        <v>125698</v>
      </c>
      <c r="G9">
        <v>27975</v>
      </c>
      <c r="H9">
        <v>1614</v>
      </c>
      <c r="I9">
        <v>364931</v>
      </c>
      <c r="J9">
        <v>603.29999999999995</v>
      </c>
      <c r="K9">
        <v>329.2</v>
      </c>
      <c r="L9">
        <v>466.1</v>
      </c>
      <c r="M9">
        <v>23703</v>
      </c>
      <c r="N9">
        <v>60078</v>
      </c>
      <c r="O9">
        <v>54792</v>
      </c>
      <c r="P9">
        <v>68.23</v>
      </c>
      <c r="Q9">
        <v>67.42</v>
      </c>
      <c r="R9">
        <v>22.1</v>
      </c>
      <c r="S9">
        <v>2710</v>
      </c>
      <c r="T9">
        <v>10.57</v>
      </c>
      <c r="U9">
        <v>6.4939999999999998</v>
      </c>
      <c r="V9">
        <v>0</v>
      </c>
      <c r="W9">
        <v>14.5</v>
      </c>
      <c r="X9">
        <v>23.44</v>
      </c>
      <c r="Y9">
        <v>22.55</v>
      </c>
      <c r="Z9">
        <v>8026</v>
      </c>
      <c r="AA9">
        <v>31622</v>
      </c>
      <c r="AB9">
        <v>2159</v>
      </c>
      <c r="AC9" s="5">
        <v>99639.5</v>
      </c>
      <c r="AD9" s="5">
        <v>21001.3</v>
      </c>
      <c r="AE9" s="5">
        <v>559.9</v>
      </c>
      <c r="AF9" s="5">
        <v>338158.5</v>
      </c>
      <c r="AG9" s="5">
        <v>988.9</v>
      </c>
      <c r="AH9" s="5">
        <v>284.2</v>
      </c>
      <c r="AI9" s="5">
        <v>582.29999999999995</v>
      </c>
      <c r="AK9" s="5">
        <v>55490.7</v>
      </c>
      <c r="AM9" s="5"/>
      <c r="AN9" s="5">
        <v>313.5</v>
      </c>
      <c r="AO9" s="9">
        <v>0</v>
      </c>
      <c r="AP9" s="5">
        <v>3215.5</v>
      </c>
      <c r="AV9" s="8">
        <v>42.4</v>
      </c>
    </row>
    <row r="10" spans="1:51">
      <c r="A10" t="str">
        <f>VLOOKUP(D10,info!$A$2:$G$49,3,FALSE)</f>
        <v>Honda</v>
      </c>
      <c r="B10">
        <v>9</v>
      </c>
      <c r="C10" t="s">
        <v>30</v>
      </c>
      <c r="D10" s="2">
        <v>8096906</v>
      </c>
      <c r="E10" s="1" t="s">
        <v>34</v>
      </c>
      <c r="F10">
        <v>115074</v>
      </c>
      <c r="G10">
        <v>27758</v>
      </c>
      <c r="H10">
        <v>2912</v>
      </c>
      <c r="I10">
        <v>376071</v>
      </c>
      <c r="J10">
        <v>752.2</v>
      </c>
      <c r="K10">
        <v>500.2</v>
      </c>
      <c r="L10">
        <v>499.6</v>
      </c>
      <c r="M10">
        <v>23335</v>
      </c>
      <c r="N10">
        <v>63697</v>
      </c>
      <c r="O10">
        <v>57879</v>
      </c>
      <c r="P10">
        <v>75.78</v>
      </c>
      <c r="Q10">
        <v>345.4</v>
      </c>
      <c r="R10">
        <v>42.54</v>
      </c>
      <c r="S10">
        <v>3892</v>
      </c>
      <c r="T10">
        <v>31.88</v>
      </c>
      <c r="U10">
        <v>11.02</v>
      </c>
      <c r="V10">
        <v>0</v>
      </c>
      <c r="W10">
        <v>15.22</v>
      </c>
      <c r="X10">
        <v>16.02</v>
      </c>
      <c r="Y10">
        <v>25.99</v>
      </c>
      <c r="Z10">
        <v>8179</v>
      </c>
      <c r="AA10">
        <v>30424</v>
      </c>
      <c r="AB10">
        <v>2067</v>
      </c>
      <c r="AC10" s="5">
        <v>97750.1</v>
      </c>
      <c r="AD10" s="5">
        <v>20900</v>
      </c>
      <c r="AE10" s="5">
        <v>585</v>
      </c>
      <c r="AF10" s="5">
        <v>336015.7</v>
      </c>
      <c r="AG10" s="5">
        <v>877.9</v>
      </c>
      <c r="AH10" s="5"/>
      <c r="AI10" s="5">
        <v>606.79999999999995</v>
      </c>
      <c r="AK10" s="5">
        <v>56309.5</v>
      </c>
      <c r="AM10" s="5"/>
      <c r="AN10" s="5">
        <v>302.89999999999998</v>
      </c>
      <c r="AO10" s="9">
        <v>0</v>
      </c>
      <c r="AP10" s="5">
        <v>3424.2</v>
      </c>
      <c r="AV10" s="8">
        <v>46.6</v>
      </c>
    </row>
    <row r="11" spans="1:51">
      <c r="A11" t="str">
        <f>VLOOKUP(D11,info!$A$2:$G$49,3,FALSE)</f>
        <v>Ford</v>
      </c>
      <c r="B11">
        <v>10</v>
      </c>
      <c r="C11" t="s">
        <v>30</v>
      </c>
      <c r="D11">
        <v>6917835</v>
      </c>
      <c r="E11" s="1" t="s">
        <v>32</v>
      </c>
      <c r="F11">
        <v>115497</v>
      </c>
      <c r="G11">
        <v>31202</v>
      </c>
      <c r="H11">
        <v>6374</v>
      </c>
      <c r="I11">
        <v>387897</v>
      </c>
      <c r="J11">
        <v>612.6</v>
      </c>
      <c r="K11">
        <v>175.7</v>
      </c>
      <c r="L11">
        <v>2759</v>
      </c>
      <c r="M11">
        <v>27021</v>
      </c>
      <c r="N11">
        <v>64507</v>
      </c>
      <c r="O11">
        <v>57726</v>
      </c>
      <c r="P11">
        <v>241.1</v>
      </c>
      <c r="Q11">
        <v>397.4</v>
      </c>
      <c r="R11">
        <v>65.97</v>
      </c>
      <c r="S11">
        <v>6962</v>
      </c>
      <c r="T11">
        <v>46.19</v>
      </c>
      <c r="U11">
        <v>7.992</v>
      </c>
      <c r="V11">
        <v>11.27</v>
      </c>
      <c r="W11">
        <v>14.08</v>
      </c>
      <c r="X11">
        <v>2.3929999999999998</v>
      </c>
      <c r="Y11">
        <v>25.52</v>
      </c>
      <c r="Z11">
        <v>11581</v>
      </c>
      <c r="AA11">
        <v>27970</v>
      </c>
      <c r="AB11">
        <v>2854</v>
      </c>
      <c r="AC11" s="5">
        <v>93942.6</v>
      </c>
      <c r="AD11" s="5">
        <v>22486.3</v>
      </c>
      <c r="AE11" s="5">
        <v>3556.2</v>
      </c>
      <c r="AF11" s="5">
        <v>329332.8</v>
      </c>
      <c r="AG11" s="5">
        <v>825.5</v>
      </c>
      <c r="AH11" s="5"/>
      <c r="AI11" s="5">
        <v>2551.1999999999998</v>
      </c>
      <c r="AK11" s="5">
        <v>56053.599999999999</v>
      </c>
      <c r="AM11" s="5">
        <v>229.3</v>
      </c>
      <c r="AN11" s="5">
        <v>393.5</v>
      </c>
      <c r="AO11" s="8">
        <v>30.5</v>
      </c>
      <c r="AP11" s="5">
        <v>7555.3</v>
      </c>
      <c r="AV11" s="8">
        <v>67.3</v>
      </c>
    </row>
    <row r="12" spans="1:51">
      <c r="A12" t="str">
        <f>VLOOKUP(D12,info!$A$2:$G$49,3,FALSE)</f>
        <v>Honda</v>
      </c>
      <c r="B12">
        <v>11</v>
      </c>
      <c r="C12" t="s">
        <v>30</v>
      </c>
      <c r="D12" s="2">
        <v>8096906</v>
      </c>
      <c r="E12" s="1" t="s">
        <v>34</v>
      </c>
      <c r="F12">
        <v>123496</v>
      </c>
      <c r="G12">
        <v>29582</v>
      </c>
      <c r="H12">
        <v>1835</v>
      </c>
      <c r="I12">
        <v>400003</v>
      </c>
      <c r="J12">
        <v>651.79999999999995</v>
      </c>
      <c r="K12">
        <v>366.2</v>
      </c>
      <c r="L12">
        <v>498.8</v>
      </c>
      <c r="M12">
        <v>24587</v>
      </c>
      <c r="N12">
        <v>66312</v>
      </c>
      <c r="O12">
        <v>60030</v>
      </c>
      <c r="P12">
        <v>80</v>
      </c>
      <c r="Q12">
        <v>383.9</v>
      </c>
      <c r="R12">
        <v>64.17</v>
      </c>
      <c r="S12">
        <v>4092</v>
      </c>
      <c r="T12">
        <v>24.2</v>
      </c>
      <c r="U12">
        <v>8.8970000000000002</v>
      </c>
      <c r="V12">
        <v>15.82</v>
      </c>
      <c r="W12">
        <v>22.16</v>
      </c>
      <c r="X12">
        <v>26.21</v>
      </c>
      <c r="Y12">
        <v>11.63</v>
      </c>
      <c r="Z12">
        <v>10004</v>
      </c>
      <c r="AA12">
        <v>32471</v>
      </c>
      <c r="AB12">
        <v>2256</v>
      </c>
      <c r="AC12" s="5">
        <v>97539.5</v>
      </c>
      <c r="AD12" s="5">
        <v>21293.599999999999</v>
      </c>
      <c r="AE12" s="5">
        <v>383.7</v>
      </c>
      <c r="AF12" s="5">
        <v>336598.4</v>
      </c>
      <c r="AG12" s="5">
        <v>935.9</v>
      </c>
      <c r="AH12" s="5"/>
      <c r="AI12" s="5">
        <v>579.29999999999995</v>
      </c>
      <c r="AK12" s="5">
        <v>55585.599999999999</v>
      </c>
      <c r="AM12" s="5"/>
      <c r="AN12" s="5">
        <v>370.9</v>
      </c>
      <c r="AO12" s="11">
        <v>0</v>
      </c>
      <c r="AP12" s="5">
        <v>3201.2</v>
      </c>
      <c r="AV12" s="8">
        <v>49.8</v>
      </c>
    </row>
    <row r="13" spans="1:51">
      <c r="A13" t="str">
        <f>VLOOKUP(D13,info!$A$2:$G$49,3,FALSE)</f>
        <v>Daewoo</v>
      </c>
      <c r="B13">
        <v>12</v>
      </c>
      <c r="C13" t="s">
        <v>30</v>
      </c>
      <c r="D13">
        <v>8501017</v>
      </c>
      <c r="E13" s="1" t="s">
        <v>34</v>
      </c>
      <c r="F13">
        <v>112212</v>
      </c>
      <c r="G13">
        <v>28485</v>
      </c>
      <c r="H13">
        <v>7314</v>
      </c>
      <c r="I13">
        <v>368190</v>
      </c>
      <c r="J13">
        <v>653</v>
      </c>
      <c r="K13">
        <v>97.07</v>
      </c>
      <c r="L13">
        <v>4668</v>
      </c>
      <c r="M13">
        <v>31960</v>
      </c>
      <c r="N13">
        <v>59334</v>
      </c>
      <c r="O13">
        <v>53817</v>
      </c>
      <c r="P13">
        <v>215.2</v>
      </c>
      <c r="Q13">
        <v>255.1</v>
      </c>
      <c r="R13">
        <v>62.02</v>
      </c>
      <c r="S13">
        <v>3624</v>
      </c>
      <c r="T13">
        <v>21.05</v>
      </c>
      <c r="U13">
        <v>9.8780000000000001</v>
      </c>
      <c r="V13">
        <v>0</v>
      </c>
      <c r="W13">
        <v>24.09</v>
      </c>
      <c r="X13">
        <v>28.46</v>
      </c>
      <c r="Y13">
        <v>10.18</v>
      </c>
      <c r="Z13">
        <v>9327</v>
      </c>
      <c r="AA13">
        <v>29387</v>
      </c>
      <c r="AB13">
        <v>3823</v>
      </c>
      <c r="AC13" s="5">
        <v>95676.2</v>
      </c>
      <c r="AD13" s="5">
        <v>21884.9</v>
      </c>
      <c r="AE13" s="5">
        <v>4783.5</v>
      </c>
      <c r="AF13" s="5">
        <v>334495.59999999998</v>
      </c>
      <c r="AG13" s="5">
        <v>1068.5999999999999</v>
      </c>
      <c r="AH13" s="5"/>
      <c r="AI13" s="5">
        <v>4363.6000000000004</v>
      </c>
      <c r="AK13" s="5">
        <v>52075.9</v>
      </c>
      <c r="AM13" s="5">
        <v>200.8</v>
      </c>
      <c r="AN13" s="7">
        <v>346.32000000000005</v>
      </c>
      <c r="AO13" s="8">
        <v>28</v>
      </c>
      <c r="AP13" s="5">
        <v>3061.3</v>
      </c>
      <c r="AV13" s="8">
        <v>85</v>
      </c>
    </row>
    <row r="14" spans="1:51">
      <c r="A14" t="str">
        <f>VLOOKUP(D14,info!$A$2:$G$49,3,FALSE)</f>
        <v>Peugeot</v>
      </c>
      <c r="B14">
        <v>14</v>
      </c>
      <c r="C14" t="s">
        <v>30</v>
      </c>
      <c r="D14">
        <v>9367324</v>
      </c>
      <c r="E14" s="1" t="s">
        <v>34</v>
      </c>
      <c r="F14">
        <v>132119</v>
      </c>
      <c r="G14">
        <v>31421</v>
      </c>
      <c r="H14">
        <v>7687</v>
      </c>
      <c r="I14">
        <v>388868</v>
      </c>
      <c r="J14">
        <v>751.3</v>
      </c>
      <c r="K14">
        <v>362.4</v>
      </c>
      <c r="L14">
        <v>3346</v>
      </c>
      <c r="M14">
        <v>33412</v>
      </c>
      <c r="N14">
        <v>73509</v>
      </c>
      <c r="O14">
        <v>66347</v>
      </c>
      <c r="P14">
        <v>257.89999999999998</v>
      </c>
      <c r="Q14">
        <v>151</v>
      </c>
      <c r="R14">
        <v>74.95</v>
      </c>
      <c r="S14">
        <v>3173</v>
      </c>
      <c r="T14">
        <v>20.3</v>
      </c>
      <c r="U14">
        <v>6.2729999999999997</v>
      </c>
      <c r="V14">
        <v>0</v>
      </c>
      <c r="W14">
        <v>22.37</v>
      </c>
      <c r="X14">
        <v>15.12</v>
      </c>
      <c r="Y14">
        <v>23.57</v>
      </c>
      <c r="Z14">
        <v>11173</v>
      </c>
      <c r="AA14">
        <v>36340</v>
      </c>
      <c r="AB14">
        <v>3696</v>
      </c>
      <c r="AC14" s="5">
        <v>102055.2</v>
      </c>
      <c r="AD14" s="5">
        <v>21724.1</v>
      </c>
      <c r="AE14" s="5">
        <v>4613.7</v>
      </c>
      <c r="AF14" s="5">
        <v>331468.2</v>
      </c>
      <c r="AG14" s="5">
        <v>881.1</v>
      </c>
      <c r="AH14" s="5"/>
      <c r="AI14" s="5">
        <v>2893.3</v>
      </c>
      <c r="AK14" s="5">
        <v>60059.199999999997</v>
      </c>
      <c r="AM14" s="5">
        <v>248.3</v>
      </c>
      <c r="AN14" s="5">
        <v>441.2</v>
      </c>
      <c r="AO14" s="8">
        <v>68.7</v>
      </c>
      <c r="AP14" s="5">
        <v>3024</v>
      </c>
      <c r="AV14" s="8"/>
    </row>
    <row r="15" spans="1:51">
      <c r="A15" t="str">
        <f>VLOOKUP(D15,info!$A$2:$G$49,3,FALSE)</f>
        <v>Ford</v>
      </c>
      <c r="B15">
        <v>15</v>
      </c>
      <c r="C15" t="s">
        <v>30</v>
      </c>
      <c r="D15">
        <v>6917835</v>
      </c>
      <c r="E15" s="1" t="s">
        <v>34</v>
      </c>
      <c r="F15">
        <v>129921</v>
      </c>
      <c r="G15">
        <v>33740</v>
      </c>
      <c r="H15">
        <v>6700</v>
      </c>
      <c r="I15">
        <v>412414</v>
      </c>
      <c r="J15">
        <v>600.4</v>
      </c>
      <c r="K15">
        <v>147</v>
      </c>
      <c r="L15">
        <v>2801</v>
      </c>
      <c r="M15">
        <v>29818</v>
      </c>
      <c r="N15">
        <v>66157</v>
      </c>
      <c r="O15">
        <v>59147</v>
      </c>
      <c r="P15">
        <v>262.60000000000002</v>
      </c>
      <c r="Q15">
        <v>259.2</v>
      </c>
      <c r="R15">
        <v>58.92</v>
      </c>
      <c r="S15">
        <v>6444</v>
      </c>
      <c r="T15">
        <v>32.6</v>
      </c>
      <c r="U15">
        <v>13.01</v>
      </c>
      <c r="V15">
        <v>20.58</v>
      </c>
      <c r="W15">
        <v>27.39</v>
      </c>
      <c r="X15">
        <v>18.37</v>
      </c>
      <c r="Y15">
        <v>61.95</v>
      </c>
      <c r="Z15">
        <v>14090</v>
      </c>
      <c r="AA15">
        <v>30906</v>
      </c>
      <c r="AB15">
        <v>3253</v>
      </c>
      <c r="AC15" s="5">
        <v>94959.7</v>
      </c>
      <c r="AD15" s="5">
        <v>22494.6</v>
      </c>
      <c r="AE15" s="5">
        <v>3407.2</v>
      </c>
      <c r="AF15" s="5">
        <v>329780.8</v>
      </c>
      <c r="AG15" s="5">
        <v>811.3</v>
      </c>
      <c r="AH15" s="5"/>
      <c r="AI15" s="5">
        <v>2589.9</v>
      </c>
      <c r="AK15" s="5">
        <v>53157</v>
      </c>
      <c r="AM15" s="5">
        <v>265.7</v>
      </c>
      <c r="AN15" s="5">
        <v>491.5</v>
      </c>
      <c r="AO15" s="8">
        <v>27.6</v>
      </c>
      <c r="AP15" s="5">
        <v>6546.1</v>
      </c>
      <c r="AV15" s="5">
        <v>113</v>
      </c>
    </row>
    <row r="16" spans="1:51">
      <c r="A16" t="str">
        <f>VLOOKUP(D16,info!$A$2:$G$49,3,FALSE)</f>
        <v>Hyundai</v>
      </c>
      <c r="B16">
        <v>16</v>
      </c>
      <c r="C16" t="s">
        <v>30</v>
      </c>
      <c r="D16">
        <v>6316720</v>
      </c>
      <c r="E16" s="1" t="s">
        <v>34</v>
      </c>
      <c r="F16">
        <v>114587</v>
      </c>
      <c r="G16">
        <v>29061</v>
      </c>
      <c r="H16">
        <v>7977</v>
      </c>
      <c r="I16">
        <v>366277</v>
      </c>
      <c r="J16">
        <v>742.1</v>
      </c>
      <c r="K16">
        <v>441.7</v>
      </c>
      <c r="L16">
        <v>3201</v>
      </c>
      <c r="M16">
        <v>33336</v>
      </c>
      <c r="N16">
        <v>72831</v>
      </c>
      <c r="O16">
        <v>66169</v>
      </c>
      <c r="P16">
        <v>237.5</v>
      </c>
      <c r="Q16">
        <v>374.3</v>
      </c>
      <c r="R16">
        <v>107.3</v>
      </c>
      <c r="S16">
        <v>4100</v>
      </c>
      <c r="T16">
        <v>42.47</v>
      </c>
      <c r="U16">
        <v>14.66</v>
      </c>
      <c r="V16">
        <v>11.19</v>
      </c>
      <c r="W16">
        <v>25.09</v>
      </c>
      <c r="X16">
        <v>36.72</v>
      </c>
      <c r="Y16">
        <v>43.55</v>
      </c>
      <c r="Z16">
        <v>11163</v>
      </c>
      <c r="AA16">
        <v>35293</v>
      </c>
      <c r="AB16">
        <v>3699</v>
      </c>
      <c r="AC16" s="5">
        <v>101243.2</v>
      </c>
      <c r="AD16" s="5">
        <v>21555</v>
      </c>
      <c r="AE16" s="5">
        <v>4322.8999999999996</v>
      </c>
      <c r="AF16" s="5">
        <v>332514.7</v>
      </c>
      <c r="AG16" s="5">
        <v>1019.2</v>
      </c>
      <c r="AH16" s="5"/>
      <c r="AI16" s="5">
        <v>2846.1</v>
      </c>
      <c r="AK16" s="5">
        <v>61108.3</v>
      </c>
      <c r="AM16" s="5">
        <v>211.1</v>
      </c>
      <c r="AN16" s="5">
        <v>440.3</v>
      </c>
      <c r="AO16" s="8">
        <v>84.3</v>
      </c>
      <c r="AP16" s="5">
        <v>3118.8</v>
      </c>
      <c r="AV16" s="8">
        <v>47.1</v>
      </c>
    </row>
    <row r="17" spans="1:48">
      <c r="A17" t="str">
        <f>VLOOKUP(D17,info!$A$2:$G$49,3,FALSE)</f>
        <v>Hyundai</v>
      </c>
      <c r="B17">
        <v>17</v>
      </c>
      <c r="C17" t="s">
        <v>30</v>
      </c>
      <c r="D17">
        <v>6316720</v>
      </c>
      <c r="E17" s="1" t="s">
        <v>34</v>
      </c>
      <c r="F17">
        <v>120465</v>
      </c>
      <c r="G17">
        <v>29641</v>
      </c>
      <c r="H17">
        <v>7314</v>
      </c>
      <c r="I17">
        <v>380756</v>
      </c>
      <c r="J17">
        <v>852.2</v>
      </c>
      <c r="K17">
        <v>518</v>
      </c>
      <c r="L17">
        <v>3247</v>
      </c>
      <c r="M17">
        <v>32455</v>
      </c>
      <c r="N17">
        <v>74011</v>
      </c>
      <c r="O17">
        <v>66203</v>
      </c>
      <c r="P17">
        <v>240.8</v>
      </c>
      <c r="Q17">
        <v>371.1</v>
      </c>
      <c r="R17">
        <v>93.73</v>
      </c>
      <c r="S17">
        <v>3912</v>
      </c>
      <c r="T17">
        <v>22.88</v>
      </c>
      <c r="U17">
        <v>16.95</v>
      </c>
      <c r="V17">
        <v>35.270000000000003</v>
      </c>
      <c r="W17">
        <v>19.93</v>
      </c>
      <c r="X17">
        <v>8.9730000000000008</v>
      </c>
      <c r="Y17">
        <v>15.38</v>
      </c>
      <c r="Z17">
        <v>11986</v>
      </c>
      <c r="AA17">
        <v>34008</v>
      </c>
      <c r="AB17">
        <v>3559</v>
      </c>
      <c r="AC17" s="5">
        <v>101111.4</v>
      </c>
      <c r="AD17" s="5">
        <v>21440</v>
      </c>
      <c r="AE17" s="5">
        <v>4194.8999999999996</v>
      </c>
      <c r="AF17" s="5">
        <v>329176.90000000002</v>
      </c>
      <c r="AG17" s="5">
        <v>1063.2</v>
      </c>
      <c r="AH17" s="5"/>
      <c r="AI17" s="5">
        <v>2827.2</v>
      </c>
      <c r="AK17" s="5">
        <v>60769.9</v>
      </c>
      <c r="AM17" s="5">
        <v>236.8</v>
      </c>
      <c r="AN17" s="5">
        <v>494.5</v>
      </c>
      <c r="AO17" s="8">
        <v>80</v>
      </c>
      <c r="AP17" s="5">
        <v>3038.1</v>
      </c>
      <c r="AV17" s="8">
        <v>51.7</v>
      </c>
    </row>
    <row r="18" spans="1:48">
      <c r="A18" t="str">
        <f>VLOOKUP(D18,info!$A$2:$G$49,3,FALSE)</f>
        <v>Honda</v>
      </c>
      <c r="B18">
        <v>18</v>
      </c>
      <c r="C18" t="s">
        <v>30</v>
      </c>
      <c r="D18">
        <v>8096906</v>
      </c>
      <c r="E18" s="1" t="s">
        <v>32</v>
      </c>
      <c r="F18">
        <v>126316</v>
      </c>
      <c r="G18">
        <v>29633</v>
      </c>
      <c r="H18">
        <v>2125</v>
      </c>
      <c r="I18">
        <v>398969</v>
      </c>
      <c r="J18">
        <v>729.7</v>
      </c>
      <c r="K18">
        <v>387.7</v>
      </c>
      <c r="L18">
        <v>460</v>
      </c>
      <c r="M18">
        <v>24472</v>
      </c>
      <c r="N18">
        <v>65219</v>
      </c>
      <c r="O18">
        <v>59040</v>
      </c>
      <c r="P18">
        <v>73.94</v>
      </c>
      <c r="Q18">
        <v>271.89999999999998</v>
      </c>
      <c r="R18">
        <v>34.01</v>
      </c>
      <c r="S18">
        <v>3601</v>
      </c>
      <c r="T18">
        <v>16.64</v>
      </c>
      <c r="U18">
        <v>15.01</v>
      </c>
      <c r="V18">
        <v>2.0539999999999998</v>
      </c>
      <c r="W18">
        <v>11.88</v>
      </c>
      <c r="X18">
        <v>18.48</v>
      </c>
      <c r="Y18">
        <v>13.93</v>
      </c>
      <c r="Z18">
        <v>8389</v>
      </c>
      <c r="AA18">
        <v>32477</v>
      </c>
      <c r="AB18">
        <v>2232</v>
      </c>
      <c r="AC18" s="5">
        <v>98883.5</v>
      </c>
      <c r="AD18" s="5">
        <v>21007.3</v>
      </c>
      <c r="AE18" s="5">
        <v>513.4</v>
      </c>
      <c r="AF18" s="5">
        <v>337401.8</v>
      </c>
      <c r="AG18" s="5">
        <v>935.8</v>
      </c>
      <c r="AH18" s="5"/>
      <c r="AI18" s="5">
        <v>698</v>
      </c>
      <c r="AK18" s="5">
        <v>54019.8</v>
      </c>
      <c r="AM18" s="5"/>
      <c r="AN18" s="5">
        <v>461.3</v>
      </c>
      <c r="AO18" s="9">
        <v>0</v>
      </c>
      <c r="AP18" s="5">
        <v>3138.3</v>
      </c>
      <c r="AV18" s="8">
        <v>42.6</v>
      </c>
    </row>
    <row r="19" spans="1:48">
      <c r="A19" t="str">
        <f>VLOOKUP(D19,info!$A$2:$G$49,3,FALSE)</f>
        <v>Fiat</v>
      </c>
      <c r="B19">
        <v>20</v>
      </c>
      <c r="C19" t="s">
        <v>30</v>
      </c>
      <c r="D19">
        <v>5751910</v>
      </c>
      <c r="E19" s="1" t="s">
        <v>34</v>
      </c>
      <c r="F19">
        <v>116638</v>
      </c>
      <c r="G19">
        <v>28481</v>
      </c>
      <c r="H19">
        <v>4984</v>
      </c>
      <c r="I19">
        <v>381510</v>
      </c>
      <c r="J19">
        <v>481.8</v>
      </c>
      <c r="K19">
        <v>151.4</v>
      </c>
      <c r="L19">
        <v>2902</v>
      </c>
      <c r="M19">
        <v>27032</v>
      </c>
      <c r="N19">
        <v>59301</v>
      </c>
      <c r="O19">
        <v>53445</v>
      </c>
      <c r="P19">
        <v>255.1</v>
      </c>
      <c r="Q19">
        <v>361.8</v>
      </c>
      <c r="R19">
        <v>72.33</v>
      </c>
      <c r="S19">
        <v>5781</v>
      </c>
      <c r="T19">
        <v>28.95</v>
      </c>
      <c r="U19">
        <v>13.94</v>
      </c>
      <c r="V19">
        <v>3.0009999999999999</v>
      </c>
      <c r="W19">
        <v>18.61</v>
      </c>
      <c r="X19">
        <v>14.61</v>
      </c>
      <c r="Y19">
        <v>14.49</v>
      </c>
      <c r="Z19">
        <v>11458</v>
      </c>
      <c r="AA19">
        <v>27152</v>
      </c>
      <c r="AB19">
        <v>2917</v>
      </c>
      <c r="AC19" s="5">
        <v>98565</v>
      </c>
      <c r="AD19" s="5">
        <v>21821.1</v>
      </c>
      <c r="AE19" s="5">
        <v>2703</v>
      </c>
      <c r="AF19" s="5">
        <v>334466</v>
      </c>
      <c r="AG19" s="5">
        <v>824.8</v>
      </c>
      <c r="AH19" s="5"/>
      <c r="AI19" s="5">
        <v>2877.4</v>
      </c>
      <c r="AK19" s="5">
        <v>48992.9</v>
      </c>
      <c r="AM19" s="5">
        <v>255.6</v>
      </c>
      <c r="AN19" s="5">
        <v>410.7</v>
      </c>
      <c r="AO19" s="8">
        <v>48.4</v>
      </c>
      <c r="AP19" s="5">
        <v>5142.6000000000004</v>
      </c>
      <c r="AV19" s="8"/>
    </row>
    <row r="20" spans="1:48">
      <c r="A20" t="str">
        <f>VLOOKUP(D20,info!$A$2:$G$49,3,FALSE)</f>
        <v>Hyundai</v>
      </c>
      <c r="B20">
        <v>21</v>
      </c>
      <c r="C20" t="s">
        <v>30</v>
      </c>
      <c r="D20">
        <v>5826120</v>
      </c>
      <c r="E20" s="1" t="s">
        <v>52</v>
      </c>
      <c r="F20">
        <v>102694</v>
      </c>
      <c r="G20">
        <v>25870</v>
      </c>
      <c r="H20">
        <v>11787</v>
      </c>
      <c r="I20">
        <v>332531</v>
      </c>
      <c r="J20">
        <v>733.4</v>
      </c>
      <c r="K20">
        <v>428.4</v>
      </c>
      <c r="L20">
        <v>2453</v>
      </c>
      <c r="M20">
        <v>26542</v>
      </c>
      <c r="N20">
        <v>68586</v>
      </c>
      <c r="O20">
        <v>61941</v>
      </c>
      <c r="P20">
        <v>237</v>
      </c>
      <c r="Q20">
        <v>388.9</v>
      </c>
      <c r="R20">
        <v>121.6</v>
      </c>
      <c r="S20">
        <v>4104</v>
      </c>
      <c r="T20">
        <v>32.799999999999997</v>
      </c>
      <c r="U20">
        <v>11.64</v>
      </c>
      <c r="V20">
        <v>0</v>
      </c>
      <c r="W20">
        <v>20.98</v>
      </c>
      <c r="X20">
        <v>9.5289999999999999</v>
      </c>
      <c r="Y20">
        <v>25.66</v>
      </c>
      <c r="Z20">
        <v>4340</v>
      </c>
      <c r="AA20">
        <v>31493</v>
      </c>
      <c r="AB20">
        <v>2750</v>
      </c>
      <c r="AC20" s="5">
        <v>100273.7</v>
      </c>
      <c r="AD20" s="5">
        <v>21366.400000000001</v>
      </c>
      <c r="AE20" s="5">
        <v>4176.1000000000004</v>
      </c>
      <c r="AF20" s="5">
        <v>324776.09999999998</v>
      </c>
      <c r="AG20" s="5">
        <v>1088.4000000000001</v>
      </c>
      <c r="AH20" s="5"/>
      <c r="AI20" s="5">
        <v>2451.8000000000002</v>
      </c>
      <c r="AK20" s="5">
        <v>61971.1</v>
      </c>
      <c r="AM20" s="5">
        <v>265</v>
      </c>
      <c r="AN20" s="5">
        <v>527</v>
      </c>
      <c r="AO20" s="8">
        <v>81.599999999999994</v>
      </c>
      <c r="AP20" s="5">
        <v>3224.1</v>
      </c>
      <c r="AV20" s="8">
        <v>50.2</v>
      </c>
    </row>
    <row r="21" spans="1:48">
      <c r="A21" t="str">
        <f>VLOOKUP(D21,info!$A$2:$G$49,3,FALSE)</f>
        <v>Daewoo</v>
      </c>
      <c r="B21">
        <v>22</v>
      </c>
      <c r="C21" t="s">
        <v>30</v>
      </c>
      <c r="D21">
        <v>8501017</v>
      </c>
      <c r="E21" s="1" t="s">
        <v>32</v>
      </c>
      <c r="F21">
        <v>109879</v>
      </c>
      <c r="G21">
        <v>27956</v>
      </c>
      <c r="H21">
        <v>7257</v>
      </c>
      <c r="I21">
        <v>364818</v>
      </c>
      <c r="J21">
        <v>799.7</v>
      </c>
      <c r="K21">
        <v>162.19999999999999</v>
      </c>
      <c r="L21">
        <v>4696</v>
      </c>
      <c r="M21">
        <v>31443</v>
      </c>
      <c r="N21">
        <v>58980</v>
      </c>
      <c r="O21">
        <v>53249</v>
      </c>
      <c r="P21">
        <v>209.1</v>
      </c>
      <c r="Q21">
        <v>275.60000000000002</v>
      </c>
      <c r="R21">
        <v>64.52</v>
      </c>
      <c r="S21">
        <v>3586</v>
      </c>
      <c r="T21">
        <v>25.88</v>
      </c>
      <c r="U21">
        <v>8.0229999999999997</v>
      </c>
      <c r="V21">
        <v>0</v>
      </c>
      <c r="W21">
        <v>20.04</v>
      </c>
      <c r="X21">
        <v>9.7189999999999994</v>
      </c>
      <c r="Y21">
        <v>25.36</v>
      </c>
      <c r="Z21">
        <v>9646</v>
      </c>
      <c r="AA21">
        <v>29239</v>
      </c>
      <c r="AB21">
        <v>3908</v>
      </c>
      <c r="AC21" s="5">
        <v>97676.1</v>
      </c>
      <c r="AD21" s="5">
        <v>21750.7</v>
      </c>
      <c r="AE21" s="5">
        <v>4565.8</v>
      </c>
      <c r="AF21" s="5">
        <v>335356.40000000002</v>
      </c>
      <c r="AG21" s="5">
        <v>1126.4000000000001</v>
      </c>
      <c r="AH21" s="5"/>
      <c r="AI21" s="5">
        <v>4465.3</v>
      </c>
      <c r="AK21" s="5">
        <v>51787.4</v>
      </c>
      <c r="AM21" s="5">
        <v>245</v>
      </c>
      <c r="AN21" s="5">
        <v>385.3</v>
      </c>
      <c r="AO21" s="8">
        <v>25.8</v>
      </c>
      <c r="AP21" s="5">
        <v>3117.3</v>
      </c>
      <c r="AV21" s="8">
        <v>54</v>
      </c>
    </row>
    <row r="22" spans="1:48">
      <c r="A22" t="str">
        <f>VLOOKUP(D22,info!$A$2:$G$49,3,FALSE)</f>
        <v>Daewoo</v>
      </c>
      <c r="B22">
        <v>23</v>
      </c>
      <c r="C22" t="s">
        <v>30</v>
      </c>
      <c r="D22">
        <v>8501017</v>
      </c>
      <c r="E22" s="1" t="s">
        <v>34</v>
      </c>
      <c r="F22">
        <v>116802</v>
      </c>
      <c r="G22">
        <v>29019</v>
      </c>
      <c r="H22">
        <v>7395</v>
      </c>
      <c r="I22">
        <v>371677</v>
      </c>
      <c r="J22">
        <v>818.3</v>
      </c>
      <c r="K22">
        <v>106.6</v>
      </c>
      <c r="L22">
        <v>4659</v>
      </c>
      <c r="M22">
        <v>32272</v>
      </c>
      <c r="N22">
        <v>59157</v>
      </c>
      <c r="O22">
        <v>53750</v>
      </c>
      <c r="P22">
        <v>215.2</v>
      </c>
      <c r="Q22">
        <v>163.80000000000001</v>
      </c>
      <c r="R22">
        <v>46.94</v>
      </c>
      <c r="S22">
        <v>3191</v>
      </c>
      <c r="T22">
        <v>26.06</v>
      </c>
      <c r="U22">
        <v>7.6689999999999996</v>
      </c>
      <c r="V22">
        <v>5.24</v>
      </c>
      <c r="W22">
        <v>19.09</v>
      </c>
      <c r="X22">
        <v>16.760000000000002</v>
      </c>
      <c r="Y22">
        <v>30.04</v>
      </c>
      <c r="Z22">
        <v>10495</v>
      </c>
      <c r="AA22">
        <v>30603</v>
      </c>
      <c r="AB22">
        <v>3852</v>
      </c>
      <c r="AC22" s="5">
        <v>97187.9</v>
      </c>
      <c r="AD22" s="5">
        <v>21675.7</v>
      </c>
      <c r="AE22" s="5">
        <v>4713.2</v>
      </c>
      <c r="AF22" s="5">
        <v>335919.5</v>
      </c>
      <c r="AG22" s="5">
        <v>988</v>
      </c>
      <c r="AH22" s="5"/>
      <c r="AI22" s="5">
        <v>4261.1000000000004</v>
      </c>
      <c r="AK22" s="5">
        <v>51026.2</v>
      </c>
      <c r="AM22" s="5">
        <v>230</v>
      </c>
      <c r="AN22" s="5">
        <v>391.8</v>
      </c>
      <c r="AO22" s="8">
        <v>32.5</v>
      </c>
      <c r="AP22" s="5">
        <v>3173.7</v>
      </c>
      <c r="AV22" s="8">
        <v>60.2</v>
      </c>
    </row>
    <row r="23" spans="1:48">
      <c r="A23" t="str">
        <f>VLOOKUP(D23,info!$A$2:$G$49,3,FALSE)</f>
        <v>Mitsubishi</v>
      </c>
      <c r="B23">
        <v>24</v>
      </c>
      <c r="C23" t="s">
        <v>30</v>
      </c>
      <c r="D23">
        <v>7027220</v>
      </c>
      <c r="E23" s="1" t="s">
        <v>32</v>
      </c>
      <c r="F23">
        <v>129829</v>
      </c>
      <c r="G23">
        <v>35131</v>
      </c>
      <c r="H23">
        <v>12039</v>
      </c>
      <c r="I23">
        <v>400736</v>
      </c>
      <c r="J23">
        <v>513.1</v>
      </c>
      <c r="K23">
        <v>97.41</v>
      </c>
      <c r="L23">
        <v>2513</v>
      </c>
      <c r="M23">
        <v>30176</v>
      </c>
      <c r="N23">
        <v>64289</v>
      </c>
      <c r="O23">
        <v>58013</v>
      </c>
      <c r="P23">
        <v>336.3</v>
      </c>
      <c r="Q23">
        <v>106</v>
      </c>
      <c r="R23">
        <v>136.6</v>
      </c>
      <c r="S23">
        <v>2355</v>
      </c>
      <c r="T23">
        <v>20.18</v>
      </c>
      <c r="U23">
        <v>4.4550000000000001</v>
      </c>
      <c r="V23">
        <v>12.11</v>
      </c>
      <c r="W23">
        <v>22.47</v>
      </c>
      <c r="X23">
        <v>25.2</v>
      </c>
      <c r="Y23">
        <v>55.26</v>
      </c>
      <c r="Z23">
        <v>10902</v>
      </c>
      <c r="AA23">
        <v>33062</v>
      </c>
      <c r="AB23">
        <v>3328</v>
      </c>
      <c r="AC23" s="5">
        <v>96926.9</v>
      </c>
      <c r="AD23" s="5">
        <v>23692.9</v>
      </c>
      <c r="AE23" s="5">
        <v>7288.2</v>
      </c>
      <c r="AF23" s="5">
        <v>333055.90000000002</v>
      </c>
      <c r="AG23" s="5">
        <v>690.4</v>
      </c>
      <c r="AH23" s="5"/>
      <c r="AI23" s="5">
        <v>2277.6999999999998</v>
      </c>
      <c r="AK23" s="5">
        <v>52322.2</v>
      </c>
      <c r="AM23" s="5">
        <v>313.10000000000002</v>
      </c>
      <c r="AN23" s="5">
        <v>430.2</v>
      </c>
      <c r="AO23" s="5">
        <v>128.5</v>
      </c>
      <c r="AP23" s="5">
        <v>2370.1999999999998</v>
      </c>
      <c r="AV23" s="8">
        <v>62.5</v>
      </c>
    </row>
    <row r="24" spans="1:48">
      <c r="A24" t="str">
        <f>VLOOKUP(D24,info!$A$2:$G$49,3,FALSE)</f>
        <v>Subaru</v>
      </c>
      <c r="B24">
        <v>25</v>
      </c>
      <c r="C24" t="s">
        <v>30</v>
      </c>
      <c r="D24">
        <v>2675308</v>
      </c>
      <c r="E24" s="1" t="s">
        <v>32</v>
      </c>
      <c r="F24">
        <v>120756</v>
      </c>
      <c r="G24">
        <v>29037</v>
      </c>
      <c r="H24">
        <v>10612</v>
      </c>
      <c r="I24">
        <v>381853</v>
      </c>
      <c r="J24">
        <v>678.2</v>
      </c>
      <c r="K24">
        <v>342.9</v>
      </c>
      <c r="L24">
        <v>5437</v>
      </c>
      <c r="M24">
        <v>35647</v>
      </c>
      <c r="N24">
        <v>66084</v>
      </c>
      <c r="O24">
        <v>59866</v>
      </c>
      <c r="P24">
        <v>167</v>
      </c>
      <c r="Q24">
        <v>255.4</v>
      </c>
      <c r="R24">
        <v>70.34</v>
      </c>
      <c r="S24">
        <v>2770</v>
      </c>
      <c r="T24">
        <v>25.82</v>
      </c>
      <c r="U24">
        <v>11.73</v>
      </c>
      <c r="V24">
        <v>0</v>
      </c>
      <c r="W24">
        <v>27.94</v>
      </c>
      <c r="X24">
        <v>25.28</v>
      </c>
      <c r="Y24">
        <v>8.9629999999999992</v>
      </c>
      <c r="Z24">
        <v>4070</v>
      </c>
      <c r="AA24">
        <v>35248</v>
      </c>
      <c r="AB24">
        <v>4291</v>
      </c>
      <c r="AC24" s="5">
        <v>99245.5</v>
      </c>
      <c r="AD24" s="5">
        <v>20596.400000000001</v>
      </c>
      <c r="AE24" s="5">
        <v>6496</v>
      </c>
      <c r="AF24" s="5">
        <v>333363.3</v>
      </c>
      <c r="AG24" s="5">
        <v>948.8</v>
      </c>
      <c r="AH24" s="5"/>
      <c r="AI24" s="5">
        <v>4720.5</v>
      </c>
      <c r="AK24" s="5">
        <v>55569.599999999999</v>
      </c>
      <c r="AM24" s="5">
        <v>201.8</v>
      </c>
      <c r="AN24" s="5">
        <v>294.7</v>
      </c>
      <c r="AO24" s="8">
        <v>68.5</v>
      </c>
      <c r="AP24" s="5">
        <v>2148</v>
      </c>
      <c r="AV24" s="8">
        <v>60.7</v>
      </c>
    </row>
    <row r="25" spans="1:48">
      <c r="A25" t="str">
        <f>VLOOKUP(D25,info!$A$2:$G$49,3,FALSE)</f>
        <v>Mitsubishi</v>
      </c>
      <c r="B25">
        <v>26</v>
      </c>
      <c r="C25" t="s">
        <v>30</v>
      </c>
      <c r="D25">
        <v>7027220</v>
      </c>
      <c r="E25" s="1" t="s">
        <v>34</v>
      </c>
      <c r="F25">
        <v>114750</v>
      </c>
      <c r="G25">
        <v>32789</v>
      </c>
      <c r="H25">
        <v>11189</v>
      </c>
      <c r="I25">
        <v>368880</v>
      </c>
      <c r="J25">
        <v>672.2</v>
      </c>
      <c r="K25">
        <v>188.4</v>
      </c>
      <c r="L25">
        <v>4387</v>
      </c>
      <c r="M25">
        <v>30898</v>
      </c>
      <c r="N25">
        <v>59707</v>
      </c>
      <c r="O25">
        <v>53787</v>
      </c>
      <c r="P25">
        <v>460.4</v>
      </c>
      <c r="Q25">
        <v>324.3</v>
      </c>
      <c r="R25">
        <v>123.5</v>
      </c>
      <c r="S25">
        <v>3069</v>
      </c>
      <c r="T25">
        <v>23.04</v>
      </c>
      <c r="U25">
        <v>11.91</v>
      </c>
      <c r="V25">
        <v>7.3220000000000001</v>
      </c>
      <c r="W25">
        <v>23.59</v>
      </c>
      <c r="X25">
        <v>5.8860000000000001</v>
      </c>
      <c r="Y25">
        <v>30.54</v>
      </c>
      <c r="Z25">
        <v>10870</v>
      </c>
      <c r="AA25">
        <v>28194</v>
      </c>
      <c r="AB25">
        <v>3634</v>
      </c>
      <c r="AC25" s="5">
        <v>98699</v>
      </c>
      <c r="AD25" s="5">
        <v>24567.9</v>
      </c>
      <c r="AE25" s="5">
        <v>7288.4</v>
      </c>
      <c r="AF25" s="5">
        <v>330298.09999999998</v>
      </c>
      <c r="AG25" s="5">
        <v>900.7</v>
      </c>
      <c r="AH25" s="5"/>
      <c r="AI25" s="5">
        <v>4092.4</v>
      </c>
      <c r="AK25" s="5">
        <v>50916.6</v>
      </c>
      <c r="AM25" s="5">
        <v>517.1</v>
      </c>
      <c r="AN25" s="5">
        <v>470.8</v>
      </c>
      <c r="AO25" s="5">
        <v>112.2</v>
      </c>
      <c r="AP25" s="5">
        <v>2193.4</v>
      </c>
      <c r="AV25" s="8">
        <v>55</v>
      </c>
    </row>
    <row r="26" spans="1:48">
      <c r="A26" t="str">
        <f>VLOOKUP(D26,info!$A$2:$G$49,3,FALSE)</f>
        <v>Fiat</v>
      </c>
      <c r="B26">
        <v>27</v>
      </c>
      <c r="C26" t="s">
        <v>30</v>
      </c>
      <c r="D26">
        <v>5751910</v>
      </c>
      <c r="E26" s="1" t="s">
        <v>32</v>
      </c>
      <c r="F26">
        <v>120056</v>
      </c>
      <c r="G26">
        <v>29006</v>
      </c>
      <c r="H26">
        <v>4852</v>
      </c>
      <c r="I26">
        <v>375591</v>
      </c>
      <c r="J26">
        <v>481.6</v>
      </c>
      <c r="K26">
        <v>241.9</v>
      </c>
      <c r="L26">
        <v>2784</v>
      </c>
      <c r="M26">
        <v>28094</v>
      </c>
      <c r="N26">
        <v>58461</v>
      </c>
      <c r="O26">
        <v>52934</v>
      </c>
      <c r="P26">
        <v>240.3</v>
      </c>
      <c r="Q26">
        <v>251.1</v>
      </c>
      <c r="R26">
        <v>68.69</v>
      </c>
      <c r="S26">
        <v>5351</v>
      </c>
      <c r="T26">
        <v>33.29</v>
      </c>
      <c r="U26">
        <v>9.1150000000000002</v>
      </c>
      <c r="V26">
        <v>1.5589999999999999</v>
      </c>
      <c r="W26">
        <v>21.34</v>
      </c>
      <c r="X26">
        <v>43.21</v>
      </c>
      <c r="Y26">
        <v>0</v>
      </c>
      <c r="Z26">
        <v>9970</v>
      </c>
      <c r="AA26">
        <v>27342</v>
      </c>
      <c r="AB26">
        <v>3218</v>
      </c>
      <c r="AC26" s="5">
        <v>97078.5</v>
      </c>
      <c r="AD26" s="5">
        <v>21353.1</v>
      </c>
      <c r="AE26" s="5">
        <v>2618.1999999999998</v>
      </c>
      <c r="AF26" s="5">
        <v>331686.40000000002</v>
      </c>
      <c r="AG26" s="5">
        <v>690.7</v>
      </c>
      <c r="AH26" s="5"/>
      <c r="AI26" s="5">
        <v>2753.8</v>
      </c>
      <c r="AK26" s="5">
        <v>49724.1</v>
      </c>
      <c r="AM26" s="5">
        <v>254.3</v>
      </c>
      <c r="AN26" s="5">
        <v>546.4</v>
      </c>
      <c r="AO26" s="8">
        <v>45.3</v>
      </c>
      <c r="AP26" s="5">
        <v>5161.6000000000004</v>
      </c>
      <c r="AV26" s="8"/>
    </row>
    <row r="27" spans="1:48">
      <c r="A27" t="str">
        <f>VLOOKUP(D27,info!$A$2:$G$49,3,FALSE)</f>
        <v>Subaru</v>
      </c>
      <c r="B27">
        <v>28</v>
      </c>
      <c r="C27" t="s">
        <v>30</v>
      </c>
      <c r="D27">
        <v>2675308</v>
      </c>
      <c r="E27" s="1" t="s">
        <v>32</v>
      </c>
      <c r="F27">
        <v>125667</v>
      </c>
      <c r="G27">
        <v>29408</v>
      </c>
      <c r="H27">
        <v>10530</v>
      </c>
      <c r="I27">
        <v>382671</v>
      </c>
      <c r="J27">
        <v>639.9</v>
      </c>
      <c r="K27">
        <v>289.5</v>
      </c>
      <c r="L27">
        <v>5376</v>
      </c>
      <c r="M27">
        <v>35665</v>
      </c>
      <c r="N27">
        <v>65589</v>
      </c>
      <c r="O27">
        <v>59434</v>
      </c>
      <c r="P27">
        <v>187.1</v>
      </c>
      <c r="Q27">
        <v>145.6</v>
      </c>
      <c r="R27">
        <v>65.930000000000007</v>
      </c>
      <c r="S27">
        <v>2309</v>
      </c>
      <c r="T27">
        <v>21.04</v>
      </c>
      <c r="U27">
        <v>7.3390000000000004</v>
      </c>
      <c r="V27">
        <v>14.23</v>
      </c>
      <c r="W27">
        <v>27.73</v>
      </c>
      <c r="X27">
        <v>24.63</v>
      </c>
      <c r="Y27">
        <v>8.9039999999999999</v>
      </c>
      <c r="Z27">
        <v>8763</v>
      </c>
      <c r="AA27">
        <v>33932</v>
      </c>
      <c r="AB27">
        <v>4205</v>
      </c>
      <c r="AC27" s="5">
        <v>99544.8</v>
      </c>
      <c r="AD27" s="5">
        <v>20768.5</v>
      </c>
      <c r="AE27" s="5">
        <v>6663.6</v>
      </c>
      <c r="AF27" s="5">
        <v>330405.8</v>
      </c>
      <c r="AG27" s="5">
        <v>868.9</v>
      </c>
      <c r="AH27" s="5"/>
      <c r="AI27" s="5">
        <v>4745.3999999999996</v>
      </c>
      <c r="AK27" s="5">
        <v>55353.8</v>
      </c>
      <c r="AM27" s="5">
        <v>206.3</v>
      </c>
      <c r="AN27" s="5">
        <v>525.70000000000005</v>
      </c>
      <c r="AO27" s="8">
        <v>58.4</v>
      </c>
      <c r="AP27" s="5">
        <v>2253.6999999999998</v>
      </c>
      <c r="AV27" s="8">
        <v>58.3</v>
      </c>
    </row>
    <row r="28" spans="1:48">
      <c r="A28" t="str">
        <f>VLOOKUP(D28,info!$A$2:$G$49,3,FALSE)</f>
        <v>Renault</v>
      </c>
      <c r="B28">
        <v>29</v>
      </c>
      <c r="C28" t="s">
        <v>30</v>
      </c>
      <c r="D28">
        <v>1147816</v>
      </c>
      <c r="E28" s="1" t="s">
        <v>52</v>
      </c>
      <c r="F28">
        <v>109678</v>
      </c>
      <c r="G28">
        <v>27119</v>
      </c>
      <c r="H28">
        <v>6440</v>
      </c>
      <c r="I28">
        <v>307492</v>
      </c>
      <c r="J28">
        <v>528.6</v>
      </c>
      <c r="K28">
        <v>168.7</v>
      </c>
      <c r="L28">
        <v>1042</v>
      </c>
      <c r="M28">
        <v>22833</v>
      </c>
      <c r="N28">
        <v>52928</v>
      </c>
      <c r="O28">
        <v>49093</v>
      </c>
      <c r="P28">
        <v>247.7</v>
      </c>
      <c r="Q28">
        <v>15.35</v>
      </c>
      <c r="R28">
        <v>140.19999999999999</v>
      </c>
      <c r="S28">
        <v>2958</v>
      </c>
      <c r="T28">
        <v>20.9</v>
      </c>
      <c r="U28">
        <v>6.9930000000000003</v>
      </c>
      <c r="V28">
        <v>7.2469999999999999</v>
      </c>
      <c r="W28">
        <v>9.3780000000000001</v>
      </c>
      <c r="X28">
        <v>2.8279999999999998</v>
      </c>
      <c r="Y28">
        <v>40.5</v>
      </c>
      <c r="Z28">
        <v>8759</v>
      </c>
      <c r="AA28">
        <v>27267</v>
      </c>
      <c r="AB28">
        <v>2360</v>
      </c>
      <c r="AC28" s="5">
        <v>101263</v>
      </c>
      <c r="AD28" s="5">
        <v>23159.3</v>
      </c>
      <c r="AE28" s="5">
        <v>3936.6</v>
      </c>
      <c r="AF28" s="5">
        <v>328359.59999999998</v>
      </c>
      <c r="AG28" s="5">
        <v>856.1</v>
      </c>
      <c r="AH28" s="5"/>
      <c r="AI28" s="5">
        <v>1474.5</v>
      </c>
      <c r="AK28" s="5">
        <v>51480.9</v>
      </c>
      <c r="AM28" s="5">
        <v>319.10000000000002</v>
      </c>
      <c r="AN28" s="5">
        <v>652.6</v>
      </c>
      <c r="AO28" s="5">
        <v>191.8</v>
      </c>
      <c r="AP28" s="5">
        <v>3710.4</v>
      </c>
      <c r="AV28" s="8">
        <v>45.9</v>
      </c>
    </row>
    <row r="29" spans="1:48">
      <c r="A29" t="str">
        <f>VLOOKUP(D29,info!$A$2:$G$49,3,FALSE)</f>
        <v>Ford</v>
      </c>
      <c r="B29">
        <v>30</v>
      </c>
      <c r="C29" t="s">
        <v>30</v>
      </c>
      <c r="D29">
        <v>6917835</v>
      </c>
      <c r="E29" s="1" t="s">
        <v>34</v>
      </c>
      <c r="F29">
        <v>101977</v>
      </c>
      <c r="G29">
        <v>26208</v>
      </c>
      <c r="H29">
        <v>5379</v>
      </c>
      <c r="I29">
        <v>318642</v>
      </c>
      <c r="J29">
        <v>479.3</v>
      </c>
      <c r="K29">
        <v>146.80000000000001</v>
      </c>
      <c r="L29">
        <v>2257</v>
      </c>
      <c r="M29">
        <v>24829</v>
      </c>
      <c r="N29">
        <v>54981</v>
      </c>
      <c r="O29">
        <v>50346</v>
      </c>
      <c r="P29">
        <v>207.6</v>
      </c>
      <c r="Q29">
        <v>12.09</v>
      </c>
      <c r="R29">
        <v>24.91</v>
      </c>
      <c r="S29">
        <v>5151</v>
      </c>
      <c r="T29">
        <v>20.61</v>
      </c>
      <c r="U29">
        <v>7.0369999999999999</v>
      </c>
      <c r="V29">
        <v>0</v>
      </c>
      <c r="W29">
        <v>5.5590000000000002</v>
      </c>
      <c r="X29">
        <v>7.6180000000000003</v>
      </c>
      <c r="Y29">
        <v>36.409999999999997</v>
      </c>
      <c r="Z29">
        <v>9911</v>
      </c>
      <c r="AA29">
        <v>25222</v>
      </c>
      <c r="AB29">
        <v>2758</v>
      </c>
      <c r="AC29" s="5">
        <v>94040.1</v>
      </c>
      <c r="AD29" s="5">
        <v>22354.799999999999</v>
      </c>
      <c r="AE29" s="5">
        <v>3526.2</v>
      </c>
      <c r="AF29" s="5">
        <v>330540.79999999999</v>
      </c>
      <c r="AG29" s="5">
        <v>814</v>
      </c>
      <c r="AH29" s="5"/>
      <c r="AI29" s="5">
        <v>2507</v>
      </c>
      <c r="AK29" s="5">
        <v>54285.599999999999</v>
      </c>
      <c r="AM29" s="5">
        <v>294.5</v>
      </c>
      <c r="AN29" s="5">
        <v>406.8</v>
      </c>
      <c r="AO29" s="8">
        <v>35</v>
      </c>
      <c r="AP29" s="5">
        <v>6831</v>
      </c>
      <c r="AV29" s="5">
        <v>105.7</v>
      </c>
    </row>
    <row r="30" spans="1:48">
      <c r="A30" t="str">
        <f>VLOOKUP(D30,info!$A$2:$G$49,3,FALSE)</f>
        <v>Hyundai</v>
      </c>
      <c r="B30">
        <v>31</v>
      </c>
      <c r="C30" t="s">
        <v>30</v>
      </c>
      <c r="D30">
        <v>9602910</v>
      </c>
      <c r="E30" s="1" t="s">
        <v>52</v>
      </c>
      <c r="F30">
        <v>107807</v>
      </c>
      <c r="G30">
        <v>26643</v>
      </c>
      <c r="H30">
        <v>7300</v>
      </c>
      <c r="I30">
        <v>331481</v>
      </c>
      <c r="J30">
        <v>516.79999999999995</v>
      </c>
      <c r="K30">
        <v>276.39999999999998</v>
      </c>
      <c r="L30">
        <v>3440</v>
      </c>
      <c r="M30">
        <v>30817</v>
      </c>
      <c r="N30">
        <v>65498</v>
      </c>
      <c r="O30">
        <v>59304</v>
      </c>
      <c r="P30">
        <v>230.6</v>
      </c>
      <c r="Q30">
        <v>16.41</v>
      </c>
      <c r="R30">
        <v>51.11</v>
      </c>
      <c r="S30">
        <v>2469</v>
      </c>
      <c r="T30">
        <v>17.649999999999999</v>
      </c>
      <c r="U30">
        <v>6.3040000000000003</v>
      </c>
      <c r="V30">
        <v>4.3070000000000004</v>
      </c>
      <c r="W30">
        <v>3.609</v>
      </c>
      <c r="X30">
        <v>9.8260000000000005</v>
      </c>
      <c r="Y30">
        <v>41.68</v>
      </c>
      <c r="Z30">
        <v>9509</v>
      </c>
      <c r="AA30">
        <v>30078</v>
      </c>
      <c r="AB30">
        <v>3431</v>
      </c>
      <c r="AC30" s="5">
        <v>98033.5</v>
      </c>
      <c r="AD30" s="5">
        <v>21770.6</v>
      </c>
      <c r="AE30" s="5">
        <v>4765.8999999999996</v>
      </c>
      <c r="AF30" s="5">
        <v>324490.59999999998</v>
      </c>
      <c r="AG30" s="5">
        <v>910.5</v>
      </c>
      <c r="AH30" s="5"/>
      <c r="AI30" s="5">
        <v>3464.1</v>
      </c>
      <c r="AK30" s="5">
        <v>60485.5</v>
      </c>
      <c r="AM30" s="5">
        <v>230.9</v>
      </c>
      <c r="AN30" s="5">
        <v>477.6</v>
      </c>
      <c r="AO30" s="8">
        <v>73</v>
      </c>
      <c r="AP30" s="5">
        <v>3117.8</v>
      </c>
      <c r="AV30" s="8">
        <v>41.5</v>
      </c>
    </row>
    <row r="31" spans="1:48">
      <c r="A31" t="str">
        <f>VLOOKUP(D31,info!$A$2:$G$49,3,FALSE)</f>
        <v>Hyundai</v>
      </c>
      <c r="B31">
        <v>32</v>
      </c>
      <c r="C31" t="s">
        <v>30</v>
      </c>
      <c r="D31">
        <v>9602910</v>
      </c>
      <c r="E31" s="1" t="s">
        <v>52</v>
      </c>
      <c r="F31">
        <v>93078</v>
      </c>
      <c r="G31">
        <v>23701</v>
      </c>
      <c r="H31">
        <v>6662</v>
      </c>
      <c r="I31">
        <v>303542</v>
      </c>
      <c r="J31">
        <v>515</v>
      </c>
      <c r="K31">
        <v>276.39999999999998</v>
      </c>
      <c r="L31">
        <v>3256</v>
      </c>
      <c r="M31">
        <v>29273</v>
      </c>
      <c r="N31">
        <v>62272</v>
      </c>
      <c r="O31">
        <v>56731</v>
      </c>
      <c r="P31">
        <v>191.3</v>
      </c>
      <c r="Q31">
        <v>15.1</v>
      </c>
      <c r="R31">
        <v>59.44</v>
      </c>
      <c r="S31">
        <v>2422</v>
      </c>
      <c r="T31">
        <v>23.81</v>
      </c>
      <c r="U31">
        <v>8.1310000000000002</v>
      </c>
      <c r="V31">
        <v>0</v>
      </c>
      <c r="W31">
        <v>9.3140000000000001</v>
      </c>
      <c r="X31">
        <v>9.907</v>
      </c>
      <c r="Y31">
        <v>45.21</v>
      </c>
      <c r="Z31">
        <v>2334</v>
      </c>
      <c r="AA31">
        <v>29205</v>
      </c>
      <c r="AB31">
        <v>3244</v>
      </c>
      <c r="AC31" s="5">
        <v>100506</v>
      </c>
      <c r="AD31" s="5">
        <v>21497.5</v>
      </c>
      <c r="AE31" s="5">
        <v>4691.8999999999996</v>
      </c>
      <c r="AF31" s="5">
        <v>327688.8</v>
      </c>
      <c r="AG31" s="5">
        <v>918.7</v>
      </c>
      <c r="AH31" s="5"/>
      <c r="AI31" s="5">
        <v>3399</v>
      </c>
      <c r="AK31" s="5">
        <v>59611.1</v>
      </c>
      <c r="AM31" s="5">
        <v>291.5</v>
      </c>
      <c r="AN31" s="5">
        <v>521.9</v>
      </c>
      <c r="AO31" s="8">
        <v>61.4</v>
      </c>
      <c r="AP31" s="5">
        <v>3084.9</v>
      </c>
      <c r="AV31" s="8">
        <v>44</v>
      </c>
    </row>
    <row r="32" spans="1:48">
      <c r="A32" t="str">
        <f>VLOOKUP(D32,info!$A$2:$G$49,3,FALSE)</f>
        <v>Hyundai</v>
      </c>
      <c r="B32">
        <v>33</v>
      </c>
      <c r="C32" t="s">
        <v>30</v>
      </c>
      <c r="D32">
        <v>9602910</v>
      </c>
      <c r="E32" s="1" t="s">
        <v>34</v>
      </c>
      <c r="F32">
        <v>97835</v>
      </c>
      <c r="G32">
        <v>23776</v>
      </c>
      <c r="H32">
        <v>6186</v>
      </c>
      <c r="I32">
        <v>299212</v>
      </c>
      <c r="J32">
        <v>581.9</v>
      </c>
      <c r="K32">
        <v>303.60000000000002</v>
      </c>
      <c r="L32">
        <v>2691</v>
      </c>
      <c r="M32">
        <v>27259</v>
      </c>
      <c r="N32">
        <v>60273</v>
      </c>
      <c r="O32">
        <v>55101</v>
      </c>
      <c r="P32">
        <v>192.8</v>
      </c>
      <c r="Q32">
        <v>12.68</v>
      </c>
      <c r="R32">
        <v>49.67</v>
      </c>
      <c r="S32">
        <v>2433</v>
      </c>
      <c r="T32">
        <v>11.31</v>
      </c>
      <c r="U32">
        <v>8.1890000000000001</v>
      </c>
      <c r="V32">
        <v>9.2940000000000005</v>
      </c>
      <c r="W32">
        <v>5.58</v>
      </c>
      <c r="X32">
        <v>0</v>
      </c>
      <c r="Y32">
        <v>15.19</v>
      </c>
      <c r="Z32">
        <v>5352</v>
      </c>
      <c r="AA32">
        <v>28719</v>
      </c>
      <c r="AB32">
        <v>2908</v>
      </c>
      <c r="AC32" s="5">
        <v>97167.4</v>
      </c>
      <c r="AD32" s="5">
        <v>21390.6</v>
      </c>
      <c r="AE32" s="5">
        <v>4373.6000000000004</v>
      </c>
      <c r="AF32" s="5">
        <v>326606.40000000002</v>
      </c>
      <c r="AG32" s="5">
        <v>1004</v>
      </c>
      <c r="AH32" s="5"/>
      <c r="AI32" s="5">
        <v>2995.6</v>
      </c>
      <c r="AK32" s="5">
        <v>61263.3</v>
      </c>
      <c r="AM32" s="5">
        <v>270.10000000000002</v>
      </c>
      <c r="AN32" s="5">
        <v>468.2</v>
      </c>
      <c r="AO32" s="8">
        <v>61.8</v>
      </c>
      <c r="AP32" s="5">
        <v>3176.7</v>
      </c>
      <c r="AV32" s="8">
        <v>40</v>
      </c>
    </row>
    <row r="33" spans="1:48">
      <c r="A33" t="str">
        <f>VLOOKUP(D33,info!$A$2:$G$49,3,FALSE)</f>
        <v>Hyundai</v>
      </c>
      <c r="B33">
        <v>34</v>
      </c>
      <c r="C33" t="s">
        <v>30</v>
      </c>
      <c r="D33">
        <v>9602910</v>
      </c>
      <c r="E33" s="1" t="s">
        <v>52</v>
      </c>
      <c r="F33">
        <v>105655</v>
      </c>
      <c r="G33">
        <v>25814</v>
      </c>
      <c r="H33">
        <v>6623</v>
      </c>
      <c r="I33">
        <v>325135</v>
      </c>
      <c r="J33">
        <v>567.20000000000005</v>
      </c>
      <c r="K33">
        <v>377.1</v>
      </c>
      <c r="L33">
        <v>2844</v>
      </c>
      <c r="M33">
        <v>28807</v>
      </c>
      <c r="N33">
        <v>65439</v>
      </c>
      <c r="O33">
        <v>59466</v>
      </c>
      <c r="P33">
        <v>212.2</v>
      </c>
      <c r="Q33">
        <v>11.35</v>
      </c>
      <c r="R33">
        <v>59.96</v>
      </c>
      <c r="S33">
        <v>2494</v>
      </c>
      <c r="T33">
        <v>15.98</v>
      </c>
      <c r="U33">
        <v>6.681</v>
      </c>
      <c r="V33">
        <v>0</v>
      </c>
      <c r="W33">
        <v>1.6120000000000001</v>
      </c>
      <c r="X33">
        <v>2.0569999999999999</v>
      </c>
      <c r="Y33">
        <v>17.5</v>
      </c>
      <c r="Z33">
        <v>5775</v>
      </c>
      <c r="AA33">
        <v>30170</v>
      </c>
      <c r="AB33">
        <v>2985</v>
      </c>
      <c r="AC33" s="5">
        <v>98938.7</v>
      </c>
      <c r="AD33" s="5">
        <v>21392.3</v>
      </c>
      <c r="AE33" s="5">
        <v>4294.8999999999996</v>
      </c>
      <c r="AF33" s="5">
        <v>324593</v>
      </c>
      <c r="AG33" s="5">
        <v>1071.8</v>
      </c>
      <c r="AH33" s="5"/>
      <c r="AI33" s="5">
        <v>2907.4</v>
      </c>
      <c r="AK33" s="5">
        <v>61263.5</v>
      </c>
      <c r="AM33" s="5">
        <v>253.1</v>
      </c>
      <c r="AN33" s="5">
        <v>471.9</v>
      </c>
      <c r="AO33" s="8">
        <v>65.8</v>
      </c>
      <c r="AP33" s="5">
        <v>3162</v>
      </c>
      <c r="AV33" s="8">
        <v>45.4</v>
      </c>
    </row>
    <row r="34" spans="1:48">
      <c r="A34" t="str">
        <f>VLOOKUP(D34,info!$A$2:$G$49,3,FALSE)</f>
        <v>Hyundai</v>
      </c>
      <c r="B34">
        <v>35</v>
      </c>
      <c r="C34" t="s">
        <v>30</v>
      </c>
      <c r="D34">
        <v>5826120</v>
      </c>
      <c r="E34" s="1" t="s">
        <v>32</v>
      </c>
      <c r="F34">
        <v>104443</v>
      </c>
      <c r="G34">
        <v>25381</v>
      </c>
      <c r="H34">
        <v>6194</v>
      </c>
      <c r="I34">
        <v>325508</v>
      </c>
      <c r="J34">
        <v>724.3</v>
      </c>
      <c r="K34">
        <v>346</v>
      </c>
      <c r="L34">
        <v>2401</v>
      </c>
      <c r="M34">
        <v>28589</v>
      </c>
      <c r="N34">
        <v>66315</v>
      </c>
      <c r="O34">
        <v>59995</v>
      </c>
      <c r="P34">
        <v>228.7</v>
      </c>
      <c r="Q34">
        <v>14.35</v>
      </c>
      <c r="R34">
        <v>64.67</v>
      </c>
      <c r="S34">
        <v>2463</v>
      </c>
      <c r="T34">
        <v>9.5310000000000006</v>
      </c>
      <c r="U34">
        <v>7.6159999999999997</v>
      </c>
      <c r="V34">
        <v>10.27</v>
      </c>
      <c r="W34">
        <v>3.0819999999999999</v>
      </c>
      <c r="X34">
        <v>9.3249999999999993</v>
      </c>
      <c r="Y34">
        <v>18.11</v>
      </c>
      <c r="Z34">
        <v>4989</v>
      </c>
      <c r="AA34">
        <v>30475</v>
      </c>
      <c r="AB34">
        <v>3059</v>
      </c>
      <c r="AC34" s="5">
        <v>101984.4</v>
      </c>
      <c r="AD34" s="5">
        <v>21588.2</v>
      </c>
      <c r="AE34" s="5">
        <v>4176.7</v>
      </c>
      <c r="AF34" s="5">
        <v>328003.59999999998</v>
      </c>
      <c r="AG34" s="5">
        <v>1181</v>
      </c>
      <c r="AH34" s="5"/>
      <c r="AI34" s="5">
        <v>2472.8000000000002</v>
      </c>
      <c r="AK34" s="5">
        <v>60807.6</v>
      </c>
      <c r="AM34" s="5">
        <v>314.2</v>
      </c>
      <c r="AN34" s="5">
        <v>381.7</v>
      </c>
      <c r="AO34" s="8">
        <v>82.9</v>
      </c>
      <c r="AP34" s="5">
        <v>3135.7</v>
      </c>
      <c r="AV34" s="8">
        <v>49.6</v>
      </c>
    </row>
    <row r="35" spans="1:48">
      <c r="A35" t="str">
        <f>VLOOKUP(D35,info!$A$2:$G$49,3,FALSE)</f>
        <v>Hyundai</v>
      </c>
      <c r="B35">
        <v>36</v>
      </c>
      <c r="C35" t="s">
        <v>30</v>
      </c>
      <c r="D35">
        <v>5826120</v>
      </c>
      <c r="E35" s="1" t="s">
        <v>34</v>
      </c>
      <c r="F35">
        <v>102036</v>
      </c>
      <c r="G35">
        <v>28906</v>
      </c>
      <c r="H35">
        <v>10473</v>
      </c>
      <c r="I35">
        <v>323518</v>
      </c>
      <c r="J35">
        <v>554.20000000000005</v>
      </c>
      <c r="K35">
        <v>33.42</v>
      </c>
      <c r="L35">
        <v>5572</v>
      </c>
      <c r="M35">
        <v>31458</v>
      </c>
      <c r="N35">
        <v>57097</v>
      </c>
      <c r="O35">
        <v>52228</v>
      </c>
      <c r="P35">
        <v>274.60000000000002</v>
      </c>
      <c r="Q35">
        <v>10.68</v>
      </c>
      <c r="R35">
        <v>135.69999999999999</v>
      </c>
      <c r="S35">
        <v>2403</v>
      </c>
      <c r="T35">
        <v>8.9559999999999995</v>
      </c>
      <c r="U35">
        <v>9.3780000000000001</v>
      </c>
      <c r="V35">
        <v>0</v>
      </c>
      <c r="W35">
        <v>9.2289999999999992</v>
      </c>
      <c r="X35">
        <v>22.25</v>
      </c>
      <c r="Y35">
        <v>45.08</v>
      </c>
      <c r="Z35">
        <v>9717</v>
      </c>
      <c r="AA35">
        <v>29023</v>
      </c>
      <c r="AB35">
        <v>3673</v>
      </c>
      <c r="AC35" s="5">
        <v>96732.6</v>
      </c>
      <c r="AD35" s="5">
        <v>24389.4</v>
      </c>
      <c r="AE35" s="5">
        <v>7774</v>
      </c>
      <c r="AF35" s="5">
        <v>329233.8</v>
      </c>
      <c r="AG35" s="5">
        <v>762.8</v>
      </c>
      <c r="AH35" s="5"/>
      <c r="AI35" s="5">
        <v>5544.9</v>
      </c>
      <c r="AK35" s="5">
        <v>53466</v>
      </c>
      <c r="AM35" s="5">
        <v>273.5</v>
      </c>
      <c r="AN35" s="5">
        <v>459.7</v>
      </c>
      <c r="AO35" s="5">
        <v>185.1</v>
      </c>
      <c r="AP35" s="5">
        <v>2934</v>
      </c>
      <c r="AV35" s="8">
        <v>57.2</v>
      </c>
    </row>
    <row r="36" spans="1:48">
      <c r="A36" t="str">
        <f>VLOOKUP(D36,info!$A$2:$G$49,3,FALSE)</f>
        <v>Ford</v>
      </c>
      <c r="B36">
        <v>37</v>
      </c>
      <c r="C36" t="s">
        <v>30</v>
      </c>
      <c r="D36">
        <v>6917835</v>
      </c>
      <c r="E36" s="1" t="s">
        <v>32</v>
      </c>
      <c r="F36">
        <v>107206</v>
      </c>
      <c r="G36">
        <v>27594</v>
      </c>
      <c r="H36">
        <v>5663</v>
      </c>
      <c r="I36">
        <v>335440</v>
      </c>
      <c r="J36">
        <v>465</v>
      </c>
      <c r="K36">
        <v>181.4</v>
      </c>
      <c r="L36">
        <v>2440</v>
      </c>
      <c r="M36">
        <v>25580</v>
      </c>
      <c r="N36">
        <v>57187</v>
      </c>
      <c r="O36">
        <v>51928</v>
      </c>
      <c r="P36">
        <v>216.6</v>
      </c>
      <c r="Q36">
        <v>14.05</v>
      </c>
      <c r="R36">
        <v>27.02</v>
      </c>
      <c r="S36">
        <v>5200</v>
      </c>
      <c r="T36">
        <v>20.97</v>
      </c>
      <c r="U36">
        <v>7.4960000000000004</v>
      </c>
      <c r="V36">
        <v>7.6360000000000001</v>
      </c>
      <c r="W36">
        <v>5.42</v>
      </c>
      <c r="X36">
        <v>6.4630000000000001</v>
      </c>
      <c r="Y36">
        <v>47.32</v>
      </c>
      <c r="Z36">
        <v>9914</v>
      </c>
      <c r="AA36">
        <v>26518</v>
      </c>
      <c r="AB36">
        <v>2677</v>
      </c>
      <c r="AC36" s="5">
        <v>94959.7</v>
      </c>
      <c r="AD36" s="5">
        <v>22336.1</v>
      </c>
      <c r="AE36" s="5">
        <v>3559.3</v>
      </c>
      <c r="AF36" s="5">
        <v>331875.90000000002</v>
      </c>
      <c r="AG36" s="5">
        <v>722.6</v>
      </c>
      <c r="AH36" s="5"/>
      <c r="AI36" s="5">
        <v>2591</v>
      </c>
      <c r="AK36" s="5">
        <v>54114.3</v>
      </c>
      <c r="AM36" s="5">
        <v>219.6</v>
      </c>
      <c r="AN36" s="5">
        <v>294.8</v>
      </c>
      <c r="AO36" s="8">
        <v>36.6</v>
      </c>
      <c r="AP36" s="5">
        <v>6696.5</v>
      </c>
      <c r="AV36" s="8">
        <v>74.5</v>
      </c>
    </row>
    <row r="37" spans="1:48">
      <c r="A37" t="str">
        <f>VLOOKUP(D37,info!$A$2:$G$49,3,FALSE)</f>
        <v>Hyundai</v>
      </c>
      <c r="B37">
        <v>38</v>
      </c>
      <c r="C37" t="s">
        <v>30</v>
      </c>
      <c r="D37">
        <v>5826120</v>
      </c>
      <c r="E37" s="1" t="s">
        <v>34</v>
      </c>
      <c r="F37">
        <v>112179</v>
      </c>
      <c r="G37">
        <v>26070</v>
      </c>
      <c r="H37">
        <v>6233</v>
      </c>
      <c r="I37">
        <v>318727</v>
      </c>
      <c r="J37">
        <v>657.5</v>
      </c>
      <c r="K37">
        <v>355</v>
      </c>
      <c r="L37">
        <v>2301</v>
      </c>
      <c r="M37">
        <v>27645</v>
      </c>
      <c r="N37">
        <v>64190</v>
      </c>
      <c r="O37">
        <v>58534</v>
      </c>
      <c r="P37">
        <v>245.9</v>
      </c>
      <c r="Q37">
        <v>14.52</v>
      </c>
      <c r="R37">
        <v>59.98</v>
      </c>
      <c r="S37">
        <v>2425</v>
      </c>
      <c r="T37">
        <v>17.5</v>
      </c>
      <c r="U37">
        <v>3.1309999999999998</v>
      </c>
      <c r="V37">
        <v>10.039999999999999</v>
      </c>
      <c r="W37">
        <v>1.2010000000000001</v>
      </c>
      <c r="X37">
        <v>9.3610000000000007</v>
      </c>
      <c r="Y37">
        <v>42.63</v>
      </c>
      <c r="Z37">
        <v>9384</v>
      </c>
      <c r="AA37">
        <v>30329</v>
      </c>
      <c r="AB37">
        <v>2930</v>
      </c>
      <c r="AC37" s="5">
        <v>100209.3</v>
      </c>
      <c r="AD37" s="5">
        <v>21428</v>
      </c>
      <c r="AE37" s="5">
        <v>4163.8999999999996</v>
      </c>
      <c r="AF37" s="5">
        <v>325971.5</v>
      </c>
      <c r="AG37" s="5">
        <v>1166</v>
      </c>
      <c r="AH37" s="5"/>
      <c r="AI37" s="5">
        <v>2492.4</v>
      </c>
      <c r="AK37" s="5">
        <v>61628.4</v>
      </c>
      <c r="AM37" s="5">
        <v>283.39999999999998</v>
      </c>
      <c r="AN37" s="5">
        <v>471.9</v>
      </c>
      <c r="AO37" s="8">
        <v>83.9</v>
      </c>
      <c r="AP37" s="5">
        <v>3032.7</v>
      </c>
      <c r="AV37" s="8"/>
    </row>
    <row r="38" spans="1:48">
      <c r="A38" t="str">
        <f>VLOOKUP(D38,info!$A$2:$G$49,3,FALSE)</f>
        <v>Renault</v>
      </c>
      <c r="B38">
        <v>39</v>
      </c>
      <c r="C38" t="s">
        <v>30</v>
      </c>
      <c r="D38">
        <v>1147816</v>
      </c>
      <c r="E38" s="1" t="s">
        <v>52</v>
      </c>
      <c r="F38">
        <v>110577</v>
      </c>
      <c r="G38">
        <v>27202</v>
      </c>
      <c r="H38">
        <v>6453</v>
      </c>
      <c r="I38">
        <v>304959</v>
      </c>
      <c r="J38">
        <v>453.3</v>
      </c>
      <c r="K38">
        <v>187.8</v>
      </c>
      <c r="L38">
        <v>1040</v>
      </c>
      <c r="M38">
        <v>22622</v>
      </c>
      <c r="N38">
        <v>52082</v>
      </c>
      <c r="O38">
        <v>48320</v>
      </c>
      <c r="P38">
        <v>240.1</v>
      </c>
      <c r="Q38">
        <v>26.31</v>
      </c>
      <c r="R38">
        <v>134.30000000000001</v>
      </c>
      <c r="S38">
        <v>3035</v>
      </c>
      <c r="T38">
        <v>19.72</v>
      </c>
      <c r="U38">
        <v>4.1440000000000001</v>
      </c>
      <c r="V38">
        <v>0</v>
      </c>
      <c r="W38">
        <v>10.050000000000001</v>
      </c>
      <c r="X38">
        <v>13.37</v>
      </c>
      <c r="Y38">
        <v>37.630000000000003</v>
      </c>
      <c r="Z38">
        <v>9128</v>
      </c>
      <c r="AA38">
        <v>27111</v>
      </c>
      <c r="AB38">
        <v>2336</v>
      </c>
      <c r="AC38" s="5">
        <v>100216</v>
      </c>
      <c r="AD38" s="5">
        <v>22879.7</v>
      </c>
      <c r="AE38" s="5">
        <v>4065.7</v>
      </c>
      <c r="AF38" s="5">
        <v>331263.09999999998</v>
      </c>
      <c r="AG38" s="5">
        <v>834.4</v>
      </c>
      <c r="AH38" s="5"/>
      <c r="AI38" s="5">
        <v>1156.5</v>
      </c>
      <c r="AK38" s="5">
        <v>52965.8</v>
      </c>
      <c r="AM38" s="5">
        <v>233.3</v>
      </c>
      <c r="AN38" s="5">
        <v>386.9</v>
      </c>
      <c r="AO38" s="5">
        <v>189</v>
      </c>
      <c r="AP38" s="5">
        <v>3785.9</v>
      </c>
      <c r="AV38" s="8">
        <v>45.1</v>
      </c>
    </row>
    <row r="39" spans="1:48">
      <c r="A39" t="str">
        <f>VLOOKUP(D39,info!$A$2:$G$49,3,FALSE)</f>
        <v>Subaru</v>
      </c>
      <c r="B39">
        <v>40</v>
      </c>
      <c r="C39" t="s">
        <v>30</v>
      </c>
      <c r="D39">
        <v>2675308</v>
      </c>
      <c r="E39" s="1" t="s">
        <v>34</v>
      </c>
      <c r="F39">
        <v>119640</v>
      </c>
      <c r="G39">
        <v>28095</v>
      </c>
      <c r="H39">
        <v>10003</v>
      </c>
      <c r="I39">
        <v>357292</v>
      </c>
      <c r="J39">
        <v>571.9</v>
      </c>
      <c r="K39">
        <v>227.1</v>
      </c>
      <c r="L39">
        <v>4991</v>
      </c>
      <c r="M39">
        <v>34810</v>
      </c>
      <c r="N39">
        <v>62163</v>
      </c>
      <c r="O39">
        <v>56732</v>
      </c>
      <c r="P39">
        <v>177.7</v>
      </c>
      <c r="Q39">
        <v>10.67</v>
      </c>
      <c r="R39">
        <v>40.47</v>
      </c>
      <c r="S39">
        <v>1764</v>
      </c>
      <c r="T39">
        <v>13.47</v>
      </c>
      <c r="U39">
        <v>3.1219999999999999</v>
      </c>
      <c r="V39">
        <v>0</v>
      </c>
      <c r="W39">
        <v>5.8540000000000001</v>
      </c>
      <c r="X39">
        <v>6.8040000000000003</v>
      </c>
      <c r="Y39">
        <v>32.29</v>
      </c>
      <c r="Z39">
        <v>6411</v>
      </c>
      <c r="AA39">
        <v>33421</v>
      </c>
      <c r="AB39">
        <v>4098</v>
      </c>
      <c r="AC39" s="5">
        <v>99103.7</v>
      </c>
      <c r="AD39" s="5">
        <v>20998.1</v>
      </c>
      <c r="AE39" s="5">
        <v>6583.8</v>
      </c>
      <c r="AF39" s="5">
        <v>333393.3</v>
      </c>
      <c r="AG39" s="5">
        <v>928.8</v>
      </c>
      <c r="AH39" s="5"/>
      <c r="AI39" s="5">
        <v>4668.3</v>
      </c>
      <c r="AK39" s="5">
        <v>56061.599999999999</v>
      </c>
      <c r="AM39" s="5"/>
      <c r="AN39" s="5">
        <v>416.4</v>
      </c>
      <c r="AO39" s="8">
        <v>60.1</v>
      </c>
      <c r="AP39" s="5">
        <v>2204.1</v>
      </c>
      <c r="AV39" s="8">
        <v>67.099999999999994</v>
      </c>
    </row>
    <row r="40" spans="1:48">
      <c r="A40" t="str">
        <f>VLOOKUP(D40,info!$A$2:$G$49,3,FALSE)</f>
        <v>Fiat</v>
      </c>
      <c r="B40">
        <v>41</v>
      </c>
      <c r="C40" t="s">
        <v>30</v>
      </c>
      <c r="D40">
        <v>5751910</v>
      </c>
      <c r="E40" s="1" t="s">
        <v>34</v>
      </c>
      <c r="F40">
        <v>117611</v>
      </c>
      <c r="G40">
        <v>27768</v>
      </c>
      <c r="H40">
        <v>4638</v>
      </c>
      <c r="I40">
        <v>351733</v>
      </c>
      <c r="J40">
        <v>532.79999999999995</v>
      </c>
      <c r="K40">
        <v>233.4</v>
      </c>
      <c r="L40">
        <v>876.4</v>
      </c>
      <c r="M40">
        <v>23828</v>
      </c>
      <c r="N40">
        <v>59296</v>
      </c>
      <c r="O40">
        <v>53938</v>
      </c>
      <c r="P40">
        <v>171.9</v>
      </c>
      <c r="Q40">
        <v>12</v>
      </c>
      <c r="R40">
        <v>98.18</v>
      </c>
      <c r="S40">
        <v>4221</v>
      </c>
      <c r="T40">
        <v>23.8</v>
      </c>
      <c r="U40">
        <v>6.3120000000000003</v>
      </c>
      <c r="V40">
        <v>0</v>
      </c>
      <c r="W40">
        <v>12.58</v>
      </c>
      <c r="X40">
        <v>0</v>
      </c>
      <c r="Y40">
        <v>28.23</v>
      </c>
      <c r="Z40">
        <v>8775</v>
      </c>
      <c r="AA40">
        <v>28377</v>
      </c>
      <c r="AB40">
        <v>2235</v>
      </c>
      <c r="AC40" s="5">
        <v>98057.5</v>
      </c>
      <c r="AD40" s="5">
        <v>21137.599999999999</v>
      </c>
      <c r="AE40" s="5">
        <v>2500.8000000000002</v>
      </c>
      <c r="AF40" s="5">
        <v>328805</v>
      </c>
      <c r="AG40" s="5">
        <v>885.6</v>
      </c>
      <c r="AH40" s="5"/>
      <c r="AI40" s="5">
        <v>933.2</v>
      </c>
      <c r="AK40" s="5">
        <v>53141.3</v>
      </c>
      <c r="AM40" s="5"/>
      <c r="AN40" s="5">
        <v>389.7</v>
      </c>
      <c r="AO40" s="5">
        <v>113.2</v>
      </c>
      <c r="AP40" s="5">
        <v>5087.6000000000004</v>
      </c>
      <c r="AV40" s="8">
        <v>47.5</v>
      </c>
    </row>
    <row r="41" spans="1:48">
      <c r="A41" t="str">
        <f>VLOOKUP(D41,info!$A$2:$G$49,3,FALSE)</f>
        <v>Renault</v>
      </c>
      <c r="B41">
        <v>42</v>
      </c>
      <c r="C41" t="s">
        <v>30</v>
      </c>
      <c r="D41">
        <v>1147816</v>
      </c>
      <c r="E41" s="1" t="s">
        <v>34</v>
      </c>
      <c r="F41">
        <v>88337</v>
      </c>
      <c r="G41">
        <v>24390</v>
      </c>
      <c r="H41">
        <v>9805</v>
      </c>
      <c r="I41">
        <v>290812</v>
      </c>
      <c r="J41">
        <v>358.8</v>
      </c>
      <c r="K41">
        <v>190.5</v>
      </c>
      <c r="L41">
        <v>6806</v>
      </c>
      <c r="M41">
        <v>27296</v>
      </c>
      <c r="N41">
        <v>55206</v>
      </c>
      <c r="O41">
        <v>50713</v>
      </c>
      <c r="P41">
        <v>180.5</v>
      </c>
      <c r="Q41">
        <v>22.89</v>
      </c>
      <c r="R41">
        <v>41.2</v>
      </c>
      <c r="S41">
        <v>4064</v>
      </c>
      <c r="T41">
        <v>16.38</v>
      </c>
      <c r="U41">
        <v>5.5549999999999997</v>
      </c>
      <c r="V41">
        <v>0</v>
      </c>
      <c r="W41">
        <v>4.077</v>
      </c>
      <c r="X41">
        <v>1.2250000000000001</v>
      </c>
      <c r="Y41">
        <v>8.6509999999999998</v>
      </c>
      <c r="Z41">
        <v>225.4</v>
      </c>
      <c r="AA41">
        <v>26092</v>
      </c>
      <c r="AB41">
        <v>3245</v>
      </c>
      <c r="AC41" s="5">
        <v>95328</v>
      </c>
      <c r="AD41" s="5">
        <v>22352.9</v>
      </c>
      <c r="AE41" s="5">
        <v>7214.5</v>
      </c>
      <c r="AF41" s="5">
        <v>323646.09999999998</v>
      </c>
      <c r="AG41" s="5">
        <v>732.5</v>
      </c>
      <c r="AH41" s="5"/>
      <c r="AI41" s="5">
        <v>7278.2</v>
      </c>
      <c r="AK41" s="5">
        <v>54284.9</v>
      </c>
      <c r="AM41" s="5">
        <v>298.8</v>
      </c>
      <c r="AN41" s="5">
        <v>550</v>
      </c>
      <c r="AO41" s="8">
        <v>47.5</v>
      </c>
      <c r="AP41" s="5">
        <v>4814.2</v>
      </c>
      <c r="AV41" s="8">
        <v>43.1</v>
      </c>
    </row>
    <row r="42" spans="1:48">
      <c r="A42" t="str">
        <f>VLOOKUP(D42,info!$A$2:$G$49,3,FALSE)</f>
        <v>Fiat</v>
      </c>
      <c r="B42">
        <v>43</v>
      </c>
      <c r="C42" t="s">
        <v>30</v>
      </c>
      <c r="D42">
        <v>5751910</v>
      </c>
      <c r="E42" s="1" t="s">
        <v>32</v>
      </c>
      <c r="F42">
        <v>111790</v>
      </c>
      <c r="G42">
        <v>26850</v>
      </c>
      <c r="H42">
        <v>4575</v>
      </c>
      <c r="I42">
        <v>348447</v>
      </c>
      <c r="J42">
        <v>461.5</v>
      </c>
      <c r="K42">
        <v>255.9</v>
      </c>
      <c r="L42">
        <v>900.3</v>
      </c>
      <c r="M42">
        <v>23207</v>
      </c>
      <c r="N42">
        <v>59100</v>
      </c>
      <c r="O42">
        <v>53617</v>
      </c>
      <c r="P42">
        <v>178.8</v>
      </c>
      <c r="Q42">
        <v>28.62</v>
      </c>
      <c r="R42">
        <v>97.22</v>
      </c>
      <c r="S42">
        <v>4203</v>
      </c>
      <c r="T42">
        <v>16.510000000000002</v>
      </c>
      <c r="U42">
        <v>6.6840000000000002</v>
      </c>
      <c r="V42">
        <v>0</v>
      </c>
      <c r="W42">
        <v>9.2560000000000002</v>
      </c>
      <c r="X42">
        <v>6.3360000000000003</v>
      </c>
      <c r="Y42">
        <v>26.62</v>
      </c>
      <c r="Z42">
        <v>10342</v>
      </c>
      <c r="AA42">
        <v>27832</v>
      </c>
      <c r="AB42">
        <v>2236</v>
      </c>
      <c r="AC42" s="5">
        <v>97261.8</v>
      </c>
      <c r="AD42" s="5">
        <v>21304.3</v>
      </c>
      <c r="AE42" s="5">
        <v>2498.8000000000002</v>
      </c>
      <c r="AF42" s="5">
        <v>326868.3</v>
      </c>
      <c r="AG42" s="5">
        <v>774.8</v>
      </c>
      <c r="AH42" s="5"/>
      <c r="AI42" s="5">
        <v>1237.0999999999999</v>
      </c>
      <c r="AK42" s="5">
        <v>53207</v>
      </c>
      <c r="AM42" s="5">
        <v>225.6</v>
      </c>
      <c r="AN42" s="5">
        <v>563.20000000000005</v>
      </c>
      <c r="AO42" s="5">
        <v>114.8</v>
      </c>
      <c r="AP42" s="5">
        <v>5287.7</v>
      </c>
      <c r="AV42" s="8">
        <v>54.8</v>
      </c>
    </row>
    <row r="43" spans="1:48">
      <c r="A43" t="str">
        <f>VLOOKUP(D43,info!$A$2:$G$49,3,FALSE)</f>
        <v>Hyundai</v>
      </c>
      <c r="B43">
        <v>44</v>
      </c>
      <c r="C43" t="s">
        <v>30</v>
      </c>
      <c r="D43">
        <v>9602910</v>
      </c>
      <c r="E43" s="1" t="s">
        <v>32</v>
      </c>
      <c r="F43">
        <v>110542</v>
      </c>
      <c r="G43">
        <v>26737</v>
      </c>
      <c r="H43">
        <v>6919</v>
      </c>
      <c r="I43">
        <v>339530</v>
      </c>
      <c r="J43">
        <v>642.5</v>
      </c>
      <c r="K43">
        <v>336.2</v>
      </c>
      <c r="L43">
        <v>2959</v>
      </c>
      <c r="M43">
        <v>29915</v>
      </c>
      <c r="N43">
        <v>67368</v>
      </c>
      <c r="O43">
        <v>60849</v>
      </c>
      <c r="P43">
        <v>231.4</v>
      </c>
      <c r="Q43">
        <v>15.44</v>
      </c>
      <c r="R43">
        <v>58.33</v>
      </c>
      <c r="S43">
        <v>2493</v>
      </c>
      <c r="T43">
        <v>16.66</v>
      </c>
      <c r="U43">
        <v>8.5169999999999995</v>
      </c>
      <c r="V43">
        <v>13.74</v>
      </c>
      <c r="W43">
        <v>3.294</v>
      </c>
      <c r="X43">
        <v>8.8140000000000001</v>
      </c>
      <c r="Y43">
        <v>33.06</v>
      </c>
      <c r="Z43">
        <v>8830</v>
      </c>
      <c r="AA43">
        <v>31808</v>
      </c>
      <c r="AB43">
        <v>3187</v>
      </c>
      <c r="AC43" s="5">
        <v>101974.8</v>
      </c>
      <c r="AD43" s="5">
        <v>21562.9</v>
      </c>
      <c r="AE43" s="5">
        <v>4463.1000000000004</v>
      </c>
      <c r="AF43" s="5">
        <v>327975.09999999998</v>
      </c>
      <c r="AG43" s="5">
        <v>926.9</v>
      </c>
      <c r="AH43" s="5"/>
      <c r="AI43" s="5">
        <v>2954.3</v>
      </c>
      <c r="AK43" s="5">
        <v>59897.5</v>
      </c>
      <c r="AM43" s="5"/>
      <c r="AN43" s="5">
        <v>587.6</v>
      </c>
      <c r="AO43" s="8">
        <v>63</v>
      </c>
      <c r="AP43" s="5">
        <v>3210.5</v>
      </c>
      <c r="AV43" s="8">
        <v>40</v>
      </c>
    </row>
    <row r="44" spans="1:48">
      <c r="A44" t="str">
        <f>VLOOKUP(D44,info!$A$2:$G$49,3,FALSE)</f>
        <v>Subaru</v>
      </c>
      <c r="B44">
        <v>45</v>
      </c>
      <c r="C44" t="s">
        <v>30</v>
      </c>
      <c r="D44">
        <v>2675308</v>
      </c>
      <c r="E44" s="1" t="s">
        <v>34</v>
      </c>
      <c r="F44">
        <v>106328</v>
      </c>
      <c r="G44">
        <v>25172</v>
      </c>
      <c r="H44">
        <v>9484</v>
      </c>
      <c r="I44">
        <v>333282</v>
      </c>
      <c r="J44">
        <v>544.29999999999995</v>
      </c>
      <c r="K44">
        <v>254.4</v>
      </c>
      <c r="L44">
        <v>4794</v>
      </c>
      <c r="M44">
        <v>32741</v>
      </c>
      <c r="N44">
        <v>60039</v>
      </c>
      <c r="O44">
        <v>55025</v>
      </c>
      <c r="P44">
        <v>169.7</v>
      </c>
      <c r="Q44">
        <v>13.99</v>
      </c>
      <c r="R44">
        <v>48.73</v>
      </c>
      <c r="S44">
        <v>1863</v>
      </c>
      <c r="T44">
        <v>15.27</v>
      </c>
      <c r="U44">
        <v>5.5469999999999997</v>
      </c>
      <c r="V44">
        <v>8.0920000000000005</v>
      </c>
      <c r="W44">
        <v>5.8849999999999998</v>
      </c>
      <c r="X44">
        <v>6.7679999999999998</v>
      </c>
      <c r="Y44">
        <v>38.86</v>
      </c>
      <c r="Z44">
        <v>8612</v>
      </c>
      <c r="AA44">
        <v>29479</v>
      </c>
      <c r="AB44">
        <v>3794</v>
      </c>
      <c r="AC44" s="5">
        <v>99551</v>
      </c>
      <c r="AD44" s="5">
        <v>20821.7</v>
      </c>
      <c r="AE44" s="5">
        <v>6512.5</v>
      </c>
      <c r="AF44" s="5">
        <v>329508.59999999998</v>
      </c>
      <c r="AG44" s="5">
        <v>978.7</v>
      </c>
      <c r="AH44" s="5"/>
      <c r="AI44" s="5">
        <v>4832</v>
      </c>
      <c r="AK44" s="5">
        <v>55407.3</v>
      </c>
      <c r="AM44" s="5"/>
      <c r="AN44" s="5">
        <v>434.7</v>
      </c>
      <c r="AO44" s="8">
        <v>53.3</v>
      </c>
      <c r="AP44" s="5">
        <v>2349.3000000000002</v>
      </c>
      <c r="AV44" s="8"/>
    </row>
    <row r="45" spans="1:48">
      <c r="A45" t="str">
        <f>VLOOKUP(D45,info!$A$2:$G$49,3,FALSE)</f>
        <v>Mazda</v>
      </c>
      <c r="B45">
        <v>1</v>
      </c>
      <c r="C45" t="s">
        <v>77</v>
      </c>
      <c r="D45">
        <v>3550828</v>
      </c>
      <c r="E45" s="1" t="s">
        <v>32</v>
      </c>
      <c r="F45">
        <v>113460</v>
      </c>
      <c r="G45">
        <v>32955</v>
      </c>
      <c r="H45">
        <v>10656</v>
      </c>
      <c r="I45">
        <v>386322</v>
      </c>
      <c r="J45">
        <v>410.2</v>
      </c>
      <c r="K45">
        <v>128.9</v>
      </c>
      <c r="L45">
        <v>6124</v>
      </c>
      <c r="M45">
        <v>35003</v>
      </c>
      <c r="N45">
        <v>58650</v>
      </c>
      <c r="O45">
        <v>52752</v>
      </c>
      <c r="P45">
        <v>188</v>
      </c>
      <c r="Q45">
        <v>288.3</v>
      </c>
      <c r="R45">
        <v>69.510000000000005</v>
      </c>
      <c r="S45">
        <v>3236</v>
      </c>
      <c r="T45">
        <v>23.27</v>
      </c>
      <c r="U45">
        <v>6.093</v>
      </c>
      <c r="V45">
        <v>11.78</v>
      </c>
      <c r="W45">
        <v>16.170000000000002</v>
      </c>
      <c r="X45">
        <v>6.2549999999999999</v>
      </c>
      <c r="Y45">
        <v>25.83</v>
      </c>
      <c r="Z45">
        <v>8496</v>
      </c>
      <c r="AA45">
        <v>31588</v>
      </c>
      <c r="AB45">
        <v>4369</v>
      </c>
      <c r="AC45" s="5">
        <v>90414</v>
      </c>
      <c r="AD45" s="5">
        <v>22085</v>
      </c>
      <c r="AE45" s="5">
        <v>7700</v>
      </c>
      <c r="AF45" s="5">
        <v>334334</v>
      </c>
      <c r="AG45" s="5">
        <v>500.2</v>
      </c>
      <c r="AH45" s="5"/>
      <c r="AI45" s="5">
        <v>5335</v>
      </c>
      <c r="AK45" s="5">
        <v>54023</v>
      </c>
      <c r="AM45" s="5">
        <v>209.2</v>
      </c>
      <c r="AN45" s="5">
        <v>520.70000000000005</v>
      </c>
      <c r="AO45" s="8">
        <v>60.3</v>
      </c>
      <c r="AP45" s="5">
        <v>2965</v>
      </c>
      <c r="AV45" s="8">
        <v>52.2</v>
      </c>
    </row>
    <row r="46" spans="1:48">
      <c r="A46" t="str">
        <f>VLOOKUP(D46,info!$A$2:$G$49,3,FALSE)</f>
        <v>Mazda</v>
      </c>
      <c r="B46">
        <v>2</v>
      </c>
      <c r="C46" t="s">
        <v>77</v>
      </c>
      <c r="D46">
        <v>3550828</v>
      </c>
      <c r="E46" s="1" t="s">
        <v>34</v>
      </c>
      <c r="F46">
        <v>96315</v>
      </c>
      <c r="G46">
        <v>27711</v>
      </c>
      <c r="H46">
        <v>9550</v>
      </c>
      <c r="I46">
        <v>353252</v>
      </c>
      <c r="J46">
        <v>288.39999999999998</v>
      </c>
      <c r="K46">
        <v>165.2</v>
      </c>
      <c r="L46">
        <v>5788</v>
      </c>
      <c r="M46">
        <v>33315</v>
      </c>
      <c r="N46">
        <v>60424</v>
      </c>
      <c r="O46">
        <v>54256</v>
      </c>
      <c r="P46">
        <v>190.8</v>
      </c>
      <c r="Q46">
        <v>345.3</v>
      </c>
      <c r="R46">
        <v>81.91</v>
      </c>
      <c r="S46">
        <v>3551</v>
      </c>
      <c r="T46">
        <v>22.82</v>
      </c>
      <c r="U46">
        <v>9.4809999999999999</v>
      </c>
      <c r="V46">
        <v>0</v>
      </c>
      <c r="W46">
        <v>22.12</v>
      </c>
      <c r="X46">
        <v>32.549999999999997</v>
      </c>
      <c r="Y46">
        <v>39.74</v>
      </c>
      <c r="Z46">
        <v>25307</v>
      </c>
      <c r="AA46">
        <v>37546</v>
      </c>
      <c r="AB46">
        <v>10726</v>
      </c>
      <c r="AC46" s="5">
        <v>88167</v>
      </c>
      <c r="AD46" s="5">
        <v>22306</v>
      </c>
      <c r="AE46" s="5">
        <v>7895</v>
      </c>
      <c r="AF46" s="5">
        <v>339837</v>
      </c>
      <c r="AG46" s="5">
        <v>545.70000000000005</v>
      </c>
      <c r="AH46" s="5"/>
      <c r="AI46" s="5">
        <v>5320</v>
      </c>
      <c r="AK46" s="5">
        <v>53072</v>
      </c>
      <c r="AM46" s="5"/>
      <c r="AN46" s="5">
        <v>501.1</v>
      </c>
      <c r="AO46" s="8">
        <v>56.9</v>
      </c>
      <c r="AP46" s="5">
        <v>3076.2</v>
      </c>
      <c r="AV46" s="8">
        <v>38.799999999999997</v>
      </c>
    </row>
    <row r="47" spans="1:48">
      <c r="A47" t="str">
        <f>VLOOKUP(D47,info!$A$2:$G$49,3,FALSE)</f>
        <v>Mazda</v>
      </c>
      <c r="B47">
        <v>3</v>
      </c>
      <c r="C47" t="s">
        <v>77</v>
      </c>
      <c r="D47">
        <v>3550828</v>
      </c>
      <c r="E47" s="1" t="s">
        <v>34</v>
      </c>
      <c r="F47">
        <v>100557</v>
      </c>
      <c r="G47">
        <v>29343</v>
      </c>
      <c r="H47">
        <v>18752</v>
      </c>
      <c r="I47">
        <v>363699</v>
      </c>
      <c r="J47">
        <v>388.4</v>
      </c>
      <c r="K47">
        <v>157.69999999999999</v>
      </c>
      <c r="L47">
        <v>5956</v>
      </c>
      <c r="M47">
        <v>33759</v>
      </c>
      <c r="N47">
        <v>61853</v>
      </c>
      <c r="O47">
        <v>55469</v>
      </c>
      <c r="P47">
        <v>199.5</v>
      </c>
      <c r="Q47">
        <v>334.4</v>
      </c>
      <c r="R47">
        <v>97.13</v>
      </c>
      <c r="S47">
        <v>3558</v>
      </c>
      <c r="T47">
        <v>25.16</v>
      </c>
      <c r="U47">
        <v>9.0860000000000003</v>
      </c>
      <c r="V47">
        <v>3.6819999999999999</v>
      </c>
      <c r="W47">
        <v>27.87</v>
      </c>
      <c r="X47">
        <v>34.94</v>
      </c>
      <c r="Y47">
        <v>19.760000000000002</v>
      </c>
      <c r="Z47">
        <v>25745</v>
      </c>
      <c r="AA47">
        <v>36944</v>
      </c>
      <c r="AB47">
        <v>10865</v>
      </c>
      <c r="AC47" s="5">
        <v>86607</v>
      </c>
      <c r="AD47" s="5">
        <v>22297</v>
      </c>
      <c r="AE47" s="5">
        <v>8159</v>
      </c>
      <c r="AF47" s="5">
        <v>340291</v>
      </c>
      <c r="AG47" s="5">
        <v>582.9</v>
      </c>
      <c r="AH47" s="5"/>
      <c r="AI47" s="5">
        <v>5492</v>
      </c>
      <c r="AK47" s="5">
        <v>53605</v>
      </c>
      <c r="AM47" s="5">
        <v>270.7</v>
      </c>
      <c r="AN47" s="5">
        <v>584.6</v>
      </c>
      <c r="AO47" s="8">
        <v>59.1</v>
      </c>
      <c r="AP47" s="5">
        <v>3302</v>
      </c>
      <c r="AV47" s="8"/>
    </row>
    <row r="48" spans="1:48">
      <c r="A48" t="str">
        <f>VLOOKUP(D48,info!$A$2:$G$49,3,FALSE)</f>
        <v>Mazda</v>
      </c>
      <c r="B48">
        <v>4</v>
      </c>
      <c r="C48" t="s">
        <v>77</v>
      </c>
      <c r="D48">
        <v>3550828</v>
      </c>
      <c r="E48" s="1" t="s">
        <v>34</v>
      </c>
      <c r="F48">
        <v>108062</v>
      </c>
      <c r="G48">
        <v>30125</v>
      </c>
      <c r="H48">
        <v>9824</v>
      </c>
      <c r="I48">
        <v>369218</v>
      </c>
      <c r="J48">
        <v>450.2</v>
      </c>
      <c r="K48">
        <v>182</v>
      </c>
      <c r="L48">
        <v>5875</v>
      </c>
      <c r="M48">
        <v>34535</v>
      </c>
      <c r="N48">
        <v>60797</v>
      </c>
      <c r="O48">
        <v>54899</v>
      </c>
      <c r="P48">
        <v>186.2</v>
      </c>
      <c r="Q48">
        <v>280.2</v>
      </c>
      <c r="R48">
        <v>90.96</v>
      </c>
      <c r="S48">
        <v>3295</v>
      </c>
      <c r="T48">
        <v>13.08</v>
      </c>
      <c r="U48">
        <v>10.34</v>
      </c>
      <c r="V48">
        <v>0</v>
      </c>
      <c r="W48">
        <v>26.46</v>
      </c>
      <c r="X48">
        <v>5.5110000000000001</v>
      </c>
      <c r="Y48">
        <v>38.06</v>
      </c>
      <c r="Z48">
        <v>22455</v>
      </c>
      <c r="AA48">
        <v>40352</v>
      </c>
      <c r="AB48">
        <v>10655</v>
      </c>
      <c r="AC48" s="5">
        <v>91103</v>
      </c>
      <c r="AD48" s="5">
        <v>20802</v>
      </c>
      <c r="AE48" s="5">
        <v>3346</v>
      </c>
      <c r="AF48" s="5">
        <v>342993</v>
      </c>
      <c r="AG48" s="5">
        <v>622.5</v>
      </c>
      <c r="AH48" s="5"/>
      <c r="AI48" s="5">
        <v>1357</v>
      </c>
      <c r="AK48" s="5">
        <v>54856</v>
      </c>
      <c r="AM48" s="5">
        <v>188.7</v>
      </c>
      <c r="AN48" s="5">
        <v>487</v>
      </c>
      <c r="AO48" s="5">
        <v>104</v>
      </c>
      <c r="AP48" s="5">
        <v>5147</v>
      </c>
      <c r="AV48" s="8">
        <v>84.7</v>
      </c>
    </row>
    <row r="49" spans="1:48">
      <c r="A49" t="str">
        <f>VLOOKUP(D49,info!$A$2:$G$49,3,FALSE)</f>
        <v>Peugeot</v>
      </c>
      <c r="B49">
        <v>5</v>
      </c>
      <c r="C49" t="s">
        <v>77</v>
      </c>
      <c r="D49">
        <v>9367324</v>
      </c>
      <c r="E49" s="1" t="s">
        <v>32</v>
      </c>
      <c r="F49">
        <v>105621</v>
      </c>
      <c r="G49">
        <v>26971</v>
      </c>
      <c r="H49">
        <v>2683</v>
      </c>
      <c r="I49">
        <v>371467</v>
      </c>
      <c r="J49">
        <v>264.7</v>
      </c>
      <c r="K49">
        <v>57.43</v>
      </c>
      <c r="L49">
        <v>678.6</v>
      </c>
      <c r="M49">
        <v>23081</v>
      </c>
      <c r="N49">
        <v>62534</v>
      </c>
      <c r="O49">
        <v>56497</v>
      </c>
      <c r="P49">
        <v>77.5</v>
      </c>
      <c r="Q49">
        <v>272</v>
      </c>
      <c r="R49">
        <v>114.8</v>
      </c>
      <c r="S49">
        <v>5271</v>
      </c>
      <c r="T49">
        <v>27.99</v>
      </c>
      <c r="U49">
        <v>7.73</v>
      </c>
      <c r="V49">
        <v>0</v>
      </c>
      <c r="W49">
        <v>14.54</v>
      </c>
      <c r="X49">
        <v>7.9880000000000004</v>
      </c>
      <c r="Y49">
        <v>15.93</v>
      </c>
      <c r="Z49">
        <v>9136</v>
      </c>
      <c r="AA49">
        <v>28036</v>
      </c>
      <c r="AB49">
        <v>2342</v>
      </c>
      <c r="AC49" s="5">
        <v>96298</v>
      </c>
      <c r="AD49" s="5">
        <v>21136</v>
      </c>
      <c r="AE49" s="5">
        <v>1394</v>
      </c>
      <c r="AF49" s="5">
        <v>343685</v>
      </c>
      <c r="AG49" s="5">
        <v>552.5</v>
      </c>
      <c r="AH49" s="5"/>
      <c r="AI49" s="5">
        <v>577.1</v>
      </c>
      <c r="AK49" s="5">
        <v>54822</v>
      </c>
      <c r="AM49" s="5"/>
      <c r="AN49" s="5">
        <v>354.6</v>
      </c>
      <c r="AO49" s="5">
        <v>119.7</v>
      </c>
      <c r="AP49" s="5">
        <v>5181</v>
      </c>
      <c r="AV49" s="8"/>
    </row>
    <row r="50" spans="1:48">
      <c r="A50" t="str">
        <f>VLOOKUP(D50,info!$A$2:$G$49,3,FALSE)</f>
        <v>Mazda</v>
      </c>
      <c r="B50">
        <v>6</v>
      </c>
      <c r="C50" t="s">
        <v>77</v>
      </c>
      <c r="D50" s="2">
        <v>3550828</v>
      </c>
      <c r="E50" s="1" t="s">
        <v>32</v>
      </c>
      <c r="F50">
        <v>89592</v>
      </c>
      <c r="G50">
        <v>27724</v>
      </c>
      <c r="H50">
        <v>10525</v>
      </c>
      <c r="I50">
        <v>348625</v>
      </c>
      <c r="J50">
        <v>209</v>
      </c>
      <c r="K50">
        <v>56.98</v>
      </c>
      <c r="L50">
        <v>6041</v>
      </c>
      <c r="M50">
        <v>31740</v>
      </c>
      <c r="N50">
        <v>58342</v>
      </c>
      <c r="O50">
        <v>52986</v>
      </c>
      <c r="P50">
        <v>194</v>
      </c>
      <c r="Q50">
        <v>281.5</v>
      </c>
      <c r="R50">
        <v>86.53</v>
      </c>
      <c r="S50">
        <v>3530</v>
      </c>
      <c r="T50">
        <v>25.57</v>
      </c>
      <c r="U50">
        <v>3.2120000000000002</v>
      </c>
      <c r="V50">
        <v>9.8059999999999992</v>
      </c>
      <c r="W50">
        <v>22.14</v>
      </c>
      <c r="X50">
        <v>23.81</v>
      </c>
      <c r="Y50">
        <v>25.99</v>
      </c>
      <c r="Z50">
        <v>9970</v>
      </c>
      <c r="AA50">
        <v>26429</v>
      </c>
      <c r="AB50">
        <v>3819</v>
      </c>
      <c r="AC50" s="5">
        <v>86676</v>
      </c>
      <c r="AD50" s="5">
        <v>22280</v>
      </c>
      <c r="AE50" s="5">
        <v>8300</v>
      </c>
      <c r="AF50" s="5">
        <v>341547</v>
      </c>
      <c r="AG50" s="5">
        <v>520.70000000000005</v>
      </c>
      <c r="AH50" s="5"/>
      <c r="AI50" s="5">
        <v>5490</v>
      </c>
      <c r="AK50" s="5">
        <v>53553</v>
      </c>
      <c r="AM50" s="5"/>
      <c r="AN50" s="5">
        <v>404.1</v>
      </c>
      <c r="AO50" s="8">
        <v>60.8</v>
      </c>
      <c r="AP50" s="5">
        <v>3263</v>
      </c>
      <c r="AV50" s="8"/>
    </row>
    <row r="51" spans="1:48">
      <c r="A51" t="str">
        <f>VLOOKUP(D51,info!$A$2:$G$49,3,FALSE)</f>
        <v>Honda</v>
      </c>
      <c r="B51">
        <v>8</v>
      </c>
      <c r="C51" t="s">
        <v>77</v>
      </c>
      <c r="D51">
        <v>8096906</v>
      </c>
      <c r="E51" s="1" t="s">
        <v>32</v>
      </c>
      <c r="F51">
        <v>104001</v>
      </c>
      <c r="G51">
        <v>26361</v>
      </c>
      <c r="H51">
        <v>2152</v>
      </c>
      <c r="I51">
        <v>361858</v>
      </c>
      <c r="J51">
        <v>455.9</v>
      </c>
      <c r="K51">
        <v>299.89999999999998</v>
      </c>
      <c r="L51">
        <v>438.2</v>
      </c>
      <c r="M51">
        <v>27188</v>
      </c>
      <c r="N51">
        <v>59362</v>
      </c>
      <c r="O51">
        <v>53213</v>
      </c>
      <c r="P51">
        <v>104</v>
      </c>
      <c r="Q51">
        <v>78.48</v>
      </c>
      <c r="R51">
        <v>23.94</v>
      </c>
      <c r="S51">
        <v>2588</v>
      </c>
      <c r="T51">
        <v>6.8170000000000002</v>
      </c>
      <c r="U51">
        <v>3.94</v>
      </c>
      <c r="V51">
        <v>0</v>
      </c>
      <c r="W51">
        <v>15.61</v>
      </c>
      <c r="X51">
        <v>19.2</v>
      </c>
      <c r="Y51">
        <v>8.093</v>
      </c>
      <c r="Z51">
        <v>37568</v>
      </c>
      <c r="AA51">
        <v>41955</v>
      </c>
      <c r="AB51">
        <v>14521</v>
      </c>
      <c r="AC51" s="5">
        <v>88404</v>
      </c>
      <c r="AD51" s="5">
        <v>21627</v>
      </c>
      <c r="AE51" s="5">
        <v>906.2</v>
      </c>
      <c r="AF51" s="5">
        <v>349310</v>
      </c>
      <c r="AG51" s="5">
        <v>598.9</v>
      </c>
      <c r="AH51" s="5"/>
      <c r="AI51" s="5">
        <v>561.20000000000005</v>
      </c>
      <c r="AK51" s="5">
        <v>54166</v>
      </c>
      <c r="AM51" s="5"/>
      <c r="AN51" s="5">
        <v>408.6</v>
      </c>
      <c r="AO51" s="9">
        <v>0</v>
      </c>
      <c r="AP51" s="5">
        <v>3011</v>
      </c>
      <c r="AV51" s="8">
        <v>36.6</v>
      </c>
    </row>
    <row r="52" spans="1:48">
      <c r="A52" t="str">
        <f>VLOOKUP(D52,info!$A$2:$G$49,3,FALSE)</f>
        <v>Honda</v>
      </c>
      <c r="B52">
        <v>9</v>
      </c>
      <c r="C52" t="s">
        <v>77</v>
      </c>
      <c r="D52" s="2">
        <v>8096906</v>
      </c>
      <c r="E52" s="1" t="s">
        <v>34</v>
      </c>
      <c r="F52">
        <v>98702</v>
      </c>
      <c r="G52">
        <v>28091</v>
      </c>
      <c r="H52">
        <v>2178</v>
      </c>
      <c r="I52">
        <v>388769</v>
      </c>
      <c r="J52">
        <v>414.2</v>
      </c>
      <c r="K52">
        <v>187.6</v>
      </c>
      <c r="L52">
        <v>496.7</v>
      </c>
      <c r="M52">
        <v>23931</v>
      </c>
      <c r="N52">
        <v>62412</v>
      </c>
      <c r="O52">
        <v>56706</v>
      </c>
      <c r="P52">
        <v>75.13</v>
      </c>
      <c r="Q52">
        <v>282.60000000000002</v>
      </c>
      <c r="R52">
        <v>34.700000000000003</v>
      </c>
      <c r="S52">
        <v>3461</v>
      </c>
      <c r="T52">
        <v>17.09</v>
      </c>
      <c r="U52">
        <v>10.77</v>
      </c>
      <c r="V52">
        <v>11.79</v>
      </c>
      <c r="W52">
        <v>13.09</v>
      </c>
      <c r="X52">
        <v>2.2000000000000002</v>
      </c>
      <c r="Y52">
        <v>33.090000000000003</v>
      </c>
      <c r="Z52">
        <v>9334</v>
      </c>
      <c r="AA52">
        <v>31046</v>
      </c>
      <c r="AB52">
        <v>2488</v>
      </c>
      <c r="AC52" s="5">
        <v>87610</v>
      </c>
      <c r="AD52" s="5">
        <v>21759</v>
      </c>
      <c r="AE52" s="5">
        <v>918.2</v>
      </c>
      <c r="AF52" s="5">
        <v>350010</v>
      </c>
      <c r="AG52" s="5">
        <v>671.5</v>
      </c>
      <c r="AH52" s="5"/>
      <c r="AI52" s="5">
        <v>463.1</v>
      </c>
      <c r="AK52" s="5">
        <v>54280</v>
      </c>
      <c r="AM52" s="5"/>
      <c r="AN52" s="5">
        <v>374.6</v>
      </c>
      <c r="AO52" s="9">
        <v>0</v>
      </c>
      <c r="AP52" s="5">
        <v>3048</v>
      </c>
      <c r="AV52" s="8"/>
    </row>
    <row r="53" spans="1:48">
      <c r="A53" t="str">
        <f>VLOOKUP(D53,info!$A$2:$G$49,3,FALSE)</f>
        <v>Ford</v>
      </c>
      <c r="B53">
        <v>10</v>
      </c>
      <c r="C53" t="s">
        <v>77</v>
      </c>
      <c r="D53">
        <v>6917835</v>
      </c>
      <c r="E53" s="1" t="s">
        <v>32</v>
      </c>
      <c r="F53">
        <v>94341</v>
      </c>
      <c r="G53">
        <v>29167</v>
      </c>
      <c r="H53">
        <v>6122</v>
      </c>
      <c r="I53">
        <v>371896</v>
      </c>
      <c r="J53">
        <v>369.7</v>
      </c>
      <c r="K53">
        <v>119.8</v>
      </c>
      <c r="L53">
        <v>2613</v>
      </c>
      <c r="M53">
        <v>26054</v>
      </c>
      <c r="N53">
        <v>61903</v>
      </c>
      <c r="O53">
        <v>55567</v>
      </c>
      <c r="P53">
        <v>238.8</v>
      </c>
      <c r="Q53">
        <v>404.1</v>
      </c>
      <c r="R53">
        <v>70.64</v>
      </c>
      <c r="S53">
        <v>6774</v>
      </c>
      <c r="T53">
        <v>40.229999999999997</v>
      </c>
      <c r="U53">
        <v>11.11</v>
      </c>
      <c r="V53">
        <v>5.7439999999999998</v>
      </c>
      <c r="W53">
        <v>13.82</v>
      </c>
      <c r="X53">
        <v>0</v>
      </c>
      <c r="Y53">
        <v>41.11</v>
      </c>
      <c r="Z53">
        <v>11862</v>
      </c>
      <c r="AA53">
        <v>26542</v>
      </c>
      <c r="AB53">
        <v>3121</v>
      </c>
      <c r="AC53" s="5">
        <v>84919</v>
      </c>
      <c r="AD53" s="5">
        <v>21377</v>
      </c>
      <c r="AE53" s="5">
        <v>9513</v>
      </c>
      <c r="AF53" s="5">
        <v>336106</v>
      </c>
      <c r="AG53" s="5">
        <v>477.5</v>
      </c>
      <c r="AH53" s="5"/>
      <c r="AI53" s="5">
        <v>2484</v>
      </c>
      <c r="AK53" s="5">
        <v>51498</v>
      </c>
      <c r="AM53" s="5"/>
      <c r="AN53" s="5">
        <v>366.9</v>
      </c>
      <c r="AO53" s="8">
        <v>30.3</v>
      </c>
      <c r="AP53" s="5">
        <v>6348</v>
      </c>
      <c r="AV53" s="8">
        <v>99.6</v>
      </c>
    </row>
    <row r="54" spans="1:48">
      <c r="A54" t="str">
        <f>VLOOKUP(D54,info!$A$2:$G$49,3,FALSE)</f>
        <v>Honda</v>
      </c>
      <c r="B54">
        <v>11</v>
      </c>
      <c r="C54" t="s">
        <v>77</v>
      </c>
      <c r="D54" s="2">
        <v>8096906</v>
      </c>
      <c r="E54" s="1" t="s">
        <v>34</v>
      </c>
      <c r="F54">
        <v>93716</v>
      </c>
      <c r="G54">
        <v>24851</v>
      </c>
      <c r="H54">
        <v>1745</v>
      </c>
      <c r="I54">
        <v>353722</v>
      </c>
      <c r="J54">
        <v>286.60000000000002</v>
      </c>
      <c r="K54">
        <v>289</v>
      </c>
      <c r="L54">
        <v>385.7</v>
      </c>
      <c r="M54">
        <v>26195</v>
      </c>
      <c r="N54">
        <v>61354</v>
      </c>
      <c r="O54">
        <v>54450</v>
      </c>
      <c r="P54">
        <v>87</v>
      </c>
      <c r="Q54">
        <v>408.2</v>
      </c>
      <c r="R54">
        <v>66.58</v>
      </c>
      <c r="S54">
        <v>3853</v>
      </c>
      <c r="T54">
        <v>21.33</v>
      </c>
      <c r="U54">
        <v>9.0749999999999993</v>
      </c>
      <c r="V54">
        <v>9.5670000000000002</v>
      </c>
      <c r="W54">
        <v>17.82</v>
      </c>
      <c r="X54">
        <v>0</v>
      </c>
      <c r="Y54">
        <v>16.18</v>
      </c>
      <c r="Z54">
        <v>37073</v>
      </c>
      <c r="AA54">
        <v>39483</v>
      </c>
      <c r="AB54">
        <v>14724</v>
      </c>
      <c r="AC54" s="5">
        <v>84318</v>
      </c>
      <c r="AD54" s="5">
        <v>21485</v>
      </c>
      <c r="AE54" s="5">
        <v>1471</v>
      </c>
      <c r="AF54" s="5">
        <v>350254</v>
      </c>
      <c r="AG54" s="5">
        <v>752.6</v>
      </c>
      <c r="AH54" s="5"/>
      <c r="AI54" s="5">
        <v>572.20000000000005</v>
      </c>
      <c r="AK54" s="5">
        <v>55363</v>
      </c>
      <c r="AM54" s="5"/>
      <c r="AN54" s="5">
        <v>335.8</v>
      </c>
      <c r="AO54" s="9">
        <v>0</v>
      </c>
      <c r="AP54" s="5">
        <v>3178</v>
      </c>
      <c r="AV54" s="8"/>
    </row>
    <row r="55" spans="1:48">
      <c r="A55" t="str">
        <f>VLOOKUP(D55,info!$A$2:$G$49,3,FALSE)</f>
        <v>Daewoo</v>
      </c>
      <c r="B55">
        <v>12</v>
      </c>
      <c r="C55" t="s">
        <v>77</v>
      </c>
      <c r="D55">
        <v>8501017</v>
      </c>
      <c r="E55" s="1" t="s">
        <v>34</v>
      </c>
      <c r="F55">
        <v>97620</v>
      </c>
      <c r="G55">
        <v>28589</v>
      </c>
      <c r="H55">
        <v>7562</v>
      </c>
      <c r="I55">
        <v>379595</v>
      </c>
      <c r="J55">
        <v>532</v>
      </c>
      <c r="K55">
        <v>30.85</v>
      </c>
      <c r="L55">
        <v>4691</v>
      </c>
      <c r="M55">
        <v>31256</v>
      </c>
      <c r="N55">
        <v>59582</v>
      </c>
      <c r="O55">
        <v>53995</v>
      </c>
      <c r="P55">
        <v>215.3</v>
      </c>
      <c r="Q55">
        <v>308.60000000000002</v>
      </c>
      <c r="R55">
        <v>69.61</v>
      </c>
      <c r="S55">
        <v>3724</v>
      </c>
      <c r="T55">
        <v>21.26</v>
      </c>
      <c r="U55">
        <v>3.4470000000000001</v>
      </c>
      <c r="V55">
        <v>11.86</v>
      </c>
      <c r="W55">
        <v>21.21</v>
      </c>
      <c r="X55">
        <v>9.0760000000000005</v>
      </c>
      <c r="Y55">
        <v>36.08</v>
      </c>
      <c r="Z55">
        <v>11126</v>
      </c>
      <c r="AA55">
        <v>29401</v>
      </c>
      <c r="AB55">
        <v>3733</v>
      </c>
      <c r="AC55" s="5">
        <v>86638</v>
      </c>
      <c r="AD55" s="5">
        <v>21576</v>
      </c>
      <c r="AE55" s="5">
        <v>5889</v>
      </c>
      <c r="AF55" s="5">
        <v>344368</v>
      </c>
      <c r="AG55" s="5">
        <v>819.8</v>
      </c>
      <c r="AH55" s="5"/>
      <c r="AI55" s="5">
        <v>4174</v>
      </c>
      <c r="AK55" s="5">
        <v>52113</v>
      </c>
      <c r="AM55" s="5">
        <v>223.2</v>
      </c>
      <c r="AN55" s="5">
        <v>384.6</v>
      </c>
      <c r="AO55" s="8">
        <v>27.4</v>
      </c>
      <c r="AP55" s="5">
        <v>3005</v>
      </c>
      <c r="AV55" s="8">
        <v>48.5</v>
      </c>
    </row>
    <row r="56" spans="1:48">
      <c r="A56" t="str">
        <f>VLOOKUP(D56,info!$A$2:$G$49,3,FALSE)</f>
        <v>Peugeot</v>
      </c>
      <c r="B56">
        <v>14</v>
      </c>
      <c r="C56" t="s">
        <v>77</v>
      </c>
      <c r="D56">
        <v>9367324</v>
      </c>
      <c r="E56" s="1" t="s">
        <v>34</v>
      </c>
      <c r="F56">
        <v>119774</v>
      </c>
      <c r="G56">
        <v>30545</v>
      </c>
      <c r="H56">
        <v>7444</v>
      </c>
      <c r="I56">
        <v>379315</v>
      </c>
      <c r="J56">
        <v>466.4</v>
      </c>
      <c r="K56">
        <v>314.7</v>
      </c>
      <c r="L56">
        <v>3224</v>
      </c>
      <c r="M56">
        <v>34212</v>
      </c>
      <c r="N56">
        <v>71851</v>
      </c>
      <c r="O56">
        <v>64293</v>
      </c>
      <c r="P56">
        <v>260.3</v>
      </c>
      <c r="Q56">
        <v>98.35</v>
      </c>
      <c r="R56">
        <v>72.3</v>
      </c>
      <c r="S56">
        <v>2907</v>
      </c>
      <c r="T56">
        <v>20.77</v>
      </c>
      <c r="U56">
        <v>4.8380000000000001</v>
      </c>
      <c r="V56">
        <v>0</v>
      </c>
      <c r="W56">
        <v>22.49</v>
      </c>
      <c r="X56">
        <v>5.4139999999999997</v>
      </c>
      <c r="Y56">
        <v>0</v>
      </c>
      <c r="Z56">
        <v>28248</v>
      </c>
      <c r="AA56">
        <v>45059</v>
      </c>
      <c r="AB56">
        <v>11448</v>
      </c>
      <c r="AC56" s="5">
        <v>90300</v>
      </c>
      <c r="AD56" s="5">
        <v>21051</v>
      </c>
      <c r="AE56" s="5">
        <v>5840</v>
      </c>
      <c r="AF56" s="5">
        <v>336983</v>
      </c>
      <c r="AG56" s="5">
        <v>762.7</v>
      </c>
      <c r="AH56" s="5"/>
      <c r="AI56" s="5">
        <v>2773</v>
      </c>
      <c r="AK56" s="5">
        <v>61515</v>
      </c>
      <c r="AM56" s="5">
        <v>255.5</v>
      </c>
      <c r="AN56" s="5">
        <v>484.8</v>
      </c>
      <c r="AO56" s="8">
        <v>67.2</v>
      </c>
      <c r="AP56" s="5">
        <v>3193</v>
      </c>
      <c r="AV56" s="8"/>
    </row>
    <row r="57" spans="1:48">
      <c r="A57" t="str">
        <f>VLOOKUP(D57,info!$A$2:$G$49,3,FALSE)</f>
        <v>Ford</v>
      </c>
      <c r="B57">
        <v>15</v>
      </c>
      <c r="C57" t="s">
        <v>77</v>
      </c>
      <c r="D57">
        <v>6917835</v>
      </c>
      <c r="E57" t="s">
        <v>34</v>
      </c>
      <c r="F57">
        <v>113595</v>
      </c>
      <c r="G57">
        <v>33426</v>
      </c>
      <c r="H57">
        <v>6884</v>
      </c>
      <c r="I57">
        <v>407778</v>
      </c>
      <c r="J57">
        <v>375.3</v>
      </c>
      <c r="K57">
        <v>62.4</v>
      </c>
      <c r="L57">
        <v>2713</v>
      </c>
      <c r="M57">
        <v>29476</v>
      </c>
      <c r="N57">
        <v>65008</v>
      </c>
      <c r="O57">
        <v>58186</v>
      </c>
      <c r="P57">
        <v>253.3</v>
      </c>
      <c r="Q57">
        <v>211.7</v>
      </c>
      <c r="R57">
        <v>58.36</v>
      </c>
      <c r="S57">
        <v>6134</v>
      </c>
      <c r="T57">
        <v>30.53</v>
      </c>
      <c r="U57">
        <v>15.29</v>
      </c>
      <c r="V57">
        <v>2.0089999999999999</v>
      </c>
      <c r="W57">
        <v>23.58</v>
      </c>
      <c r="X57">
        <v>27.58</v>
      </c>
      <c r="Y57">
        <v>55.97</v>
      </c>
      <c r="Z57">
        <v>13283</v>
      </c>
      <c r="AA57">
        <v>29561</v>
      </c>
      <c r="AB57">
        <v>3630</v>
      </c>
      <c r="AC57" s="5">
        <v>91285</v>
      </c>
      <c r="AD57" s="5">
        <v>21864</v>
      </c>
      <c r="AE57" s="5">
        <v>4815</v>
      </c>
      <c r="AF57" s="5">
        <v>335701</v>
      </c>
      <c r="AG57" s="5">
        <v>496.8</v>
      </c>
      <c r="AH57" s="5"/>
      <c r="AI57" s="5">
        <v>2120</v>
      </c>
      <c r="AK57" s="5">
        <v>53620</v>
      </c>
      <c r="AM57" s="5">
        <v>282.89999999999998</v>
      </c>
      <c r="AN57" s="5">
        <v>287.89999999999998</v>
      </c>
      <c r="AO57" s="8">
        <v>25.2</v>
      </c>
      <c r="AP57" s="5">
        <v>6242</v>
      </c>
      <c r="AV57" s="8">
        <v>74.8</v>
      </c>
    </row>
    <row r="58" spans="1:48">
      <c r="A58" t="str">
        <f>VLOOKUP(D58,info!$A$2:$G$49,3,FALSE)</f>
        <v>Hyundai</v>
      </c>
      <c r="B58">
        <v>16</v>
      </c>
      <c r="C58" t="s">
        <v>77</v>
      </c>
      <c r="D58">
        <v>6316720</v>
      </c>
      <c r="E58" t="s">
        <v>34</v>
      </c>
      <c r="F58">
        <v>104277</v>
      </c>
      <c r="G58">
        <v>29144</v>
      </c>
      <c r="H58">
        <v>8448</v>
      </c>
      <c r="I58">
        <v>371220</v>
      </c>
      <c r="J58">
        <v>480.8</v>
      </c>
      <c r="K58">
        <v>401.7</v>
      </c>
      <c r="L58">
        <v>3198</v>
      </c>
      <c r="M58">
        <v>34382</v>
      </c>
      <c r="N58">
        <v>72334</v>
      </c>
      <c r="O58">
        <v>65236</v>
      </c>
      <c r="P58">
        <v>239.7</v>
      </c>
      <c r="Q58">
        <v>338.7</v>
      </c>
      <c r="R58">
        <v>107.1</v>
      </c>
      <c r="S58">
        <v>3761</v>
      </c>
      <c r="T58">
        <v>36.840000000000003</v>
      </c>
      <c r="U58">
        <v>9.1910000000000007</v>
      </c>
      <c r="V58">
        <v>0</v>
      </c>
      <c r="W58">
        <v>25.69</v>
      </c>
      <c r="X58">
        <v>8.2850000000000001</v>
      </c>
      <c r="Y58">
        <v>0</v>
      </c>
      <c r="Z58">
        <v>24936</v>
      </c>
      <c r="AA58">
        <v>46141</v>
      </c>
      <c r="AB58">
        <v>11711</v>
      </c>
      <c r="AC58" s="5">
        <v>100752</v>
      </c>
      <c r="AD58" s="5">
        <v>22557</v>
      </c>
      <c r="AE58" s="5">
        <v>5450</v>
      </c>
      <c r="AF58" s="5">
        <v>332501</v>
      </c>
      <c r="AG58" s="5">
        <v>753.8</v>
      </c>
      <c r="AH58" s="5"/>
      <c r="AI58" s="5">
        <v>2470</v>
      </c>
      <c r="AK58" s="5">
        <v>54917</v>
      </c>
      <c r="AM58" s="5">
        <v>213.5</v>
      </c>
      <c r="AN58" s="5">
        <v>394.1</v>
      </c>
      <c r="AO58" s="8">
        <v>64</v>
      </c>
      <c r="AP58" s="5">
        <v>2595</v>
      </c>
      <c r="AV58" s="8">
        <v>31.8</v>
      </c>
    </row>
    <row r="59" spans="1:48">
      <c r="A59" t="str">
        <f>VLOOKUP(D59,info!$A$2:$G$49,3,FALSE)</f>
        <v>Hyundai</v>
      </c>
      <c r="B59">
        <v>17</v>
      </c>
      <c r="C59" t="s">
        <v>77</v>
      </c>
      <c r="D59">
        <v>6316720</v>
      </c>
      <c r="E59" t="s">
        <v>34</v>
      </c>
      <c r="F59">
        <v>108132</v>
      </c>
      <c r="G59">
        <v>29579</v>
      </c>
      <c r="H59">
        <v>8377</v>
      </c>
      <c r="I59">
        <v>378324</v>
      </c>
      <c r="J59">
        <v>532.79999999999995</v>
      </c>
      <c r="K59">
        <v>366.8</v>
      </c>
      <c r="L59">
        <v>3245</v>
      </c>
      <c r="M59">
        <v>36571</v>
      </c>
      <c r="N59">
        <v>73851</v>
      </c>
      <c r="O59">
        <v>66326</v>
      </c>
      <c r="P59">
        <v>238.1</v>
      </c>
      <c r="Q59">
        <v>379</v>
      </c>
      <c r="R59">
        <v>104.8</v>
      </c>
      <c r="S59">
        <v>3970</v>
      </c>
      <c r="T59">
        <v>31.8</v>
      </c>
      <c r="U59">
        <v>13.75</v>
      </c>
      <c r="V59">
        <v>19.89</v>
      </c>
      <c r="W59">
        <v>20.98</v>
      </c>
      <c r="X59">
        <v>24.62</v>
      </c>
      <c r="Y59">
        <v>41.87</v>
      </c>
      <c r="Z59">
        <v>27133</v>
      </c>
      <c r="AA59">
        <v>48940</v>
      </c>
      <c r="AB59">
        <v>12722</v>
      </c>
      <c r="AC59" s="5">
        <v>91464</v>
      </c>
      <c r="AD59" s="5">
        <v>21447</v>
      </c>
      <c r="AE59" s="5">
        <v>5451</v>
      </c>
      <c r="AF59" s="5">
        <v>338755</v>
      </c>
      <c r="AG59" s="5">
        <v>683.7</v>
      </c>
      <c r="AH59" s="5"/>
      <c r="AI59" s="5">
        <v>2662</v>
      </c>
      <c r="AK59" s="5">
        <v>60147</v>
      </c>
      <c r="AM59" s="5">
        <v>258.8</v>
      </c>
      <c r="AN59" s="5">
        <v>338</v>
      </c>
      <c r="AO59" s="8">
        <v>70.400000000000006</v>
      </c>
      <c r="AP59" s="5">
        <v>2877</v>
      </c>
      <c r="AV59" s="8"/>
    </row>
    <row r="60" spans="1:48">
      <c r="A60" t="str">
        <f>VLOOKUP(D60,info!$A$2:$G$49,3,FALSE)</f>
        <v>Honda</v>
      </c>
      <c r="B60">
        <v>18</v>
      </c>
      <c r="C60" t="s">
        <v>77</v>
      </c>
      <c r="D60">
        <v>8096906</v>
      </c>
      <c r="E60" t="s">
        <v>32</v>
      </c>
      <c r="F60">
        <v>101310</v>
      </c>
      <c r="G60">
        <v>26481</v>
      </c>
      <c r="H60">
        <v>2029</v>
      </c>
      <c r="I60">
        <v>375477</v>
      </c>
      <c r="J60">
        <v>285.5</v>
      </c>
      <c r="K60">
        <v>262.89999999999998</v>
      </c>
      <c r="L60">
        <v>400.7</v>
      </c>
      <c r="M60">
        <v>27080</v>
      </c>
      <c r="N60">
        <v>62638</v>
      </c>
      <c r="O60">
        <v>55521</v>
      </c>
      <c r="P60">
        <v>92.5</v>
      </c>
      <c r="Q60">
        <v>331.4</v>
      </c>
      <c r="R60">
        <v>43.68</v>
      </c>
      <c r="S60">
        <v>3639</v>
      </c>
      <c r="T60">
        <v>19.05</v>
      </c>
      <c r="U60">
        <v>15.1</v>
      </c>
      <c r="V60">
        <v>10.71</v>
      </c>
      <c r="W60">
        <v>16.57</v>
      </c>
      <c r="X60">
        <v>4.5919999999999996</v>
      </c>
      <c r="Y60">
        <v>21.89</v>
      </c>
      <c r="Z60">
        <v>36883</v>
      </c>
      <c r="AA60">
        <v>42188</v>
      </c>
      <c r="AB60">
        <v>14484</v>
      </c>
      <c r="AC60" s="5">
        <v>86791</v>
      </c>
      <c r="AD60" s="5">
        <v>21608</v>
      </c>
      <c r="AE60" s="5">
        <v>1198</v>
      </c>
      <c r="AF60" s="5">
        <v>349834</v>
      </c>
      <c r="AG60" s="5">
        <v>644</v>
      </c>
      <c r="AH60" s="5"/>
      <c r="AI60" s="5">
        <v>457.1</v>
      </c>
      <c r="AK60" s="5">
        <v>55180</v>
      </c>
      <c r="AM60" s="5"/>
      <c r="AN60" s="5">
        <v>313.60000000000002</v>
      </c>
      <c r="AO60" s="9">
        <v>0</v>
      </c>
      <c r="AP60" s="5">
        <v>3125</v>
      </c>
      <c r="AV60" s="8">
        <v>49.1</v>
      </c>
    </row>
    <row r="61" spans="1:48">
      <c r="A61" t="str">
        <f>VLOOKUP(D61,info!$A$2:$G$49,3,FALSE)</f>
        <v>Hyundai</v>
      </c>
      <c r="B61">
        <v>19</v>
      </c>
      <c r="C61" t="s">
        <v>77</v>
      </c>
      <c r="D61">
        <v>6316720</v>
      </c>
      <c r="E61" t="s">
        <v>32</v>
      </c>
      <c r="F61">
        <v>112324</v>
      </c>
      <c r="G61">
        <v>30102</v>
      </c>
      <c r="H61">
        <v>7988</v>
      </c>
      <c r="I61">
        <v>385652</v>
      </c>
      <c r="J61">
        <v>522.20000000000005</v>
      </c>
      <c r="K61">
        <v>367.7</v>
      </c>
      <c r="L61">
        <v>3249</v>
      </c>
      <c r="M61">
        <v>34124</v>
      </c>
      <c r="N61">
        <v>73325</v>
      </c>
      <c r="O61">
        <v>65042</v>
      </c>
      <c r="P61">
        <v>249.5</v>
      </c>
      <c r="Q61">
        <v>229.4</v>
      </c>
      <c r="R61">
        <v>76.3</v>
      </c>
      <c r="S61">
        <v>3024</v>
      </c>
      <c r="T61">
        <v>23.12</v>
      </c>
      <c r="U61">
        <v>6.1269999999999998</v>
      </c>
      <c r="V61">
        <v>5.8460000000000001</v>
      </c>
      <c r="W61">
        <v>15.65</v>
      </c>
      <c r="X61">
        <v>7.7679999999999998</v>
      </c>
      <c r="Y61">
        <v>25.93</v>
      </c>
      <c r="Z61">
        <v>29001</v>
      </c>
      <c r="AA61">
        <v>44340</v>
      </c>
      <c r="AB61">
        <v>11682</v>
      </c>
      <c r="AC61" s="5">
        <v>90389</v>
      </c>
      <c r="AD61" s="5">
        <v>20851</v>
      </c>
      <c r="AE61" s="5">
        <v>5556</v>
      </c>
      <c r="AF61" s="5">
        <v>332557</v>
      </c>
      <c r="AG61" s="5">
        <v>694.5</v>
      </c>
      <c r="AH61" s="5">
        <v>249.8</v>
      </c>
      <c r="AI61" s="5">
        <v>2696</v>
      </c>
      <c r="AK61" s="5">
        <v>62285</v>
      </c>
      <c r="AM61" s="5">
        <v>278.89999999999998</v>
      </c>
      <c r="AN61" s="5">
        <v>442.5</v>
      </c>
      <c r="AO61" s="8">
        <v>76.599999999999994</v>
      </c>
      <c r="AP61" s="5">
        <v>2783</v>
      </c>
      <c r="AV61" s="8">
        <v>38.700000000000003</v>
      </c>
    </row>
    <row r="62" spans="1:48">
      <c r="A62" t="str">
        <f>VLOOKUP(D62,info!$A$2:$G$49,3,FALSE)</f>
        <v>Fiat</v>
      </c>
      <c r="B62">
        <v>20</v>
      </c>
      <c r="C62" t="s">
        <v>77</v>
      </c>
      <c r="D62">
        <v>5751910</v>
      </c>
      <c r="E62" t="s">
        <v>34</v>
      </c>
      <c r="F62">
        <v>107190</v>
      </c>
      <c r="G62">
        <v>27835</v>
      </c>
      <c r="H62">
        <v>5165</v>
      </c>
      <c r="I62">
        <v>378293</v>
      </c>
      <c r="J62">
        <v>269.2</v>
      </c>
      <c r="K62">
        <v>194.8</v>
      </c>
      <c r="L62">
        <v>2873</v>
      </c>
      <c r="M62">
        <v>28826</v>
      </c>
      <c r="N62">
        <v>58499</v>
      </c>
      <c r="O62">
        <v>52304</v>
      </c>
      <c r="P62">
        <v>272.8</v>
      </c>
      <c r="Q62">
        <v>317.10000000000002</v>
      </c>
      <c r="R62">
        <v>68.540000000000006</v>
      </c>
      <c r="S62">
        <v>5554</v>
      </c>
      <c r="T62">
        <v>28.31</v>
      </c>
      <c r="U62">
        <v>7.8650000000000002</v>
      </c>
      <c r="V62">
        <v>14.04</v>
      </c>
      <c r="W62">
        <v>19.45</v>
      </c>
      <c r="X62">
        <v>2.5249999999999999</v>
      </c>
      <c r="Y62">
        <v>9.0020000000000007</v>
      </c>
      <c r="Z62">
        <v>33645</v>
      </c>
      <c r="AA62">
        <v>38413</v>
      </c>
      <c r="AB62">
        <v>12426</v>
      </c>
      <c r="AC62" s="5">
        <v>92759</v>
      </c>
      <c r="AD62" s="5">
        <v>20763</v>
      </c>
      <c r="AE62" s="5">
        <v>3956</v>
      </c>
      <c r="AF62" s="5">
        <v>338684</v>
      </c>
      <c r="AG62" s="5">
        <v>556</v>
      </c>
      <c r="AH62" s="5"/>
      <c r="AI62" s="5">
        <v>2486</v>
      </c>
      <c r="AK62" s="5">
        <v>50986</v>
      </c>
      <c r="AM62" s="5">
        <v>307.8</v>
      </c>
      <c r="AN62" s="5">
        <v>319.89999999999998</v>
      </c>
      <c r="AO62" s="8">
        <v>49.2</v>
      </c>
      <c r="AP62" s="5">
        <v>5457</v>
      </c>
      <c r="AV62" s="8">
        <v>57.8</v>
      </c>
    </row>
    <row r="63" spans="1:48">
      <c r="A63" t="str">
        <f>VLOOKUP(D63,info!$A$2:$G$49,3,FALSE)</f>
        <v>Hyundai</v>
      </c>
      <c r="B63">
        <v>21</v>
      </c>
      <c r="C63" t="s">
        <v>77</v>
      </c>
      <c r="D63">
        <v>5826120</v>
      </c>
      <c r="E63" t="s">
        <v>52</v>
      </c>
      <c r="F63">
        <v>104434</v>
      </c>
      <c r="G63">
        <v>28586</v>
      </c>
      <c r="H63">
        <v>7453</v>
      </c>
      <c r="I63">
        <v>376117</v>
      </c>
      <c r="J63">
        <v>581.20000000000005</v>
      </c>
      <c r="K63">
        <v>345.9</v>
      </c>
      <c r="L63">
        <v>2654</v>
      </c>
      <c r="M63">
        <v>31799</v>
      </c>
      <c r="N63">
        <v>73993</v>
      </c>
      <c r="O63">
        <v>65546</v>
      </c>
      <c r="P63">
        <v>294.3</v>
      </c>
      <c r="Q63">
        <v>392.8</v>
      </c>
      <c r="R63">
        <v>110.7</v>
      </c>
      <c r="S63">
        <v>3569</v>
      </c>
      <c r="T63">
        <v>26.56</v>
      </c>
      <c r="U63">
        <v>8.0109999999999992</v>
      </c>
      <c r="V63">
        <v>15.6</v>
      </c>
      <c r="W63">
        <v>19.82</v>
      </c>
      <c r="X63">
        <v>23.56</v>
      </c>
      <c r="Y63">
        <v>32.840000000000003</v>
      </c>
      <c r="Z63">
        <v>30543</v>
      </c>
      <c r="AA63">
        <v>41308</v>
      </c>
      <c r="AB63">
        <v>11166</v>
      </c>
      <c r="AC63" s="5">
        <v>90491</v>
      </c>
      <c r="AD63" s="5">
        <v>21433</v>
      </c>
      <c r="AE63" s="5">
        <v>5437</v>
      </c>
      <c r="AF63" s="5">
        <v>338381</v>
      </c>
      <c r="AG63" s="5">
        <v>796.6</v>
      </c>
      <c r="AH63" s="5"/>
      <c r="AI63" s="5">
        <v>2286</v>
      </c>
      <c r="AK63" s="5">
        <v>63193</v>
      </c>
      <c r="AM63" s="5">
        <v>252.4</v>
      </c>
      <c r="AN63" s="5">
        <v>325.10000000000002</v>
      </c>
      <c r="AO63" s="8">
        <v>76.099999999999994</v>
      </c>
      <c r="AP63" s="5">
        <v>3306</v>
      </c>
      <c r="AV63" s="8">
        <v>40.9</v>
      </c>
    </row>
    <row r="64" spans="1:48">
      <c r="A64" t="str">
        <f>VLOOKUP(D64,info!$A$2:$G$49,3,FALSE)</f>
        <v>Daewoo</v>
      </c>
      <c r="B64">
        <v>22</v>
      </c>
      <c r="C64" t="s">
        <v>77</v>
      </c>
      <c r="D64">
        <v>8501017</v>
      </c>
      <c r="E64" s="1" t="s">
        <v>34</v>
      </c>
      <c r="F64">
        <v>98544</v>
      </c>
      <c r="G64">
        <v>27607</v>
      </c>
      <c r="H64">
        <v>7365</v>
      </c>
      <c r="I64">
        <v>370300</v>
      </c>
      <c r="J64">
        <v>568.9</v>
      </c>
      <c r="K64">
        <v>63.27</v>
      </c>
      <c r="L64">
        <v>4660</v>
      </c>
      <c r="M64">
        <v>31956</v>
      </c>
      <c r="N64">
        <v>59115</v>
      </c>
      <c r="O64">
        <v>53361</v>
      </c>
      <c r="P64">
        <v>232.9</v>
      </c>
      <c r="Q64">
        <v>316.89999999999998</v>
      </c>
      <c r="R64">
        <v>63.1</v>
      </c>
      <c r="S64">
        <v>3668</v>
      </c>
      <c r="T64">
        <v>19.79</v>
      </c>
      <c r="U64">
        <v>4.3099999999999996</v>
      </c>
      <c r="V64">
        <v>0</v>
      </c>
      <c r="W64">
        <v>19.940000000000001</v>
      </c>
      <c r="X64">
        <v>10.27</v>
      </c>
      <c r="Y64">
        <v>5.1749999999999998</v>
      </c>
      <c r="Z64">
        <v>25748</v>
      </c>
      <c r="AA64">
        <v>36444</v>
      </c>
      <c r="AB64">
        <v>10173</v>
      </c>
      <c r="AC64" s="5">
        <v>85058</v>
      </c>
      <c r="AD64" s="5">
        <v>21369</v>
      </c>
      <c r="AE64" s="5">
        <v>6596</v>
      </c>
      <c r="AF64" s="5">
        <v>345330</v>
      </c>
      <c r="AG64" s="5">
        <v>807.9</v>
      </c>
      <c r="AH64" s="5"/>
      <c r="AI64" s="5">
        <v>4217</v>
      </c>
      <c r="AK64" s="5">
        <v>52203</v>
      </c>
      <c r="AM64" s="5">
        <v>199.7</v>
      </c>
      <c r="AN64" s="5">
        <v>327</v>
      </c>
      <c r="AO64" s="8">
        <v>27</v>
      </c>
      <c r="AP64" s="5">
        <v>2947</v>
      </c>
      <c r="AV64" s="8"/>
    </row>
    <row r="65" spans="1:48">
      <c r="A65" t="str">
        <f>VLOOKUP(D65,info!$A$2:$G$49,3,FALSE)</f>
        <v>Daewoo</v>
      </c>
      <c r="B65">
        <v>23</v>
      </c>
      <c r="C65" t="s">
        <v>77</v>
      </c>
      <c r="D65">
        <v>8501017</v>
      </c>
      <c r="E65" s="1" t="s">
        <v>32</v>
      </c>
      <c r="F65">
        <v>96335</v>
      </c>
      <c r="G65">
        <v>28316</v>
      </c>
      <c r="H65">
        <v>8470</v>
      </c>
      <c r="I65">
        <v>371941</v>
      </c>
      <c r="J65">
        <v>490.3</v>
      </c>
      <c r="K65">
        <v>99.31</v>
      </c>
      <c r="L65">
        <v>4706</v>
      </c>
      <c r="M65">
        <v>30623</v>
      </c>
      <c r="N65">
        <v>58182</v>
      </c>
      <c r="O65">
        <v>52892</v>
      </c>
      <c r="P65">
        <v>216.2</v>
      </c>
      <c r="Q65">
        <v>218.6</v>
      </c>
      <c r="R65">
        <v>56.52</v>
      </c>
      <c r="S65">
        <v>3320</v>
      </c>
      <c r="T65">
        <v>25.56</v>
      </c>
      <c r="U65">
        <v>5.8029999999999999</v>
      </c>
      <c r="V65">
        <v>0</v>
      </c>
      <c r="W65">
        <v>21.88</v>
      </c>
      <c r="X65">
        <v>28.22</v>
      </c>
      <c r="Y65">
        <v>28.69</v>
      </c>
      <c r="Z65">
        <v>10469</v>
      </c>
      <c r="AA65">
        <v>28987</v>
      </c>
      <c r="AB65">
        <v>3667</v>
      </c>
      <c r="AC65" s="5">
        <v>85006</v>
      </c>
      <c r="AD65" s="5">
        <v>21540</v>
      </c>
      <c r="AE65" s="5">
        <v>6646</v>
      </c>
      <c r="AF65" s="5">
        <v>344877</v>
      </c>
      <c r="AG65" s="5">
        <v>858.2</v>
      </c>
      <c r="AH65" s="5"/>
      <c r="AI65" s="5">
        <v>4247</v>
      </c>
      <c r="AK65" s="5">
        <v>52459</v>
      </c>
      <c r="AM65" s="5">
        <v>220.9</v>
      </c>
      <c r="AN65" s="5">
        <v>242.9</v>
      </c>
      <c r="AO65" s="8">
        <v>23.8</v>
      </c>
      <c r="AP65" s="5">
        <v>3213</v>
      </c>
      <c r="AV65" s="8">
        <v>62</v>
      </c>
    </row>
    <row r="66" spans="1:48">
      <c r="A66" t="str">
        <f>VLOOKUP(D66,info!$A$2:$G$49,3,FALSE)</f>
        <v>Mitsubishi</v>
      </c>
      <c r="B66">
        <v>24</v>
      </c>
      <c r="C66" t="s">
        <v>77</v>
      </c>
      <c r="D66">
        <v>7027220</v>
      </c>
      <c r="E66" s="1" t="s">
        <v>32</v>
      </c>
      <c r="F66">
        <v>112252</v>
      </c>
      <c r="G66">
        <v>32731</v>
      </c>
      <c r="H66">
        <v>11802</v>
      </c>
      <c r="I66">
        <v>386804</v>
      </c>
      <c r="J66">
        <v>293.3</v>
      </c>
      <c r="K66">
        <v>36.57</v>
      </c>
      <c r="L66">
        <v>2411</v>
      </c>
      <c r="M66">
        <v>30927</v>
      </c>
      <c r="N66">
        <v>62436</v>
      </c>
      <c r="O66">
        <v>56345</v>
      </c>
      <c r="P66">
        <v>337.1</v>
      </c>
      <c r="Q66">
        <v>141.1</v>
      </c>
      <c r="R66">
        <v>134.30000000000001</v>
      </c>
      <c r="S66">
        <v>2328</v>
      </c>
      <c r="T66">
        <v>12.78</v>
      </c>
      <c r="U66">
        <v>4.4210000000000003</v>
      </c>
      <c r="V66">
        <v>7.2510000000000003</v>
      </c>
      <c r="W66">
        <v>32.43</v>
      </c>
      <c r="X66">
        <v>13.06</v>
      </c>
      <c r="Y66">
        <v>26.59</v>
      </c>
      <c r="Z66">
        <v>24875</v>
      </c>
      <c r="AA66">
        <v>39819</v>
      </c>
      <c r="AB66">
        <v>9458</v>
      </c>
      <c r="AC66" s="5">
        <v>87131</v>
      </c>
      <c r="AD66" s="5">
        <v>22470</v>
      </c>
      <c r="AE66" s="5">
        <v>9021</v>
      </c>
      <c r="AF66" s="5">
        <v>339340</v>
      </c>
      <c r="AG66" s="7">
        <v>719.5</v>
      </c>
      <c r="AH66" s="5"/>
      <c r="AI66" s="5">
        <v>1980</v>
      </c>
      <c r="AK66" s="5">
        <v>54196</v>
      </c>
      <c r="AM66" s="5">
        <v>340.1</v>
      </c>
      <c r="AN66" s="5">
        <v>369</v>
      </c>
      <c r="AO66" s="5">
        <v>145.19999999999999</v>
      </c>
      <c r="AP66" s="5">
        <v>2187</v>
      </c>
      <c r="AV66" s="8">
        <v>59.4</v>
      </c>
    </row>
    <row r="67" spans="1:48">
      <c r="A67" t="str">
        <f>VLOOKUP(D67,info!$A$2:$G$49,3,FALSE)</f>
        <v>Subaru</v>
      </c>
      <c r="B67">
        <v>25</v>
      </c>
      <c r="C67" t="s">
        <v>77</v>
      </c>
      <c r="D67">
        <v>2675308</v>
      </c>
      <c r="E67" s="1" t="s">
        <v>34</v>
      </c>
      <c r="F67">
        <v>107512</v>
      </c>
      <c r="G67">
        <v>27688</v>
      </c>
      <c r="H67">
        <v>10634</v>
      </c>
      <c r="I67">
        <v>374303</v>
      </c>
      <c r="J67">
        <v>317.39999999999998</v>
      </c>
      <c r="K67">
        <v>268.7</v>
      </c>
      <c r="L67">
        <v>5240</v>
      </c>
      <c r="M67">
        <v>35815</v>
      </c>
      <c r="N67">
        <v>64049</v>
      </c>
      <c r="O67">
        <v>57548</v>
      </c>
      <c r="P67">
        <v>194.8</v>
      </c>
      <c r="Q67">
        <v>186.3</v>
      </c>
      <c r="R67">
        <v>58.11</v>
      </c>
      <c r="S67">
        <v>2109</v>
      </c>
      <c r="T67">
        <v>13.42</v>
      </c>
      <c r="U67">
        <v>8.4179999999999993</v>
      </c>
      <c r="V67">
        <v>2.819</v>
      </c>
      <c r="W67">
        <v>22.4</v>
      </c>
      <c r="X67">
        <v>14.53</v>
      </c>
      <c r="Y67">
        <v>31.73</v>
      </c>
      <c r="Z67">
        <v>27683</v>
      </c>
      <c r="AA67">
        <v>43502</v>
      </c>
      <c r="AB67">
        <v>11982</v>
      </c>
      <c r="AC67" s="5">
        <v>84947</v>
      </c>
      <c r="AD67" s="5">
        <v>19980</v>
      </c>
      <c r="AE67" s="5">
        <v>8814</v>
      </c>
      <c r="AF67" s="5">
        <v>342824</v>
      </c>
      <c r="AG67" s="5">
        <v>588.6</v>
      </c>
      <c r="AH67" s="5"/>
      <c r="AI67" s="5">
        <v>4736</v>
      </c>
      <c r="AK67" s="5">
        <v>55733</v>
      </c>
      <c r="AM67" s="5">
        <v>203.5</v>
      </c>
      <c r="AN67" s="5">
        <v>463.8</v>
      </c>
      <c r="AO67" s="8">
        <v>59.3</v>
      </c>
      <c r="AP67" s="5">
        <v>2070</v>
      </c>
      <c r="AV67" s="8">
        <v>44.5</v>
      </c>
    </row>
    <row r="68" spans="1:48">
      <c r="A68" t="str">
        <f>VLOOKUP(D68,info!$A$2:$G$49,3,FALSE)</f>
        <v>Mitsubishi</v>
      </c>
      <c r="B68">
        <v>26</v>
      </c>
      <c r="C68" t="s">
        <v>77</v>
      </c>
      <c r="D68">
        <v>7027220</v>
      </c>
      <c r="E68" s="1" t="s">
        <v>34</v>
      </c>
      <c r="F68">
        <v>105718</v>
      </c>
      <c r="G68">
        <v>31983</v>
      </c>
      <c r="H68">
        <v>11341</v>
      </c>
      <c r="I68">
        <v>371831</v>
      </c>
      <c r="J68">
        <v>308</v>
      </c>
      <c r="K68">
        <v>96.94</v>
      </c>
      <c r="L68">
        <v>4379</v>
      </c>
      <c r="M68">
        <v>32113</v>
      </c>
      <c r="N68">
        <v>58994</v>
      </c>
      <c r="O68">
        <v>53142</v>
      </c>
      <c r="P68">
        <v>465.9</v>
      </c>
      <c r="Q68">
        <v>315.60000000000002</v>
      </c>
      <c r="R68">
        <v>118.6</v>
      </c>
      <c r="S68">
        <v>2766</v>
      </c>
      <c r="T68">
        <v>26.7</v>
      </c>
      <c r="U68">
        <v>12.13</v>
      </c>
      <c r="V68">
        <v>14.37</v>
      </c>
      <c r="W68">
        <v>25.57</v>
      </c>
      <c r="X68">
        <v>21.37</v>
      </c>
      <c r="Y68">
        <v>14.22</v>
      </c>
      <c r="Z68">
        <v>29312</v>
      </c>
      <c r="AA68">
        <v>39517</v>
      </c>
      <c r="AB68">
        <v>11817</v>
      </c>
      <c r="AC68" s="5">
        <v>91905</v>
      </c>
      <c r="AD68" s="5">
        <v>23522</v>
      </c>
      <c r="AE68" s="5">
        <v>9024</v>
      </c>
      <c r="AF68" s="5">
        <v>335691</v>
      </c>
      <c r="AG68" s="5">
        <v>567.4</v>
      </c>
      <c r="AH68" s="5"/>
      <c r="AI68" s="5">
        <v>3811</v>
      </c>
      <c r="AK68" s="5">
        <v>50731</v>
      </c>
      <c r="AM68" s="5">
        <v>481.2</v>
      </c>
      <c r="AN68" s="5">
        <v>411.5</v>
      </c>
      <c r="AO68" s="8">
        <v>99.9</v>
      </c>
      <c r="AP68" s="5">
        <v>1751</v>
      </c>
      <c r="AV68" s="8">
        <v>37.1</v>
      </c>
    </row>
    <row r="69" spans="1:48">
      <c r="A69" t="str">
        <f>VLOOKUP(D69,info!$A$2:$G$49,3,FALSE)</f>
        <v>Fiat</v>
      </c>
      <c r="B69">
        <v>27</v>
      </c>
      <c r="C69" t="s">
        <v>77</v>
      </c>
      <c r="D69">
        <v>5751910</v>
      </c>
      <c r="E69" t="s">
        <v>32</v>
      </c>
      <c r="F69">
        <v>115880</v>
      </c>
      <c r="G69">
        <v>31650</v>
      </c>
      <c r="H69">
        <v>5396</v>
      </c>
      <c r="I69">
        <v>417256</v>
      </c>
      <c r="J69">
        <v>304</v>
      </c>
      <c r="K69">
        <v>124.1</v>
      </c>
      <c r="L69">
        <v>2981</v>
      </c>
      <c r="M69">
        <v>29684</v>
      </c>
      <c r="N69">
        <v>61408</v>
      </c>
      <c r="O69">
        <v>54992</v>
      </c>
      <c r="P69">
        <v>255.4</v>
      </c>
      <c r="Q69">
        <v>279.7</v>
      </c>
      <c r="R69">
        <v>69.23</v>
      </c>
      <c r="S69">
        <v>5422</v>
      </c>
      <c r="T69">
        <v>36.43</v>
      </c>
      <c r="U69">
        <v>11.85</v>
      </c>
      <c r="V69">
        <v>0</v>
      </c>
      <c r="W69">
        <v>22.32</v>
      </c>
      <c r="X69">
        <v>9.3559999999999999</v>
      </c>
      <c r="Y69">
        <v>28.7</v>
      </c>
      <c r="Z69">
        <v>11197</v>
      </c>
      <c r="AA69">
        <v>29337</v>
      </c>
      <c r="AB69">
        <v>3475</v>
      </c>
      <c r="AC69" s="5">
        <v>88661</v>
      </c>
      <c r="AD69" s="5">
        <v>21998</v>
      </c>
      <c r="AE69" s="5">
        <v>3480</v>
      </c>
      <c r="AF69" s="5">
        <v>346768</v>
      </c>
      <c r="AG69" s="5">
        <v>388.2</v>
      </c>
      <c r="AH69" s="5"/>
      <c r="AI69" s="5">
        <v>2364</v>
      </c>
      <c r="AK69" s="5">
        <v>49991</v>
      </c>
      <c r="AM69" s="5">
        <v>288.10000000000002</v>
      </c>
      <c r="AN69" s="5">
        <v>377.1</v>
      </c>
      <c r="AO69" s="8">
        <v>35.799999999999997</v>
      </c>
      <c r="AP69" s="5">
        <v>5110</v>
      </c>
      <c r="AV69" s="8">
        <v>55</v>
      </c>
    </row>
    <row r="70" spans="1:48">
      <c r="A70" t="str">
        <f>VLOOKUP(D70,info!$A$2:$G$49,3,FALSE)</f>
        <v>Subaru</v>
      </c>
      <c r="B70">
        <v>28</v>
      </c>
      <c r="C70" t="s">
        <v>77</v>
      </c>
      <c r="D70">
        <v>2675308</v>
      </c>
      <c r="E70" t="s">
        <v>32</v>
      </c>
      <c r="F70">
        <v>101253</v>
      </c>
      <c r="G70">
        <v>27662</v>
      </c>
      <c r="H70">
        <v>10207</v>
      </c>
      <c r="I70">
        <v>373413</v>
      </c>
      <c r="J70">
        <v>317</v>
      </c>
      <c r="K70">
        <v>58.74</v>
      </c>
      <c r="L70">
        <v>5242</v>
      </c>
      <c r="M70">
        <v>34300</v>
      </c>
      <c r="N70">
        <v>62958</v>
      </c>
      <c r="O70">
        <v>57201</v>
      </c>
      <c r="P70">
        <v>181.3</v>
      </c>
      <c r="Q70">
        <v>204.5</v>
      </c>
      <c r="R70">
        <v>75.489999999999995</v>
      </c>
      <c r="S70">
        <v>2484</v>
      </c>
      <c r="T70">
        <v>19.7</v>
      </c>
      <c r="U70">
        <v>8.7449999999999992</v>
      </c>
      <c r="V70">
        <v>1.742</v>
      </c>
      <c r="W70">
        <v>24.79</v>
      </c>
      <c r="X70">
        <v>17.97</v>
      </c>
      <c r="Y70">
        <v>11.67</v>
      </c>
      <c r="Z70">
        <v>8726</v>
      </c>
      <c r="AA70">
        <v>31315</v>
      </c>
      <c r="AB70">
        <v>4180</v>
      </c>
      <c r="AC70" s="5">
        <v>90982</v>
      </c>
      <c r="AD70" s="5">
        <v>20658</v>
      </c>
      <c r="AE70" s="5">
        <v>8161</v>
      </c>
      <c r="AF70" s="5">
        <v>340649</v>
      </c>
      <c r="AG70" s="5">
        <v>645.5</v>
      </c>
      <c r="AH70" s="5"/>
      <c r="AI70" s="5">
        <v>4545</v>
      </c>
      <c r="AK70" s="5">
        <v>53661</v>
      </c>
      <c r="AM70" s="5">
        <v>191.9</v>
      </c>
      <c r="AN70" s="5">
        <v>375.2</v>
      </c>
      <c r="AO70" s="8">
        <v>54.8</v>
      </c>
      <c r="AP70" s="5">
        <v>1968</v>
      </c>
      <c r="AV70" s="8">
        <v>51.9</v>
      </c>
    </row>
    <row r="71" spans="1:48">
      <c r="A71" t="str">
        <f>VLOOKUP(D71,info!$A$2:$G$49,3,FALSE)</f>
        <v>Subaru</v>
      </c>
      <c r="B71">
        <v>28</v>
      </c>
      <c r="C71" t="s">
        <v>77</v>
      </c>
      <c r="D71">
        <v>2675308</v>
      </c>
      <c r="E71" t="s">
        <v>32</v>
      </c>
      <c r="F71">
        <v>98836</v>
      </c>
      <c r="G71">
        <v>25711</v>
      </c>
      <c r="H71">
        <v>11003</v>
      </c>
      <c r="I71">
        <v>356166</v>
      </c>
      <c r="J71">
        <v>562.79999999999995</v>
      </c>
      <c r="K71">
        <v>207.1</v>
      </c>
      <c r="L71">
        <v>5055</v>
      </c>
      <c r="M71">
        <v>34377</v>
      </c>
      <c r="N71">
        <v>59909</v>
      </c>
      <c r="O71">
        <v>54472</v>
      </c>
      <c r="P71">
        <v>199</v>
      </c>
      <c r="Q71">
        <v>118.9</v>
      </c>
      <c r="R71">
        <v>61.34</v>
      </c>
      <c r="S71">
        <v>1827</v>
      </c>
      <c r="T71">
        <v>13.08</v>
      </c>
      <c r="U71">
        <v>6.0679999999999996</v>
      </c>
      <c r="V71">
        <v>9.9</v>
      </c>
      <c r="W71">
        <v>28.97</v>
      </c>
      <c r="X71">
        <v>25.34</v>
      </c>
      <c r="Y71">
        <v>26.64</v>
      </c>
      <c r="Z71">
        <v>25522</v>
      </c>
      <c r="AA71">
        <v>40594</v>
      </c>
      <c r="AB71">
        <v>10496</v>
      </c>
      <c r="AC71" s="5">
        <v>92473</v>
      </c>
      <c r="AD71" s="5">
        <v>22984</v>
      </c>
      <c r="AE71" s="5">
        <v>4978</v>
      </c>
      <c r="AF71" s="5">
        <v>340054</v>
      </c>
      <c r="AG71" s="5">
        <v>477</v>
      </c>
      <c r="AH71" s="5"/>
      <c r="AI71" s="5">
        <v>1063</v>
      </c>
      <c r="AK71" s="5">
        <v>53098</v>
      </c>
      <c r="AM71" s="5">
        <v>290</v>
      </c>
      <c r="AN71" s="5">
        <v>350.8</v>
      </c>
      <c r="AO71" s="5">
        <v>172.9</v>
      </c>
      <c r="AP71" s="5">
        <v>3070</v>
      </c>
      <c r="AV71" s="8">
        <v>51.6</v>
      </c>
    </row>
    <row r="72" spans="1:48">
      <c r="A72" t="str">
        <f>VLOOKUP(D72,info!$A$2:$G$49,3,FALSE)</f>
        <v>Renault</v>
      </c>
      <c r="B72">
        <v>29</v>
      </c>
      <c r="C72" t="s">
        <v>77</v>
      </c>
      <c r="D72">
        <v>1147816</v>
      </c>
      <c r="E72" t="s">
        <v>52</v>
      </c>
      <c r="F72">
        <v>101391</v>
      </c>
      <c r="G72">
        <v>28029</v>
      </c>
      <c r="H72">
        <v>5994</v>
      </c>
      <c r="I72">
        <v>325800</v>
      </c>
      <c r="J72">
        <v>211.4</v>
      </c>
      <c r="K72">
        <v>134.6</v>
      </c>
      <c r="L72">
        <v>1059</v>
      </c>
      <c r="M72">
        <v>24987</v>
      </c>
      <c r="N72">
        <v>54366</v>
      </c>
      <c r="O72">
        <v>49289</v>
      </c>
      <c r="P72">
        <v>265.89999999999998</v>
      </c>
      <c r="Q72">
        <v>16.78</v>
      </c>
      <c r="R72">
        <v>141.4</v>
      </c>
      <c r="S72">
        <v>2495</v>
      </c>
      <c r="T72">
        <v>9.2100000000000009</v>
      </c>
      <c r="U72">
        <v>7.3449999999999998</v>
      </c>
      <c r="V72">
        <v>2.665</v>
      </c>
      <c r="W72">
        <v>4.6900000000000004</v>
      </c>
      <c r="X72">
        <v>0</v>
      </c>
      <c r="Y72">
        <v>18.600000000000001</v>
      </c>
      <c r="Z72">
        <v>28543</v>
      </c>
      <c r="AA72">
        <v>35546</v>
      </c>
      <c r="AB72">
        <v>10071</v>
      </c>
      <c r="AC72" s="5">
        <v>86208</v>
      </c>
      <c r="AD72" s="5">
        <v>22576</v>
      </c>
      <c r="AE72" s="5">
        <v>4959</v>
      </c>
      <c r="AF72" s="5">
        <v>343611</v>
      </c>
      <c r="AG72" s="5">
        <v>553.70000000000005</v>
      </c>
      <c r="AH72" s="5"/>
      <c r="AI72" s="5">
        <v>2294</v>
      </c>
      <c r="AK72" s="5">
        <v>52851</v>
      </c>
      <c r="AM72" s="5">
        <v>253.5</v>
      </c>
      <c r="AN72" s="5">
        <v>372.5</v>
      </c>
      <c r="AO72" s="8">
        <v>27</v>
      </c>
      <c r="AP72" s="5">
        <v>6380</v>
      </c>
      <c r="AV72" s="8">
        <v>92.4</v>
      </c>
    </row>
    <row r="73" spans="1:48">
      <c r="A73" t="str">
        <f>VLOOKUP(D73,info!$A$2:$G$49,3,FALSE)</f>
        <v>Ford</v>
      </c>
      <c r="B73">
        <v>30</v>
      </c>
      <c r="C73" t="s">
        <v>77</v>
      </c>
      <c r="D73">
        <v>6917835</v>
      </c>
      <c r="E73" t="s">
        <v>34</v>
      </c>
      <c r="F73">
        <v>91824</v>
      </c>
      <c r="G73">
        <v>27543</v>
      </c>
      <c r="H73">
        <v>6323</v>
      </c>
      <c r="I73">
        <v>333751</v>
      </c>
      <c r="J73">
        <v>302</v>
      </c>
      <c r="K73">
        <v>124.7</v>
      </c>
      <c r="L73">
        <v>2291</v>
      </c>
      <c r="M73">
        <v>24600</v>
      </c>
      <c r="N73">
        <v>55444</v>
      </c>
      <c r="O73">
        <v>50626</v>
      </c>
      <c r="P73">
        <v>222.3</v>
      </c>
      <c r="Q73">
        <v>12.87</v>
      </c>
      <c r="R73">
        <v>22.76</v>
      </c>
      <c r="S73">
        <v>4975</v>
      </c>
      <c r="T73">
        <v>15.88</v>
      </c>
      <c r="U73">
        <v>5.6479999999999997</v>
      </c>
      <c r="V73">
        <v>2.7719999999999998</v>
      </c>
      <c r="W73">
        <v>4.5890000000000004</v>
      </c>
      <c r="X73">
        <v>18.82</v>
      </c>
      <c r="Y73">
        <v>42.31</v>
      </c>
      <c r="Z73">
        <v>10341</v>
      </c>
      <c r="AA73">
        <v>25046</v>
      </c>
      <c r="AB73">
        <v>2847</v>
      </c>
      <c r="AC73" s="5">
        <v>89416</v>
      </c>
      <c r="AD73" s="5">
        <v>21113</v>
      </c>
      <c r="AE73" s="5">
        <v>6211</v>
      </c>
      <c r="AF73" s="5">
        <v>333791</v>
      </c>
      <c r="AG73" s="5">
        <v>643.70000000000005</v>
      </c>
      <c r="AH73" s="5"/>
      <c r="AI73" s="5">
        <v>3277</v>
      </c>
      <c r="AK73" s="5">
        <v>61317</v>
      </c>
      <c r="AM73" s="5">
        <v>247.4</v>
      </c>
      <c r="AN73" s="5">
        <v>362</v>
      </c>
      <c r="AO73" s="8">
        <v>69.599999999999994</v>
      </c>
      <c r="AP73" s="5">
        <v>3072</v>
      </c>
      <c r="AV73" s="8">
        <v>40</v>
      </c>
    </row>
    <row r="74" spans="1:48">
      <c r="A74" t="str">
        <f>VLOOKUP(D74,info!$A$2:$G$49,3,FALSE)</f>
        <v>Hyundai</v>
      </c>
      <c r="B74">
        <v>31</v>
      </c>
      <c r="C74" t="s">
        <v>77</v>
      </c>
      <c r="D74">
        <v>9602910</v>
      </c>
      <c r="E74" s="1" t="s">
        <v>52</v>
      </c>
      <c r="F74">
        <v>93177</v>
      </c>
      <c r="G74">
        <v>25563</v>
      </c>
      <c r="H74">
        <v>7624</v>
      </c>
      <c r="I74">
        <v>326521</v>
      </c>
      <c r="J74">
        <v>332.5</v>
      </c>
      <c r="K74">
        <v>251.1</v>
      </c>
      <c r="L74">
        <v>3403</v>
      </c>
      <c r="M74">
        <v>31855</v>
      </c>
      <c r="N74">
        <v>63971</v>
      </c>
      <c r="O74">
        <v>57866</v>
      </c>
      <c r="P74">
        <v>240.6</v>
      </c>
      <c r="Q74">
        <v>9.2080000000000002</v>
      </c>
      <c r="R74">
        <v>53.78</v>
      </c>
      <c r="S74">
        <v>2397</v>
      </c>
      <c r="T74">
        <v>13.88</v>
      </c>
      <c r="U74">
        <v>3.8679999999999999</v>
      </c>
      <c r="V74">
        <v>0</v>
      </c>
      <c r="W74">
        <v>3.355</v>
      </c>
      <c r="X74">
        <v>3.6659999999999999</v>
      </c>
      <c r="Y74">
        <v>35.130000000000003</v>
      </c>
      <c r="Z74">
        <v>22461</v>
      </c>
      <c r="AA74">
        <v>37655</v>
      </c>
      <c r="AB74">
        <v>9759</v>
      </c>
      <c r="AC74" s="5">
        <v>89654</v>
      </c>
      <c r="AD74" s="5">
        <v>21171</v>
      </c>
      <c r="AE74" s="5">
        <v>5910</v>
      </c>
      <c r="AF74" s="5">
        <v>335180</v>
      </c>
      <c r="AG74" s="5">
        <v>590.9</v>
      </c>
      <c r="AH74" s="5"/>
      <c r="AI74" s="5">
        <v>3302</v>
      </c>
      <c r="AK74" s="5">
        <v>60960</v>
      </c>
      <c r="AM74" s="5">
        <v>229.2</v>
      </c>
      <c r="AN74" s="5">
        <v>429.9</v>
      </c>
      <c r="AO74" s="8">
        <v>56.7</v>
      </c>
      <c r="AP74" s="5">
        <v>3078</v>
      </c>
      <c r="AV74" s="8"/>
    </row>
    <row r="75" spans="1:48">
      <c r="A75" t="str">
        <f>VLOOKUP(D75,info!$A$2:$G$49,3,FALSE)</f>
        <v>Hyundai</v>
      </c>
      <c r="B75">
        <v>32</v>
      </c>
      <c r="C75" t="s">
        <v>77</v>
      </c>
      <c r="D75">
        <v>9602910</v>
      </c>
      <c r="E75" s="1" t="s">
        <v>34</v>
      </c>
      <c r="F75">
        <v>84727</v>
      </c>
      <c r="G75">
        <v>23624</v>
      </c>
      <c r="H75">
        <v>6835</v>
      </c>
      <c r="I75">
        <v>310199</v>
      </c>
      <c r="J75">
        <v>306.3</v>
      </c>
      <c r="K75">
        <v>227.3</v>
      </c>
      <c r="L75">
        <v>3278</v>
      </c>
      <c r="M75">
        <v>30586</v>
      </c>
      <c r="N75">
        <v>62153</v>
      </c>
      <c r="O75">
        <v>56152</v>
      </c>
      <c r="P75">
        <v>230.6</v>
      </c>
      <c r="Q75">
        <v>13.42</v>
      </c>
      <c r="R75">
        <v>54.07</v>
      </c>
      <c r="S75">
        <v>2340</v>
      </c>
      <c r="T75">
        <v>9.3989999999999991</v>
      </c>
      <c r="U75">
        <v>4.6189999999999998</v>
      </c>
      <c r="V75">
        <v>0</v>
      </c>
      <c r="W75">
        <v>3.1560000000000001</v>
      </c>
      <c r="X75">
        <v>0</v>
      </c>
      <c r="Y75">
        <v>17.34</v>
      </c>
      <c r="Z75">
        <v>20866</v>
      </c>
      <c r="AA75">
        <v>35267</v>
      </c>
      <c r="AB75">
        <v>9239</v>
      </c>
      <c r="AC75" s="5">
        <v>87355</v>
      </c>
      <c r="AD75" s="5">
        <v>20970</v>
      </c>
      <c r="AE75" s="5">
        <v>6063</v>
      </c>
      <c r="AF75" s="5">
        <v>335164</v>
      </c>
      <c r="AG75" s="5">
        <v>698.6</v>
      </c>
      <c r="AH75" s="5"/>
      <c r="AI75" s="5">
        <v>2906</v>
      </c>
      <c r="AK75" s="5">
        <v>62358</v>
      </c>
      <c r="AM75" s="5">
        <v>260</v>
      </c>
      <c r="AN75" s="5">
        <v>346.2</v>
      </c>
      <c r="AO75" s="8">
        <v>63.1</v>
      </c>
      <c r="AP75" s="5">
        <v>2969</v>
      </c>
      <c r="AV75" s="8">
        <v>43.2</v>
      </c>
    </row>
    <row r="76" spans="1:48">
      <c r="A76" t="str">
        <f>VLOOKUP(D76,info!$A$2:$G$49,3,FALSE)</f>
        <v>Hyundai</v>
      </c>
      <c r="B76">
        <v>33</v>
      </c>
      <c r="C76" t="s">
        <v>77</v>
      </c>
      <c r="D76">
        <v>9602910</v>
      </c>
      <c r="E76" s="1" t="s">
        <v>52</v>
      </c>
      <c r="F76">
        <v>87097</v>
      </c>
      <c r="G76">
        <v>25222</v>
      </c>
      <c r="H76">
        <v>6759</v>
      </c>
      <c r="I76">
        <v>324049</v>
      </c>
      <c r="J76">
        <v>329</v>
      </c>
      <c r="K76">
        <v>169</v>
      </c>
      <c r="L76">
        <v>2885</v>
      </c>
      <c r="M76">
        <v>29021</v>
      </c>
      <c r="N76">
        <v>63157</v>
      </c>
      <c r="O76">
        <v>57730</v>
      </c>
      <c r="P76">
        <v>188.3</v>
      </c>
      <c r="Q76">
        <v>11.61</v>
      </c>
      <c r="R76">
        <v>56.26</v>
      </c>
      <c r="S76">
        <v>2512</v>
      </c>
      <c r="T76">
        <v>24.1</v>
      </c>
      <c r="U76">
        <v>7.5709999999999997</v>
      </c>
      <c r="V76">
        <v>11.35</v>
      </c>
      <c r="W76">
        <v>2.6560000000000001</v>
      </c>
      <c r="X76">
        <v>8.1140000000000008</v>
      </c>
      <c r="Y76">
        <v>8.02</v>
      </c>
      <c r="Z76">
        <v>3596</v>
      </c>
      <c r="AA76">
        <v>31866</v>
      </c>
      <c r="AB76">
        <v>3356</v>
      </c>
      <c r="AC76" s="5">
        <v>88492</v>
      </c>
      <c r="AD76" s="5">
        <v>21487</v>
      </c>
      <c r="AE76" s="5">
        <v>6016</v>
      </c>
      <c r="AF76" s="5">
        <v>337962</v>
      </c>
      <c r="AG76" s="5">
        <v>776.5</v>
      </c>
      <c r="AH76" s="5"/>
      <c r="AI76" s="5">
        <v>2821</v>
      </c>
      <c r="AK76" s="5">
        <v>61521</v>
      </c>
      <c r="AM76" s="5">
        <v>305.89999999999998</v>
      </c>
      <c r="AN76" s="5">
        <v>394.8</v>
      </c>
      <c r="AO76" s="8">
        <v>59.1</v>
      </c>
      <c r="AP76" s="5">
        <v>3030</v>
      </c>
      <c r="AV76" s="8"/>
    </row>
    <row r="77" spans="1:48">
      <c r="A77" t="str">
        <f>VLOOKUP(D77,info!$A$2:$G$49,3,FALSE)</f>
        <v>Hyundai</v>
      </c>
      <c r="B77">
        <v>34</v>
      </c>
      <c r="C77" t="s">
        <v>77</v>
      </c>
      <c r="D77">
        <v>9602910</v>
      </c>
      <c r="E77" s="1" t="s">
        <v>52</v>
      </c>
      <c r="F77">
        <v>90208</v>
      </c>
      <c r="G77">
        <v>23870</v>
      </c>
      <c r="H77">
        <v>6426</v>
      </c>
      <c r="I77">
        <v>308844</v>
      </c>
      <c r="J77">
        <v>388.1</v>
      </c>
      <c r="K77">
        <v>290.10000000000002</v>
      </c>
      <c r="L77">
        <v>2696</v>
      </c>
      <c r="M77">
        <v>29457</v>
      </c>
      <c r="N77">
        <v>62652</v>
      </c>
      <c r="O77">
        <v>56925</v>
      </c>
      <c r="P77">
        <v>233.3</v>
      </c>
      <c r="Q77">
        <v>13.83</v>
      </c>
      <c r="R77">
        <v>54.79</v>
      </c>
      <c r="S77">
        <v>2392</v>
      </c>
      <c r="T77">
        <v>21.18</v>
      </c>
      <c r="U77">
        <v>6.4429999999999996</v>
      </c>
      <c r="V77">
        <v>8.2360000000000007</v>
      </c>
      <c r="W77">
        <v>3.39</v>
      </c>
      <c r="X77">
        <v>5.9560000000000004</v>
      </c>
      <c r="Y77">
        <v>10.6</v>
      </c>
      <c r="Z77">
        <v>25074</v>
      </c>
      <c r="AA77">
        <v>36856</v>
      </c>
      <c r="AB77">
        <v>10682</v>
      </c>
      <c r="AC77" s="5">
        <v>90141</v>
      </c>
      <c r="AD77" s="5">
        <v>20962</v>
      </c>
      <c r="AE77" s="5">
        <v>5278</v>
      </c>
      <c r="AF77" s="5">
        <v>335565</v>
      </c>
      <c r="AG77" s="5">
        <v>711.2</v>
      </c>
      <c r="AH77" s="5"/>
      <c r="AI77" s="5">
        <v>2251</v>
      </c>
      <c r="AK77" s="5">
        <v>62263</v>
      </c>
      <c r="AM77" s="5">
        <v>266.89999999999998</v>
      </c>
      <c r="AN77" s="5">
        <v>397.6</v>
      </c>
      <c r="AO77" s="8">
        <v>77.599999999999994</v>
      </c>
      <c r="AP77" s="5">
        <v>2487</v>
      </c>
      <c r="AV77" s="8"/>
    </row>
    <row r="78" spans="1:48">
      <c r="A78" t="str">
        <f>VLOOKUP(D78,info!$A$2:$G$49,3,FALSE)</f>
        <v>Hyundai</v>
      </c>
      <c r="B78">
        <v>35</v>
      </c>
      <c r="C78" t="s">
        <v>77</v>
      </c>
      <c r="D78">
        <v>5826120</v>
      </c>
      <c r="E78" s="1" t="s">
        <v>32</v>
      </c>
      <c r="F78">
        <v>107930</v>
      </c>
      <c r="G78">
        <v>28085</v>
      </c>
      <c r="H78">
        <v>6721</v>
      </c>
      <c r="I78">
        <v>355398</v>
      </c>
      <c r="J78">
        <v>490.4</v>
      </c>
      <c r="K78">
        <v>333.4</v>
      </c>
      <c r="L78">
        <v>2416</v>
      </c>
      <c r="M78">
        <v>31658</v>
      </c>
      <c r="N78">
        <v>65921</v>
      </c>
      <c r="O78">
        <v>59236</v>
      </c>
      <c r="P78">
        <v>254</v>
      </c>
      <c r="Q78">
        <v>18.2</v>
      </c>
      <c r="R78">
        <v>63.82</v>
      </c>
      <c r="S78">
        <v>1893</v>
      </c>
      <c r="T78">
        <v>2.7360000000000002</v>
      </c>
      <c r="U78">
        <v>5.08</v>
      </c>
      <c r="V78">
        <v>2.738</v>
      </c>
      <c r="W78">
        <v>6.0460000000000003</v>
      </c>
      <c r="X78">
        <v>0</v>
      </c>
      <c r="Y78">
        <v>28.48</v>
      </c>
      <c r="Z78">
        <v>21171</v>
      </c>
      <c r="AA78">
        <v>40482</v>
      </c>
      <c r="AB78">
        <v>9101</v>
      </c>
      <c r="AC78" s="5">
        <v>86342</v>
      </c>
      <c r="AD78" s="5">
        <v>23985</v>
      </c>
      <c r="AE78" s="5">
        <v>9807</v>
      </c>
      <c r="AF78" s="5">
        <v>337776</v>
      </c>
      <c r="AG78" s="5">
        <v>698.9</v>
      </c>
      <c r="AH78" s="5"/>
      <c r="AI78" s="5">
        <v>5436</v>
      </c>
      <c r="AK78" s="5">
        <v>54161</v>
      </c>
      <c r="AM78" s="5">
        <v>347.5</v>
      </c>
      <c r="AN78" s="5">
        <v>506.4</v>
      </c>
      <c r="AO78" s="5">
        <v>173.6</v>
      </c>
      <c r="AP78" s="5">
        <v>2855</v>
      </c>
      <c r="AV78" s="8">
        <v>49.9</v>
      </c>
    </row>
    <row r="79" spans="1:48">
      <c r="A79" t="str">
        <f>VLOOKUP(D79,info!$A$2:$G$49,3,FALSE)</f>
        <v>Hyundai</v>
      </c>
      <c r="B79">
        <v>36</v>
      </c>
      <c r="C79" t="s">
        <v>77</v>
      </c>
      <c r="D79">
        <v>5826120</v>
      </c>
      <c r="E79" s="1" t="s">
        <v>34</v>
      </c>
      <c r="F79">
        <v>85507</v>
      </c>
      <c r="G79">
        <v>28541</v>
      </c>
      <c r="H79">
        <v>11359</v>
      </c>
      <c r="I79">
        <v>328211</v>
      </c>
      <c r="J79">
        <v>399.9</v>
      </c>
      <c r="K79">
        <v>18.690000000000001</v>
      </c>
      <c r="L79">
        <v>5679</v>
      </c>
      <c r="M79">
        <v>31706</v>
      </c>
      <c r="N79">
        <v>57613</v>
      </c>
      <c r="O79">
        <v>52483</v>
      </c>
      <c r="P79">
        <v>287</v>
      </c>
      <c r="Q79">
        <v>12.23</v>
      </c>
      <c r="R79">
        <v>133.19999999999999</v>
      </c>
      <c r="S79">
        <v>2356</v>
      </c>
      <c r="T79">
        <v>11.48</v>
      </c>
      <c r="U79">
        <v>7.7409999999999997</v>
      </c>
      <c r="V79">
        <v>17.04</v>
      </c>
      <c r="W79">
        <v>11.69</v>
      </c>
      <c r="X79">
        <v>0</v>
      </c>
      <c r="Y79">
        <v>21.87</v>
      </c>
      <c r="Z79">
        <v>10134</v>
      </c>
      <c r="AA79">
        <v>27160</v>
      </c>
      <c r="AB79">
        <v>3736</v>
      </c>
      <c r="AC79" s="5">
        <v>90459</v>
      </c>
      <c r="AD79" s="5">
        <v>21704</v>
      </c>
      <c r="AE79" s="5">
        <v>4488</v>
      </c>
      <c r="AF79" s="5">
        <v>334848</v>
      </c>
      <c r="AG79" s="5">
        <v>508.6</v>
      </c>
      <c r="AH79" s="5"/>
      <c r="AI79" s="5">
        <v>2383</v>
      </c>
      <c r="AK79" s="5">
        <v>53945</v>
      </c>
      <c r="AM79" s="5">
        <v>263.3</v>
      </c>
      <c r="AN79" s="7">
        <v>415.82727272727277</v>
      </c>
      <c r="AO79" s="10">
        <v>30.0625</v>
      </c>
      <c r="AP79" s="5">
        <v>6425</v>
      </c>
      <c r="AV79" s="8">
        <v>91.4</v>
      </c>
    </row>
    <row r="80" spans="1:48">
      <c r="A80" t="str">
        <f>VLOOKUP(D80,info!$A$2:$G$49,3,FALSE)</f>
        <v>Ford</v>
      </c>
      <c r="B80">
        <v>37</v>
      </c>
      <c r="C80" t="s">
        <v>77</v>
      </c>
      <c r="D80">
        <v>6917835</v>
      </c>
      <c r="E80" t="s">
        <v>32</v>
      </c>
      <c r="F80">
        <v>96610</v>
      </c>
      <c r="G80">
        <v>25730</v>
      </c>
      <c r="H80">
        <v>5499</v>
      </c>
      <c r="I80">
        <v>325274</v>
      </c>
      <c r="J80">
        <v>253.9</v>
      </c>
      <c r="K80">
        <v>71.44</v>
      </c>
      <c r="L80">
        <v>2390</v>
      </c>
      <c r="M80">
        <v>27297</v>
      </c>
      <c r="N80">
        <v>56321</v>
      </c>
      <c r="O80">
        <v>50081</v>
      </c>
      <c r="P80">
        <v>239.4</v>
      </c>
      <c r="Q80">
        <v>12.49</v>
      </c>
      <c r="R80">
        <v>25.72</v>
      </c>
      <c r="S80">
        <v>4745</v>
      </c>
      <c r="T80">
        <v>13.9</v>
      </c>
      <c r="U80">
        <v>5.8879999999999999</v>
      </c>
      <c r="V80">
        <v>2.5430000000000001</v>
      </c>
      <c r="W80">
        <v>3.5870000000000002</v>
      </c>
      <c r="X80">
        <v>4.3630000000000004</v>
      </c>
      <c r="Y80">
        <v>68.63</v>
      </c>
      <c r="Z80">
        <v>40323</v>
      </c>
      <c r="AA80">
        <v>38846</v>
      </c>
      <c r="AB80">
        <v>15244</v>
      </c>
      <c r="AC80" s="5">
        <v>90413</v>
      </c>
      <c r="AD80" s="5">
        <v>21264</v>
      </c>
      <c r="AE80" s="5">
        <v>5616</v>
      </c>
      <c r="AF80" s="5">
        <v>333577</v>
      </c>
      <c r="AG80" s="5">
        <v>672.5</v>
      </c>
      <c r="AH80" s="5"/>
      <c r="AI80" s="5">
        <v>2311</v>
      </c>
      <c r="AK80" s="5">
        <v>62944</v>
      </c>
      <c r="AM80" s="5">
        <v>316.7</v>
      </c>
      <c r="AN80" s="5">
        <v>528.70000000000005</v>
      </c>
      <c r="AO80" s="8">
        <v>83.9</v>
      </c>
      <c r="AP80" s="5">
        <v>2475</v>
      </c>
      <c r="AV80" s="8"/>
    </row>
    <row r="81" spans="1:48">
      <c r="A81" t="str">
        <f>VLOOKUP(D81,info!$A$2:$G$49,3,FALSE)</f>
        <v>Renault</v>
      </c>
      <c r="B81">
        <v>39</v>
      </c>
      <c r="C81" t="s">
        <v>77</v>
      </c>
      <c r="D81">
        <v>1147816</v>
      </c>
      <c r="E81" t="s">
        <v>52</v>
      </c>
      <c r="F81">
        <v>100740</v>
      </c>
      <c r="G81">
        <v>28473</v>
      </c>
      <c r="H81">
        <v>6243</v>
      </c>
      <c r="I81">
        <v>332796</v>
      </c>
      <c r="J81">
        <v>177</v>
      </c>
      <c r="K81">
        <v>26.54</v>
      </c>
      <c r="L81">
        <v>1082</v>
      </c>
      <c r="M81">
        <v>22542</v>
      </c>
      <c r="N81">
        <v>53798</v>
      </c>
      <c r="O81">
        <v>49618</v>
      </c>
      <c r="P81">
        <v>253.5</v>
      </c>
      <c r="Q81">
        <v>15.54</v>
      </c>
      <c r="R81">
        <v>133.4</v>
      </c>
      <c r="S81">
        <v>2671</v>
      </c>
      <c r="T81">
        <v>13.64</v>
      </c>
      <c r="U81">
        <v>6.3810000000000002</v>
      </c>
      <c r="V81">
        <v>7.8390000000000004</v>
      </c>
      <c r="W81">
        <v>6.3630000000000004</v>
      </c>
      <c r="X81">
        <v>0</v>
      </c>
      <c r="Y81">
        <v>33.35</v>
      </c>
      <c r="Z81">
        <v>10908</v>
      </c>
      <c r="AA81">
        <v>26838</v>
      </c>
      <c r="AB81">
        <v>2302</v>
      </c>
      <c r="AC81" s="5">
        <v>87873</v>
      </c>
      <c r="AD81" s="5">
        <v>22443</v>
      </c>
      <c r="AE81" s="5">
        <v>5256</v>
      </c>
      <c r="AF81" s="5">
        <v>333082</v>
      </c>
      <c r="AG81" s="5">
        <v>580.6</v>
      </c>
      <c r="AH81" s="5"/>
      <c r="AI81" s="5">
        <v>1114</v>
      </c>
      <c r="AK81" s="5">
        <v>53007</v>
      </c>
      <c r="AM81" s="5">
        <v>296.2</v>
      </c>
      <c r="AN81" s="5">
        <v>465.8</v>
      </c>
      <c r="AO81" s="5">
        <v>173.6</v>
      </c>
      <c r="AP81" s="5">
        <v>3235</v>
      </c>
      <c r="AV81" s="8">
        <v>48.9</v>
      </c>
    </row>
    <row r="82" spans="1:48">
      <c r="A82" t="str">
        <f>VLOOKUP(D82,info!$A$2:$G$49,3,FALSE)</f>
        <v>Subaru</v>
      </c>
      <c r="B82">
        <v>40</v>
      </c>
      <c r="C82" t="s">
        <v>77</v>
      </c>
      <c r="D82">
        <v>2675308</v>
      </c>
      <c r="E82" t="s">
        <v>34</v>
      </c>
      <c r="F82">
        <v>95505</v>
      </c>
      <c r="G82">
        <v>25891</v>
      </c>
      <c r="H82">
        <v>9656</v>
      </c>
      <c r="I82">
        <v>338472</v>
      </c>
      <c r="J82">
        <v>377.5</v>
      </c>
      <c r="K82">
        <v>134.6</v>
      </c>
      <c r="L82">
        <v>4764</v>
      </c>
      <c r="M82">
        <v>31207</v>
      </c>
      <c r="N82">
        <v>57928</v>
      </c>
      <c r="O82">
        <v>53154</v>
      </c>
      <c r="P82">
        <v>168</v>
      </c>
      <c r="Q82">
        <v>9.952</v>
      </c>
      <c r="R82">
        <v>40.83</v>
      </c>
      <c r="S82">
        <v>1597</v>
      </c>
      <c r="T82">
        <v>17.239999999999998</v>
      </c>
      <c r="U82">
        <v>4.1310000000000002</v>
      </c>
      <c r="V82">
        <v>13.1</v>
      </c>
      <c r="W82">
        <v>1.9219999999999999</v>
      </c>
      <c r="X82">
        <v>0</v>
      </c>
      <c r="Y82">
        <v>0</v>
      </c>
      <c r="Z82">
        <v>6044</v>
      </c>
      <c r="AA82">
        <v>29599</v>
      </c>
      <c r="AB82">
        <v>3725</v>
      </c>
      <c r="AC82" s="5">
        <v>88728</v>
      </c>
      <c r="AD82" s="5">
        <v>20568</v>
      </c>
      <c r="AE82" s="5">
        <v>8282</v>
      </c>
      <c r="AF82" s="5">
        <v>342049</v>
      </c>
      <c r="AG82" s="5">
        <v>610.20000000000005</v>
      </c>
      <c r="AH82" s="5"/>
      <c r="AI82" s="5">
        <v>4682</v>
      </c>
      <c r="AK82" s="5">
        <v>54179</v>
      </c>
      <c r="AM82" s="5">
        <v>235.3</v>
      </c>
      <c r="AN82" s="5">
        <v>522.70000000000005</v>
      </c>
      <c r="AO82" s="8">
        <v>45.6</v>
      </c>
      <c r="AP82" s="5">
        <v>2006</v>
      </c>
      <c r="AV82" s="8"/>
    </row>
    <row r="83" spans="1:48">
      <c r="A83" t="str">
        <f>VLOOKUP(D83,info!$A$2:$G$49,3,FALSE)</f>
        <v>Fiat</v>
      </c>
      <c r="B83">
        <v>41</v>
      </c>
      <c r="C83" t="s">
        <v>77</v>
      </c>
      <c r="D83">
        <v>5751910</v>
      </c>
      <c r="E83" t="s">
        <v>34</v>
      </c>
      <c r="F83">
        <v>96632</v>
      </c>
      <c r="G83">
        <v>24629</v>
      </c>
      <c r="H83">
        <v>4801</v>
      </c>
      <c r="I83">
        <v>322946</v>
      </c>
      <c r="J83">
        <v>295.10000000000002</v>
      </c>
      <c r="K83">
        <v>255.7</v>
      </c>
      <c r="L83">
        <v>790.1</v>
      </c>
      <c r="M83">
        <v>23609</v>
      </c>
      <c r="N83">
        <v>55672</v>
      </c>
      <c r="O83">
        <v>49851</v>
      </c>
      <c r="P83">
        <v>184.2</v>
      </c>
      <c r="Q83">
        <v>11.34</v>
      </c>
      <c r="R83">
        <v>98.9</v>
      </c>
      <c r="S83">
        <v>4317</v>
      </c>
      <c r="T83">
        <v>25.35</v>
      </c>
      <c r="U83">
        <v>4.8209999999999997</v>
      </c>
      <c r="V83">
        <v>2.2269999999999999</v>
      </c>
      <c r="W83">
        <v>6.4059999999999997</v>
      </c>
      <c r="X83">
        <v>15.53</v>
      </c>
      <c r="Y83">
        <v>27.52</v>
      </c>
      <c r="Z83">
        <v>31331</v>
      </c>
      <c r="AA83">
        <v>34564</v>
      </c>
      <c r="AB83">
        <v>11623</v>
      </c>
      <c r="AC83" s="5">
        <v>90039</v>
      </c>
      <c r="AD83" s="5">
        <v>21458</v>
      </c>
      <c r="AE83" s="5">
        <v>3393</v>
      </c>
      <c r="AF83" s="5">
        <v>343479</v>
      </c>
      <c r="AG83" s="5">
        <v>550.4</v>
      </c>
      <c r="AH83" s="5"/>
      <c r="AI83" s="5">
        <v>976.8</v>
      </c>
      <c r="AK83" s="5">
        <v>52909</v>
      </c>
      <c r="AM83" s="5"/>
      <c r="AN83" s="5">
        <v>559.20000000000005</v>
      </c>
      <c r="AO83" s="5">
        <v>119.9</v>
      </c>
      <c r="AP83" s="5">
        <v>4955</v>
      </c>
      <c r="AV83" s="8">
        <v>65.400000000000006</v>
      </c>
    </row>
    <row r="84" spans="1:48">
      <c r="A84" t="str">
        <f>VLOOKUP(D84,info!$A$2:$G$49,3,FALSE)</f>
        <v>Renault</v>
      </c>
      <c r="B84">
        <v>42</v>
      </c>
      <c r="C84" t="s">
        <v>77</v>
      </c>
      <c r="D84">
        <v>1147816</v>
      </c>
      <c r="E84" t="s">
        <v>34</v>
      </c>
      <c r="F84">
        <v>89731</v>
      </c>
      <c r="G84">
        <v>26367</v>
      </c>
      <c r="H84">
        <v>11379</v>
      </c>
      <c r="I84">
        <v>320032</v>
      </c>
      <c r="J84">
        <v>322.89999999999998</v>
      </c>
      <c r="K84">
        <v>207</v>
      </c>
      <c r="L84">
        <v>7218</v>
      </c>
      <c r="M84">
        <v>35369</v>
      </c>
      <c r="N84">
        <v>58116</v>
      </c>
      <c r="O84">
        <v>52593</v>
      </c>
      <c r="P84">
        <v>240.3</v>
      </c>
      <c r="Q84">
        <v>28.46</v>
      </c>
      <c r="R84">
        <v>40.4</v>
      </c>
      <c r="S84">
        <v>3548</v>
      </c>
      <c r="T84">
        <v>29.73</v>
      </c>
      <c r="U84">
        <v>8.6110000000000007</v>
      </c>
      <c r="V84">
        <v>0</v>
      </c>
      <c r="W84">
        <v>5.4349999999999996</v>
      </c>
      <c r="X84">
        <v>10.23</v>
      </c>
      <c r="Y84">
        <v>25.9</v>
      </c>
      <c r="Z84">
        <v>28850</v>
      </c>
      <c r="AA84">
        <v>36562</v>
      </c>
      <c r="AB84">
        <v>12328</v>
      </c>
      <c r="AC84" s="5">
        <v>86899</v>
      </c>
      <c r="AD84" s="5">
        <v>21956</v>
      </c>
      <c r="AE84" s="5">
        <v>8769</v>
      </c>
      <c r="AF84" s="5">
        <v>331094</v>
      </c>
      <c r="AG84" s="5">
        <v>461.6</v>
      </c>
      <c r="AH84" s="5"/>
      <c r="AI84" s="5">
        <v>7061</v>
      </c>
      <c r="AK84" s="5">
        <v>53594</v>
      </c>
      <c r="AM84" s="5">
        <v>286.89999999999998</v>
      </c>
      <c r="AN84" s="5">
        <v>579.9</v>
      </c>
      <c r="AO84" s="8">
        <v>46.1</v>
      </c>
      <c r="AP84" s="5">
        <v>4521</v>
      </c>
      <c r="AV84" s="8"/>
    </row>
    <row r="85" spans="1:48">
      <c r="A85" t="str">
        <f>VLOOKUP(D85,info!$A$2:$G$49,3,FALSE)</f>
        <v>Fiat</v>
      </c>
      <c r="B85">
        <v>43</v>
      </c>
      <c r="C85" t="s">
        <v>77</v>
      </c>
      <c r="D85">
        <v>5751910</v>
      </c>
      <c r="E85" t="s">
        <v>32</v>
      </c>
      <c r="F85">
        <v>98839</v>
      </c>
      <c r="G85">
        <v>24839</v>
      </c>
      <c r="H85">
        <v>4455</v>
      </c>
      <c r="I85">
        <v>336236</v>
      </c>
      <c r="J85">
        <v>325.2</v>
      </c>
      <c r="K85">
        <v>192.4</v>
      </c>
      <c r="L85">
        <v>833.8</v>
      </c>
      <c r="M85">
        <v>24313</v>
      </c>
      <c r="N85">
        <v>57117</v>
      </c>
      <c r="O85">
        <v>51349</v>
      </c>
      <c r="P85">
        <v>189</v>
      </c>
      <c r="Q85">
        <v>23.09</v>
      </c>
      <c r="R85">
        <v>93.97</v>
      </c>
      <c r="S85">
        <v>4098</v>
      </c>
      <c r="T85">
        <v>9.0489999999999995</v>
      </c>
      <c r="U85">
        <v>10.94</v>
      </c>
      <c r="V85">
        <v>28.54</v>
      </c>
      <c r="W85">
        <v>4.702</v>
      </c>
      <c r="X85">
        <v>6.6529999999999996</v>
      </c>
      <c r="Y85">
        <v>12.02</v>
      </c>
      <c r="Z85">
        <v>30414</v>
      </c>
      <c r="AA85">
        <v>36674</v>
      </c>
      <c r="AB85">
        <v>10915</v>
      </c>
      <c r="AC85" s="5">
        <v>94009</v>
      </c>
      <c r="AD85" s="5">
        <v>20844</v>
      </c>
      <c r="AE85" s="5">
        <v>3197</v>
      </c>
      <c r="AF85" s="5">
        <v>337446</v>
      </c>
      <c r="AG85" s="5">
        <v>589.9</v>
      </c>
      <c r="AH85" s="5"/>
      <c r="AI85" s="5">
        <v>940.2</v>
      </c>
      <c r="AK85" s="5">
        <v>52785</v>
      </c>
      <c r="AM85" s="5"/>
      <c r="AN85" s="5">
        <v>467.3</v>
      </c>
      <c r="AO85" s="5">
        <v>108.3</v>
      </c>
      <c r="AP85" s="5">
        <v>5265</v>
      </c>
      <c r="AV85" s="8">
        <v>49.1</v>
      </c>
    </row>
    <row r="86" spans="1:48">
      <c r="A86" t="str">
        <f>VLOOKUP(D86,info!$A$2:$G$49,3,FALSE)</f>
        <v>Hyundai</v>
      </c>
      <c r="B86">
        <v>44</v>
      </c>
      <c r="C86" t="s">
        <v>77</v>
      </c>
      <c r="D86">
        <v>9602910</v>
      </c>
      <c r="E86" t="s">
        <v>32</v>
      </c>
      <c r="F86">
        <v>93386</v>
      </c>
      <c r="G86">
        <v>26167</v>
      </c>
      <c r="H86">
        <v>6983</v>
      </c>
      <c r="I86">
        <v>336298</v>
      </c>
      <c r="J86">
        <v>449.9</v>
      </c>
      <c r="K86">
        <v>132.80000000000001</v>
      </c>
      <c r="L86">
        <v>2928</v>
      </c>
      <c r="M86">
        <v>29041</v>
      </c>
      <c r="N86">
        <v>65324</v>
      </c>
      <c r="O86">
        <v>59322</v>
      </c>
      <c r="P86">
        <v>235</v>
      </c>
      <c r="Q86">
        <v>26.74</v>
      </c>
      <c r="R86">
        <v>51.41</v>
      </c>
      <c r="S86">
        <v>2364</v>
      </c>
      <c r="T86">
        <v>3.4580000000000002</v>
      </c>
      <c r="U86">
        <v>7.5919999999999996</v>
      </c>
      <c r="V86">
        <v>1.7749999999999999</v>
      </c>
      <c r="W86">
        <v>2.7269999999999999</v>
      </c>
      <c r="X86">
        <v>0</v>
      </c>
      <c r="Y86">
        <v>21.13</v>
      </c>
      <c r="Z86">
        <v>10283</v>
      </c>
      <c r="AA86">
        <v>30159</v>
      </c>
      <c r="AB86">
        <v>3324</v>
      </c>
      <c r="AC86" s="5">
        <v>92376</v>
      </c>
      <c r="AD86" s="5">
        <v>21616</v>
      </c>
      <c r="AE86" s="5">
        <v>5880</v>
      </c>
      <c r="AF86" s="5">
        <v>336711</v>
      </c>
      <c r="AG86" s="5">
        <v>875</v>
      </c>
      <c r="AH86" s="5"/>
      <c r="AI86" s="5">
        <v>2800</v>
      </c>
      <c r="AK86" s="5">
        <v>58859</v>
      </c>
      <c r="AM86" s="5">
        <v>297.39999999999998</v>
      </c>
      <c r="AN86" s="5">
        <v>516.20000000000005</v>
      </c>
      <c r="AO86" s="8">
        <v>63.9</v>
      </c>
      <c r="AP86" s="5">
        <v>2966</v>
      </c>
      <c r="AV86" s="8"/>
    </row>
    <row r="87" spans="1:48">
      <c r="AC87" s="5"/>
      <c r="AD87" s="5"/>
      <c r="AE87" s="5"/>
      <c r="AF87" s="5"/>
      <c r="AG87" s="5"/>
      <c r="AH87" s="5"/>
      <c r="AI87" s="5"/>
      <c r="AK87" s="5"/>
      <c r="AM87" s="5"/>
      <c r="AN87" s="5"/>
      <c r="AO87" s="8"/>
      <c r="AP87" s="5"/>
      <c r="AV87" s="8"/>
    </row>
    <row r="88" spans="1:48">
      <c r="AC88" s="5"/>
      <c r="AD88" s="5"/>
      <c r="AE88" s="5"/>
      <c r="AF88" s="5"/>
      <c r="AG88" s="5"/>
      <c r="AH88" s="5"/>
      <c r="AI88" s="5"/>
      <c r="AK88" s="5"/>
      <c r="AM88" s="5"/>
      <c r="AN88" s="5"/>
      <c r="AO88" s="8"/>
      <c r="AP88" s="5"/>
      <c r="AV88" s="8"/>
    </row>
    <row r="89" spans="1:48">
      <c r="AC89" s="5"/>
      <c r="AD89" s="5"/>
      <c r="AE89" s="5"/>
      <c r="AF89" s="5"/>
      <c r="AG89" s="5"/>
      <c r="AH89" s="5"/>
      <c r="AI89" s="5"/>
      <c r="AK89" s="5"/>
      <c r="AM89" s="5"/>
      <c r="AN89" s="5"/>
      <c r="AO89" s="8"/>
      <c r="AP89" s="5"/>
      <c r="AV89" s="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workbookViewId="0">
      <selection activeCell="C30" sqref="C30"/>
    </sheetView>
  </sheetViews>
  <sheetFormatPr defaultRowHeight="15"/>
  <cols>
    <col min="1" max="1" width="10.28515625" bestFit="1" customWidth="1"/>
    <col min="2" max="2" width="5.42578125" bestFit="1" customWidth="1"/>
    <col min="3" max="3" width="19.85546875" bestFit="1" customWidth="1"/>
    <col min="4" max="4" width="10.140625" bestFit="1" customWidth="1"/>
    <col min="5" max="5" width="13.140625" bestFit="1" customWidth="1"/>
    <col min="6" max="6" width="16.140625" bestFit="1" customWidth="1"/>
    <col min="7" max="7" width="21.140625" bestFit="1" customWidth="1"/>
    <col min="8" max="8" width="6.42578125" bestFit="1" customWidth="1"/>
    <col min="9" max="9" width="10.28515625" bestFit="1" customWidth="1"/>
  </cols>
  <sheetData>
    <row r="1" spans="1:9" ht="20.25">
      <c r="A1" s="13" t="s">
        <v>235</v>
      </c>
      <c r="B1" s="13" t="s">
        <v>236</v>
      </c>
      <c r="C1" s="13" t="s">
        <v>237</v>
      </c>
      <c r="D1" s="13" t="s">
        <v>0</v>
      </c>
      <c r="E1" s="13" t="s">
        <v>238</v>
      </c>
      <c r="F1" s="13" t="s">
        <v>239</v>
      </c>
      <c r="G1" s="13" t="s">
        <v>240</v>
      </c>
      <c r="H1" s="13"/>
      <c r="I1" s="13" t="s">
        <v>235</v>
      </c>
    </row>
    <row r="2" spans="1:9" ht="15.75">
      <c r="A2" s="14">
        <v>3550828</v>
      </c>
      <c r="B2" s="14">
        <v>1</v>
      </c>
      <c r="C2" s="14" t="s">
        <v>224</v>
      </c>
      <c r="D2" s="14" t="s">
        <v>241</v>
      </c>
      <c r="E2" s="14" t="s">
        <v>242</v>
      </c>
      <c r="F2" s="14" t="s">
        <v>32</v>
      </c>
      <c r="G2" s="14"/>
      <c r="H2" s="15">
        <v>1997</v>
      </c>
      <c r="I2" s="14">
        <v>3550828</v>
      </c>
    </row>
    <row r="3" spans="1:9" ht="15.75">
      <c r="A3" s="14">
        <v>3550828</v>
      </c>
      <c r="B3" s="14">
        <v>2</v>
      </c>
      <c r="C3" s="14" t="s">
        <v>224</v>
      </c>
      <c r="D3" s="14" t="s">
        <v>241</v>
      </c>
      <c r="E3" s="14" t="s">
        <v>242</v>
      </c>
      <c r="F3" s="14" t="s">
        <v>34</v>
      </c>
      <c r="G3" s="14"/>
      <c r="H3" s="15">
        <v>1997</v>
      </c>
      <c r="I3" s="14">
        <v>3550828</v>
      </c>
    </row>
    <row r="4" spans="1:9" ht="15.75">
      <c r="A4" s="14">
        <v>3550828</v>
      </c>
      <c r="B4" s="14">
        <v>3</v>
      </c>
      <c r="C4" s="14" t="s">
        <v>224</v>
      </c>
      <c r="D4" s="14" t="s">
        <v>241</v>
      </c>
      <c r="E4" s="14" t="s">
        <v>243</v>
      </c>
      <c r="F4" s="14" t="s">
        <v>34</v>
      </c>
      <c r="G4" s="14"/>
      <c r="H4" s="15">
        <v>1997</v>
      </c>
      <c r="I4" s="14">
        <v>3550828</v>
      </c>
    </row>
    <row r="5" spans="1:9" ht="15.75">
      <c r="A5" s="16">
        <v>9367324</v>
      </c>
      <c r="B5" s="14">
        <v>4</v>
      </c>
      <c r="C5" s="16" t="s">
        <v>234</v>
      </c>
      <c r="D5" s="16">
        <v>206</v>
      </c>
      <c r="E5" s="16" t="s">
        <v>243</v>
      </c>
      <c r="F5" s="16" t="s">
        <v>32</v>
      </c>
      <c r="G5" s="16"/>
      <c r="H5" s="15">
        <v>2001</v>
      </c>
      <c r="I5" s="16">
        <v>9367324</v>
      </c>
    </row>
    <row r="6" spans="1:9" ht="15.75">
      <c r="A6" s="16">
        <v>9367324</v>
      </c>
      <c r="B6" s="14">
        <v>5</v>
      </c>
      <c r="C6" s="16" t="s">
        <v>234</v>
      </c>
      <c r="D6" s="16">
        <v>206</v>
      </c>
      <c r="E6" s="16" t="s">
        <v>242</v>
      </c>
      <c r="F6" s="16" t="s">
        <v>32</v>
      </c>
      <c r="G6" s="16"/>
      <c r="H6" s="15">
        <v>2001</v>
      </c>
      <c r="I6" s="16">
        <v>9367324</v>
      </c>
    </row>
    <row r="7" spans="1:9" ht="15.75">
      <c r="A7" s="14">
        <v>3550828</v>
      </c>
      <c r="B7" s="14">
        <v>6</v>
      </c>
      <c r="C7" s="14" t="s">
        <v>224</v>
      </c>
      <c r="D7" s="14" t="s">
        <v>241</v>
      </c>
      <c r="E7" s="14" t="s">
        <v>243</v>
      </c>
      <c r="F7" s="14" t="s">
        <v>32</v>
      </c>
      <c r="G7" s="14" t="s">
        <v>244</v>
      </c>
      <c r="H7" s="15">
        <v>1997</v>
      </c>
      <c r="I7" s="14">
        <v>3550828</v>
      </c>
    </row>
    <row r="8" spans="1:9" ht="15.75">
      <c r="A8" s="17">
        <v>9540217</v>
      </c>
      <c r="B8" s="14">
        <v>7</v>
      </c>
      <c r="C8" s="17" t="s">
        <v>225</v>
      </c>
      <c r="D8" s="17" t="s">
        <v>245</v>
      </c>
      <c r="E8" s="17" t="s">
        <v>243</v>
      </c>
      <c r="F8" s="17" t="s">
        <v>34</v>
      </c>
      <c r="G8" s="17"/>
      <c r="H8" s="15">
        <v>1999</v>
      </c>
      <c r="I8" s="17">
        <v>9540217</v>
      </c>
    </row>
    <row r="9" spans="1:9" ht="15.75">
      <c r="A9" s="18">
        <v>8096906</v>
      </c>
      <c r="B9" s="14">
        <v>8</v>
      </c>
      <c r="C9" s="18" t="s">
        <v>226</v>
      </c>
      <c r="D9" s="18" t="s">
        <v>246</v>
      </c>
      <c r="E9" s="18" t="s">
        <v>243</v>
      </c>
      <c r="F9" s="18" t="s">
        <v>32</v>
      </c>
      <c r="G9" s="18"/>
      <c r="H9" s="15">
        <v>1993</v>
      </c>
      <c r="I9" s="18">
        <v>8096906</v>
      </c>
    </row>
    <row r="10" spans="1:9" ht="15.75">
      <c r="A10" s="18">
        <v>8096906</v>
      </c>
      <c r="B10" s="14">
        <v>9</v>
      </c>
      <c r="C10" s="18" t="s">
        <v>226</v>
      </c>
      <c r="D10" s="18" t="s">
        <v>246</v>
      </c>
      <c r="E10" s="18" t="s">
        <v>242</v>
      </c>
      <c r="F10" s="18" t="s">
        <v>34</v>
      </c>
      <c r="G10" s="18" t="s">
        <v>244</v>
      </c>
      <c r="H10" s="15">
        <v>1993</v>
      </c>
      <c r="I10" s="18">
        <v>8096906</v>
      </c>
    </row>
    <row r="11" spans="1:9" ht="15.75">
      <c r="A11" s="19">
        <v>6917835</v>
      </c>
      <c r="B11" s="14">
        <v>10</v>
      </c>
      <c r="C11" s="19" t="s">
        <v>227</v>
      </c>
      <c r="D11" s="19" t="s">
        <v>247</v>
      </c>
      <c r="E11" s="19" t="s">
        <v>242</v>
      </c>
      <c r="F11" s="19" t="s">
        <v>32</v>
      </c>
      <c r="G11" s="19"/>
      <c r="H11" s="15">
        <v>2002</v>
      </c>
      <c r="I11" s="19">
        <v>6917835</v>
      </c>
    </row>
    <row r="12" spans="1:9" ht="15.75">
      <c r="A12" s="18">
        <v>8096906</v>
      </c>
      <c r="B12" s="14">
        <v>11</v>
      </c>
      <c r="C12" s="18" t="s">
        <v>226</v>
      </c>
      <c r="D12" s="18" t="s">
        <v>246</v>
      </c>
      <c r="E12" s="18" t="s">
        <v>243</v>
      </c>
      <c r="F12" s="18" t="s">
        <v>34</v>
      </c>
      <c r="G12" s="18" t="s">
        <v>244</v>
      </c>
      <c r="H12" s="15">
        <v>1993</v>
      </c>
      <c r="I12" s="18">
        <v>8096906</v>
      </c>
    </row>
    <row r="13" spans="1:9" ht="15.75">
      <c r="A13" s="20">
        <v>8501017</v>
      </c>
      <c r="B13" s="14">
        <v>12</v>
      </c>
      <c r="C13" s="20" t="s">
        <v>228</v>
      </c>
      <c r="D13" s="20" t="s">
        <v>248</v>
      </c>
      <c r="E13" s="20" t="s">
        <v>243</v>
      </c>
      <c r="F13" s="20" t="s">
        <v>34</v>
      </c>
      <c r="G13" s="20"/>
      <c r="H13" s="15">
        <v>2000</v>
      </c>
      <c r="I13" s="20">
        <v>8501017</v>
      </c>
    </row>
    <row r="14" spans="1:9" ht="15.75">
      <c r="A14" s="17">
        <v>9540217</v>
      </c>
      <c r="B14" s="14">
        <v>13</v>
      </c>
      <c r="C14" s="17" t="s">
        <v>225</v>
      </c>
      <c r="D14" s="17" t="s">
        <v>245</v>
      </c>
      <c r="E14" s="17" t="s">
        <v>242</v>
      </c>
      <c r="F14" s="17" t="s">
        <v>34</v>
      </c>
      <c r="G14" s="17"/>
      <c r="H14" s="15">
        <v>1999</v>
      </c>
      <c r="I14" s="17">
        <v>9540217</v>
      </c>
    </row>
    <row r="15" spans="1:9" ht="15.75">
      <c r="A15" s="16">
        <v>9367324</v>
      </c>
      <c r="B15" s="14">
        <v>14</v>
      </c>
      <c r="C15" s="16" t="s">
        <v>234</v>
      </c>
      <c r="D15" s="16">
        <v>206</v>
      </c>
      <c r="E15" s="16" t="s">
        <v>243</v>
      </c>
      <c r="F15" s="16" t="s">
        <v>34</v>
      </c>
      <c r="G15" s="16"/>
      <c r="H15" s="15">
        <v>2001</v>
      </c>
      <c r="I15" s="16">
        <v>9367324</v>
      </c>
    </row>
    <row r="16" spans="1:9" ht="15.75">
      <c r="A16" s="19">
        <v>6917835</v>
      </c>
      <c r="B16" s="14">
        <v>15</v>
      </c>
      <c r="C16" s="19" t="s">
        <v>227</v>
      </c>
      <c r="D16" s="19" t="s">
        <v>247</v>
      </c>
      <c r="E16" s="19" t="s">
        <v>242</v>
      </c>
      <c r="F16" s="19" t="s">
        <v>34</v>
      </c>
      <c r="G16" s="19"/>
      <c r="H16" s="15">
        <v>2002</v>
      </c>
      <c r="I16" s="19">
        <v>6917835</v>
      </c>
    </row>
    <row r="17" spans="1:9" ht="15.75">
      <c r="A17" s="21">
        <v>6316720</v>
      </c>
      <c r="B17" s="14">
        <v>16</v>
      </c>
      <c r="C17" s="21" t="s">
        <v>225</v>
      </c>
      <c r="D17" s="21" t="s">
        <v>249</v>
      </c>
      <c r="E17" s="21" t="s">
        <v>243</v>
      </c>
      <c r="F17" s="21" t="s">
        <v>34</v>
      </c>
      <c r="G17" s="21"/>
      <c r="H17" s="15">
        <v>1998</v>
      </c>
      <c r="I17" s="21">
        <v>6316720</v>
      </c>
    </row>
    <row r="18" spans="1:9" ht="15.75">
      <c r="A18" s="21">
        <v>6316720</v>
      </c>
      <c r="B18" s="14">
        <v>17</v>
      </c>
      <c r="C18" s="21" t="s">
        <v>225</v>
      </c>
      <c r="D18" s="21" t="s">
        <v>249</v>
      </c>
      <c r="E18" s="21" t="s">
        <v>242</v>
      </c>
      <c r="F18" s="21" t="s">
        <v>34</v>
      </c>
      <c r="G18" s="21"/>
      <c r="H18" s="15">
        <v>1998</v>
      </c>
      <c r="I18" s="21">
        <v>6316720</v>
      </c>
    </row>
    <row r="19" spans="1:9" ht="15.75">
      <c r="A19" s="18">
        <v>8096906</v>
      </c>
      <c r="B19" s="14">
        <v>18</v>
      </c>
      <c r="C19" s="18" t="s">
        <v>226</v>
      </c>
      <c r="D19" s="18" t="s">
        <v>246</v>
      </c>
      <c r="E19" s="18" t="s">
        <v>242</v>
      </c>
      <c r="F19" s="18" t="s">
        <v>32</v>
      </c>
      <c r="G19" s="18"/>
      <c r="H19" s="15">
        <v>1993</v>
      </c>
      <c r="I19" s="18">
        <v>8096906</v>
      </c>
    </row>
    <row r="20" spans="1:9" ht="15.75">
      <c r="A20" s="21">
        <v>6316720</v>
      </c>
      <c r="B20" s="14">
        <v>19</v>
      </c>
      <c r="C20" s="21" t="s">
        <v>225</v>
      </c>
      <c r="D20" s="21" t="s">
        <v>249</v>
      </c>
      <c r="E20" s="21" t="s">
        <v>243</v>
      </c>
      <c r="F20" s="21" t="s">
        <v>32</v>
      </c>
      <c r="G20" s="21"/>
      <c r="H20" s="15">
        <v>1998</v>
      </c>
      <c r="I20" s="21">
        <v>6316720</v>
      </c>
    </row>
    <row r="21" spans="1:9" ht="15.75">
      <c r="A21" s="22">
        <v>5751910</v>
      </c>
      <c r="B21" s="14">
        <v>20</v>
      </c>
      <c r="C21" s="22" t="s">
        <v>229</v>
      </c>
      <c r="D21" s="22" t="s">
        <v>250</v>
      </c>
      <c r="E21" s="22" t="s">
        <v>251</v>
      </c>
      <c r="F21" s="22" t="s">
        <v>34</v>
      </c>
      <c r="G21" s="22"/>
      <c r="H21" s="15">
        <v>2001</v>
      </c>
      <c r="I21" s="22">
        <v>5751910</v>
      </c>
    </row>
    <row r="22" spans="1:9" ht="15.75">
      <c r="A22" s="23">
        <v>5826120</v>
      </c>
      <c r="B22" s="14">
        <v>21</v>
      </c>
      <c r="C22" s="23" t="s">
        <v>225</v>
      </c>
      <c r="D22" s="23" t="s">
        <v>245</v>
      </c>
      <c r="E22" s="23" t="s">
        <v>242</v>
      </c>
      <c r="F22" s="23" t="s">
        <v>52</v>
      </c>
      <c r="G22" s="23"/>
      <c r="H22" s="15">
        <v>1997</v>
      </c>
      <c r="I22" s="23">
        <v>5826120</v>
      </c>
    </row>
    <row r="23" spans="1:9" ht="15.75">
      <c r="A23" s="20">
        <v>8501017</v>
      </c>
      <c r="B23" s="14">
        <v>22</v>
      </c>
      <c r="C23" s="20" t="s">
        <v>228</v>
      </c>
      <c r="D23" s="20" t="s">
        <v>248</v>
      </c>
      <c r="E23" s="20" t="s">
        <v>243</v>
      </c>
      <c r="F23" s="20" t="s">
        <v>32</v>
      </c>
      <c r="G23" s="20"/>
      <c r="H23" s="15">
        <v>2000</v>
      </c>
      <c r="I23" s="20">
        <v>8501017</v>
      </c>
    </row>
    <row r="24" spans="1:9" ht="15.75">
      <c r="A24" s="20">
        <v>8501017</v>
      </c>
      <c r="B24" s="14">
        <v>23</v>
      </c>
      <c r="C24" s="20" t="s">
        <v>228</v>
      </c>
      <c r="D24" s="20" t="s">
        <v>248</v>
      </c>
      <c r="E24" s="20" t="s">
        <v>242</v>
      </c>
      <c r="F24" s="20" t="s">
        <v>34</v>
      </c>
      <c r="G24" s="20"/>
      <c r="H24" s="15">
        <v>2000</v>
      </c>
      <c r="I24" s="20">
        <v>8501017</v>
      </c>
    </row>
    <row r="25" spans="1:9" ht="15.75">
      <c r="A25" s="24">
        <v>7027220</v>
      </c>
      <c r="B25" s="14">
        <v>24</v>
      </c>
      <c r="C25" s="24" t="s">
        <v>230</v>
      </c>
      <c r="D25" s="24" t="s">
        <v>252</v>
      </c>
      <c r="E25" s="24" t="s">
        <v>242</v>
      </c>
      <c r="F25" s="24" t="s">
        <v>32</v>
      </c>
      <c r="G25" s="24"/>
      <c r="H25" s="15">
        <v>1998</v>
      </c>
      <c r="I25" s="24">
        <v>7027220</v>
      </c>
    </row>
    <row r="26" spans="1:9" ht="15.75">
      <c r="A26" s="25">
        <v>2675308</v>
      </c>
      <c r="B26" s="14">
        <v>25</v>
      </c>
      <c r="C26" s="25" t="s">
        <v>231</v>
      </c>
      <c r="D26" s="25" t="s">
        <v>253</v>
      </c>
      <c r="E26" s="25" t="s">
        <v>243</v>
      </c>
      <c r="F26" s="25" t="s">
        <v>32</v>
      </c>
      <c r="G26" s="25"/>
      <c r="H26" s="15">
        <v>1994</v>
      </c>
      <c r="I26" s="25">
        <v>2675308</v>
      </c>
    </row>
    <row r="27" spans="1:9" ht="15.75">
      <c r="A27" s="24">
        <v>7027220</v>
      </c>
      <c r="B27" s="14">
        <v>26</v>
      </c>
      <c r="C27" s="24" t="s">
        <v>230</v>
      </c>
      <c r="D27" s="24" t="s">
        <v>252</v>
      </c>
      <c r="E27" s="24" t="s">
        <v>242</v>
      </c>
      <c r="F27" s="24" t="s">
        <v>34</v>
      </c>
      <c r="G27" s="24"/>
      <c r="H27" s="15">
        <v>1998</v>
      </c>
      <c r="I27" s="24">
        <v>7027220</v>
      </c>
    </row>
    <row r="28" spans="1:9" ht="15.75">
      <c r="A28" s="22">
        <v>5751910</v>
      </c>
      <c r="B28" s="14">
        <v>27</v>
      </c>
      <c r="C28" s="22" t="s">
        <v>229</v>
      </c>
      <c r="D28" s="22" t="s">
        <v>250</v>
      </c>
      <c r="E28" s="22" t="s">
        <v>242</v>
      </c>
      <c r="F28" s="22" t="s">
        <v>32</v>
      </c>
      <c r="G28" s="22"/>
      <c r="H28" s="15">
        <v>2001</v>
      </c>
      <c r="I28" s="22">
        <v>5751910</v>
      </c>
    </row>
    <row r="29" spans="1:9" ht="15.75">
      <c r="A29" s="25">
        <v>2675308</v>
      </c>
      <c r="B29" s="14">
        <v>28</v>
      </c>
      <c r="C29" s="25" t="s">
        <v>231</v>
      </c>
      <c r="D29" s="25" t="s">
        <v>253</v>
      </c>
      <c r="E29" s="25" t="s">
        <v>242</v>
      </c>
      <c r="F29" s="25" t="s">
        <v>32</v>
      </c>
      <c r="G29" s="25"/>
      <c r="H29" s="15">
        <v>1994</v>
      </c>
      <c r="I29" s="25">
        <v>2675308</v>
      </c>
    </row>
    <row r="30" spans="1:9" ht="15.75">
      <c r="A30" s="26">
        <v>1147816</v>
      </c>
      <c r="B30" s="14">
        <v>29</v>
      </c>
      <c r="C30" s="26" t="s">
        <v>232</v>
      </c>
      <c r="D30" s="26" t="s">
        <v>254</v>
      </c>
      <c r="E30" s="26" t="s">
        <v>243</v>
      </c>
      <c r="F30" s="26" t="s">
        <v>52</v>
      </c>
      <c r="G30" s="26"/>
      <c r="H30" s="15">
        <v>1995</v>
      </c>
      <c r="I30" s="26">
        <v>1147816</v>
      </c>
    </row>
    <row r="31" spans="1:9" ht="15.75">
      <c r="A31" s="19">
        <v>6917835</v>
      </c>
      <c r="B31" s="14">
        <v>30</v>
      </c>
      <c r="C31" s="19" t="s">
        <v>227</v>
      </c>
      <c r="D31" s="19" t="s">
        <v>247</v>
      </c>
      <c r="E31" s="19" t="s">
        <v>243</v>
      </c>
      <c r="F31" s="19" t="s">
        <v>34</v>
      </c>
      <c r="G31" s="19"/>
      <c r="H31" s="15">
        <v>2002</v>
      </c>
      <c r="I31" s="19">
        <v>6917835</v>
      </c>
    </row>
    <row r="32" spans="1:9" ht="15.75">
      <c r="A32" s="27">
        <v>9602910</v>
      </c>
      <c r="B32" s="14">
        <v>31</v>
      </c>
      <c r="C32" s="27" t="s">
        <v>225</v>
      </c>
      <c r="D32" s="27" t="s">
        <v>245</v>
      </c>
      <c r="E32" s="27" t="s">
        <v>243</v>
      </c>
      <c r="F32" s="27" t="s">
        <v>52</v>
      </c>
      <c r="G32" s="27"/>
      <c r="H32" s="15">
        <v>2001</v>
      </c>
      <c r="I32" s="27">
        <v>9602910</v>
      </c>
    </row>
    <row r="33" spans="1:9" ht="15.75">
      <c r="A33" s="27">
        <v>9602910</v>
      </c>
      <c r="B33" s="14">
        <v>32</v>
      </c>
      <c r="C33" s="27" t="s">
        <v>225</v>
      </c>
      <c r="D33" s="27" t="s">
        <v>245</v>
      </c>
      <c r="E33" s="27" t="s">
        <v>243</v>
      </c>
      <c r="F33" s="27" t="s">
        <v>52</v>
      </c>
      <c r="G33" s="27"/>
      <c r="H33" s="15">
        <v>2001</v>
      </c>
      <c r="I33" s="27">
        <v>9602910</v>
      </c>
    </row>
    <row r="34" spans="1:9" ht="15.75">
      <c r="A34" s="27">
        <v>9602910</v>
      </c>
      <c r="B34" s="14">
        <v>33</v>
      </c>
      <c r="C34" s="27" t="s">
        <v>225</v>
      </c>
      <c r="D34" s="27" t="s">
        <v>245</v>
      </c>
      <c r="E34" s="27" t="s">
        <v>243</v>
      </c>
      <c r="F34" s="27" t="s">
        <v>34</v>
      </c>
      <c r="G34" s="27"/>
      <c r="H34" s="15">
        <v>2001</v>
      </c>
      <c r="I34" s="27">
        <v>9602910</v>
      </c>
    </row>
    <row r="35" spans="1:9" ht="15.75">
      <c r="A35" s="27">
        <v>9602910</v>
      </c>
      <c r="B35" s="14">
        <v>34</v>
      </c>
      <c r="C35" s="27" t="s">
        <v>225</v>
      </c>
      <c r="D35" s="27" t="s">
        <v>245</v>
      </c>
      <c r="E35" s="27" t="s">
        <v>251</v>
      </c>
      <c r="F35" s="27" t="s">
        <v>52</v>
      </c>
      <c r="G35" s="27"/>
      <c r="H35" s="15">
        <v>2001</v>
      </c>
      <c r="I35" s="27">
        <v>9602910</v>
      </c>
    </row>
    <row r="36" spans="1:9" ht="15.75">
      <c r="A36" s="23">
        <v>5826120</v>
      </c>
      <c r="B36" s="14">
        <v>35</v>
      </c>
      <c r="C36" s="23" t="s">
        <v>225</v>
      </c>
      <c r="D36" s="23" t="s">
        <v>245</v>
      </c>
      <c r="E36" s="23" t="s">
        <v>243</v>
      </c>
      <c r="F36" s="23" t="s">
        <v>32</v>
      </c>
      <c r="G36" s="23"/>
      <c r="H36" s="15">
        <v>1997</v>
      </c>
      <c r="I36" s="23">
        <v>5826120</v>
      </c>
    </row>
    <row r="37" spans="1:9" ht="15.75">
      <c r="A37" s="23">
        <v>5826120</v>
      </c>
      <c r="B37" s="14">
        <v>36</v>
      </c>
      <c r="C37" s="23" t="s">
        <v>225</v>
      </c>
      <c r="D37" s="23" t="s">
        <v>245</v>
      </c>
      <c r="E37" s="23" t="s">
        <v>242</v>
      </c>
      <c r="F37" s="23" t="s">
        <v>34</v>
      </c>
      <c r="G37" s="23"/>
      <c r="H37" s="15">
        <v>1997</v>
      </c>
      <c r="I37" s="23">
        <v>5826120</v>
      </c>
    </row>
    <row r="38" spans="1:9" ht="15.75">
      <c r="A38" s="19">
        <v>6917835</v>
      </c>
      <c r="B38" s="14">
        <v>37</v>
      </c>
      <c r="C38" s="19" t="s">
        <v>227</v>
      </c>
      <c r="D38" s="19" t="s">
        <v>247</v>
      </c>
      <c r="E38" s="19" t="s">
        <v>243</v>
      </c>
      <c r="F38" s="19" t="s">
        <v>32</v>
      </c>
      <c r="G38" s="19"/>
      <c r="H38" s="15">
        <v>2002</v>
      </c>
      <c r="I38" s="19">
        <v>6917835</v>
      </c>
    </row>
    <row r="39" spans="1:9" ht="15.75">
      <c r="A39" s="23">
        <v>5826120</v>
      </c>
      <c r="B39" s="14">
        <v>38</v>
      </c>
      <c r="C39" s="23" t="s">
        <v>225</v>
      </c>
      <c r="D39" s="23" t="s">
        <v>245</v>
      </c>
      <c r="E39" s="23" t="s">
        <v>243</v>
      </c>
      <c r="F39" s="23" t="s">
        <v>34</v>
      </c>
      <c r="G39" s="23"/>
      <c r="H39" s="15">
        <v>1997</v>
      </c>
      <c r="I39" s="23">
        <v>5826120</v>
      </c>
    </row>
    <row r="40" spans="1:9" ht="15.75">
      <c r="A40" s="26">
        <v>1147816</v>
      </c>
      <c r="B40" s="14">
        <v>39</v>
      </c>
      <c r="C40" s="26" t="s">
        <v>232</v>
      </c>
      <c r="D40" s="26" t="s">
        <v>254</v>
      </c>
      <c r="E40" s="26" t="s">
        <v>242</v>
      </c>
      <c r="F40" s="26" t="s">
        <v>52</v>
      </c>
      <c r="G40" s="26"/>
      <c r="H40" s="15">
        <v>1995</v>
      </c>
      <c r="I40" s="26">
        <v>1147816</v>
      </c>
    </row>
    <row r="41" spans="1:9" ht="15.75">
      <c r="A41" s="25">
        <v>2675308</v>
      </c>
      <c r="B41" s="14">
        <v>40</v>
      </c>
      <c r="C41" s="25" t="s">
        <v>231</v>
      </c>
      <c r="D41" s="25" t="s">
        <v>253</v>
      </c>
      <c r="E41" s="25" t="s">
        <v>242</v>
      </c>
      <c r="F41" s="25" t="s">
        <v>34</v>
      </c>
      <c r="G41" s="25"/>
      <c r="H41" s="15">
        <v>1994</v>
      </c>
      <c r="I41" s="25">
        <v>2675308</v>
      </c>
    </row>
    <row r="42" spans="1:9" ht="15.75">
      <c r="A42" s="22">
        <v>5751910</v>
      </c>
      <c r="B42" s="14">
        <v>41</v>
      </c>
      <c r="C42" s="22" t="s">
        <v>229</v>
      </c>
      <c r="D42" s="22" t="s">
        <v>250</v>
      </c>
      <c r="E42" s="22" t="s">
        <v>243</v>
      </c>
      <c r="F42" s="22" t="s">
        <v>34</v>
      </c>
      <c r="G42" s="22"/>
      <c r="H42" s="15">
        <v>2001</v>
      </c>
      <c r="I42" s="22">
        <v>5751910</v>
      </c>
    </row>
    <row r="43" spans="1:9" ht="15.75">
      <c r="A43" s="26">
        <v>1147816</v>
      </c>
      <c r="B43" s="14">
        <v>42</v>
      </c>
      <c r="C43" s="26" t="s">
        <v>232</v>
      </c>
      <c r="D43" s="26" t="s">
        <v>254</v>
      </c>
      <c r="E43" s="26" t="s">
        <v>242</v>
      </c>
      <c r="F43" s="26" t="s">
        <v>34</v>
      </c>
      <c r="G43" s="26"/>
      <c r="H43" s="15">
        <v>1995</v>
      </c>
      <c r="I43" s="26">
        <v>1147816</v>
      </c>
    </row>
    <row r="44" spans="1:9" ht="15.75">
      <c r="A44" s="22">
        <v>5751910</v>
      </c>
      <c r="B44" s="14">
        <v>43</v>
      </c>
      <c r="C44" s="22" t="s">
        <v>229</v>
      </c>
      <c r="D44" s="22" t="s">
        <v>250</v>
      </c>
      <c r="E44" s="22" t="s">
        <v>243</v>
      </c>
      <c r="F44" s="22" t="s">
        <v>32</v>
      </c>
      <c r="G44" s="22"/>
      <c r="H44" s="15">
        <v>2001</v>
      </c>
      <c r="I44" s="22">
        <v>5751910</v>
      </c>
    </row>
    <row r="45" spans="1:9" ht="15.75">
      <c r="A45" s="27">
        <v>9602910</v>
      </c>
      <c r="B45" s="14">
        <v>44</v>
      </c>
      <c r="C45" s="27" t="s">
        <v>225</v>
      </c>
      <c r="D45" s="27" t="s">
        <v>245</v>
      </c>
      <c r="E45" s="27" t="s">
        <v>242</v>
      </c>
      <c r="F45" s="27" t="s">
        <v>32</v>
      </c>
      <c r="G45" s="27"/>
      <c r="H45" s="15">
        <v>2001</v>
      </c>
      <c r="I45" s="27">
        <v>9602910</v>
      </c>
    </row>
    <row r="46" spans="1:9" ht="15.75">
      <c r="A46" s="25">
        <v>2675308</v>
      </c>
      <c r="B46" s="14">
        <v>45</v>
      </c>
      <c r="C46" s="25" t="s">
        <v>231</v>
      </c>
      <c r="D46" s="25" t="s">
        <v>253</v>
      </c>
      <c r="E46" s="25" t="s">
        <v>243</v>
      </c>
      <c r="F46" s="25" t="s">
        <v>34</v>
      </c>
      <c r="G46" s="25"/>
      <c r="H46" s="15">
        <v>1994</v>
      </c>
      <c r="I46" s="25">
        <v>2675308</v>
      </c>
    </row>
    <row r="47" spans="1:9" ht="15.75">
      <c r="A47" s="26">
        <v>1147816</v>
      </c>
      <c r="B47" s="14">
        <v>46</v>
      </c>
      <c r="C47" s="26" t="s">
        <v>232</v>
      </c>
      <c r="D47" s="26" t="s">
        <v>254</v>
      </c>
      <c r="E47" s="26" t="s">
        <v>243</v>
      </c>
      <c r="F47" s="26" t="s">
        <v>34</v>
      </c>
      <c r="G47" s="26"/>
      <c r="H47" s="15">
        <v>1995</v>
      </c>
      <c r="I47" s="26">
        <v>1147816</v>
      </c>
    </row>
    <row r="48" spans="1:9" ht="15.75">
      <c r="A48" s="26">
        <v>1147816</v>
      </c>
      <c r="B48" s="14">
        <v>47</v>
      </c>
      <c r="C48" s="26" t="s">
        <v>232</v>
      </c>
      <c r="D48" s="26" t="s">
        <v>254</v>
      </c>
      <c r="E48" s="26" t="s">
        <v>243</v>
      </c>
      <c r="F48" s="26" t="s">
        <v>32</v>
      </c>
      <c r="G48" s="26"/>
      <c r="H48" s="15">
        <v>1995</v>
      </c>
      <c r="I48" s="26">
        <v>1147816</v>
      </c>
    </row>
    <row r="49" spans="1:9" ht="15.75">
      <c r="A49" s="23">
        <v>5826120</v>
      </c>
      <c r="B49" s="14">
        <v>48</v>
      </c>
      <c r="C49" s="23" t="s">
        <v>225</v>
      </c>
      <c r="D49" s="23" t="s">
        <v>245</v>
      </c>
      <c r="E49" s="23" t="s">
        <v>243</v>
      </c>
      <c r="F49" s="23" t="s">
        <v>52</v>
      </c>
      <c r="G49" s="23"/>
      <c r="H49" s="15">
        <v>1997</v>
      </c>
      <c r="I49" s="23">
        <v>5826120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4"/>
  <sheetViews>
    <sheetView workbookViewId="0">
      <selection activeCell="F15" sqref="F15"/>
    </sheetView>
  </sheetViews>
  <sheetFormatPr defaultRowHeight="15"/>
  <sheetData>
    <row r="1" spans="1: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tr">
        <f>CONCATENATE(G1,"_zscored")</f>
        <v>NaK_zscored</v>
      </c>
      <c r="AE1" t="str">
        <f t="shared" ref="AE1:AZ1" si="0">CONCATENATE(H1,"_zscored")</f>
        <v>MgK_zscored</v>
      </c>
      <c r="AF1" t="str">
        <f t="shared" si="0"/>
        <v>AlK_zscored</v>
      </c>
      <c r="AG1" t="str">
        <f t="shared" si="0"/>
        <v>SiK_zscored</v>
      </c>
      <c r="AH1" t="str">
        <f t="shared" si="0"/>
        <v>S K_zscored</v>
      </c>
      <c r="AI1" t="str">
        <f t="shared" si="0"/>
        <v>ClK_zscored</v>
      </c>
      <c r="AJ1" t="str">
        <f t="shared" si="0"/>
        <v>K KA_zscored</v>
      </c>
      <c r="AK1" t="str">
        <f t="shared" si="0"/>
        <v>K KB_zscored</v>
      </c>
      <c r="AL1" t="str">
        <f t="shared" si="0"/>
        <v>CaKA_zscored</v>
      </c>
      <c r="AM1" t="str">
        <f t="shared" si="0"/>
        <v>CaKB_zscored</v>
      </c>
      <c r="AN1" t="str">
        <f t="shared" si="0"/>
        <v>TiK_zscored</v>
      </c>
      <c r="AO1" t="str">
        <f t="shared" si="0"/>
        <v>CrK_zscored</v>
      </c>
      <c r="AP1" t="str">
        <f t="shared" si="0"/>
        <v>MnK_zscored</v>
      </c>
      <c r="AQ1" t="str">
        <f t="shared" si="0"/>
        <v>FeK_zscored</v>
      </c>
      <c r="AR1" t="str">
        <f t="shared" si="0"/>
        <v>CoKA_zscored</v>
      </c>
      <c r="AS1" t="str">
        <f t="shared" si="0"/>
        <v>CuKA_zscored</v>
      </c>
      <c r="AT1" t="str">
        <f t="shared" si="0"/>
        <v>CuKB_zscored</v>
      </c>
      <c r="AU1" t="str">
        <f t="shared" si="0"/>
        <v>ZnKA_zscored</v>
      </c>
      <c r="AV1" t="str">
        <f t="shared" si="0"/>
        <v>ZnKB_zscored</v>
      </c>
      <c r="AW1" t="str">
        <f t="shared" si="0"/>
        <v>SrK_zscored</v>
      </c>
      <c r="AX1" t="str">
        <f t="shared" si="0"/>
        <v>SnL1_zscored</v>
      </c>
      <c r="AY1" t="str">
        <f t="shared" si="0"/>
        <v>SnL2_zscored</v>
      </c>
      <c r="AZ1" t="str">
        <f t="shared" si="0"/>
        <v>SnL3_zscored</v>
      </c>
      <c r="BA1" t="str">
        <f>CONCATENATE(G1,"_wt")</f>
        <v>NaK_wt</v>
      </c>
      <c r="BB1" t="str">
        <f t="shared" ref="BB1:BW1" si="1">CONCATENATE(H1,"_wt")</f>
        <v>MgK_wt</v>
      </c>
      <c r="BC1" t="str">
        <f t="shared" si="1"/>
        <v>AlK_wt</v>
      </c>
      <c r="BD1" t="str">
        <f t="shared" si="1"/>
        <v>SiK_wt</v>
      </c>
      <c r="BE1" t="str">
        <f t="shared" si="1"/>
        <v>S K_wt</v>
      </c>
      <c r="BF1" t="str">
        <f t="shared" si="1"/>
        <v>ClK_wt</v>
      </c>
      <c r="BG1" t="str">
        <f t="shared" si="1"/>
        <v>K KA_wt</v>
      </c>
      <c r="BH1" t="str">
        <f t="shared" si="1"/>
        <v>K KB_wt</v>
      </c>
      <c r="BI1" t="str">
        <f t="shared" si="1"/>
        <v>CaKA_wt</v>
      </c>
      <c r="BJ1" t="str">
        <f t="shared" si="1"/>
        <v>CaKB_wt</v>
      </c>
      <c r="BK1" t="str">
        <f t="shared" si="1"/>
        <v>TiK_wt</v>
      </c>
      <c r="BL1" t="str">
        <f t="shared" si="1"/>
        <v>CrK_wt</v>
      </c>
      <c r="BM1" t="str">
        <f t="shared" si="1"/>
        <v>MnK_wt</v>
      </c>
      <c r="BN1" t="str">
        <f t="shared" si="1"/>
        <v>FeK_wt</v>
      </c>
      <c r="BO1" t="str">
        <f t="shared" si="1"/>
        <v>CoKA_wt</v>
      </c>
      <c r="BP1" t="str">
        <f t="shared" si="1"/>
        <v>CuKA_wt</v>
      </c>
      <c r="BQ1" t="str">
        <f t="shared" si="1"/>
        <v>CuKB_wt</v>
      </c>
      <c r="BR1" t="str">
        <f t="shared" si="1"/>
        <v>ZnKA_wt</v>
      </c>
      <c r="BS1" t="str">
        <f t="shared" si="1"/>
        <v>ZnKB_wt</v>
      </c>
      <c r="BT1" t="str">
        <f t="shared" si="1"/>
        <v>SrK_wt</v>
      </c>
      <c r="BU1" t="str">
        <f t="shared" si="1"/>
        <v>SnL1_wt</v>
      </c>
      <c r="BV1" t="str">
        <f t="shared" si="1"/>
        <v>SnL2_wt</v>
      </c>
      <c r="BW1" t="str">
        <f t="shared" si="1"/>
        <v>SnL3_wt</v>
      </c>
    </row>
    <row r="2" spans="1:75">
      <c r="A2" t="s">
        <v>353</v>
      </c>
      <c r="B2" t="s">
        <v>29</v>
      </c>
      <c r="C2" t="s">
        <v>351</v>
      </c>
      <c r="D2" t="s">
        <v>351</v>
      </c>
      <c r="E2" t="s">
        <v>351</v>
      </c>
      <c r="F2" t="s">
        <v>351</v>
      </c>
      <c r="G2">
        <v>139397</v>
      </c>
      <c r="H2">
        <v>32111</v>
      </c>
      <c r="I2">
        <v>4962.5</v>
      </c>
      <c r="J2">
        <v>350848</v>
      </c>
      <c r="K2">
        <v>704.6</v>
      </c>
      <c r="L2">
        <v>234.79999999999998</v>
      </c>
      <c r="M2">
        <v>902.35</v>
      </c>
      <c r="N2">
        <v>0</v>
      </c>
      <c r="O2">
        <v>57590</v>
      </c>
      <c r="P2">
        <v>0</v>
      </c>
      <c r="Q2">
        <v>127.65</v>
      </c>
      <c r="R2">
        <v>0</v>
      </c>
      <c r="S2">
        <v>93.89500000000001</v>
      </c>
      <c r="T2">
        <v>3588.5</v>
      </c>
      <c r="U2">
        <v>0</v>
      </c>
      <c r="V2">
        <v>0</v>
      </c>
      <c r="W2">
        <v>0</v>
      </c>
      <c r="X2">
        <v>11.934999999999999</v>
      </c>
      <c r="Y2">
        <v>0</v>
      </c>
      <c r="Z2">
        <v>25.625</v>
      </c>
    </row>
    <row r="3" spans="1:75">
      <c r="A3" t="s">
        <v>354</v>
      </c>
      <c r="B3" t="s">
        <v>29</v>
      </c>
      <c r="C3" t="s">
        <v>351</v>
      </c>
      <c r="D3" t="s">
        <v>351</v>
      </c>
      <c r="E3" t="s">
        <v>351</v>
      </c>
      <c r="F3" t="s">
        <v>351</v>
      </c>
      <c r="G3">
        <v>119579.375</v>
      </c>
      <c r="H3">
        <v>23329.625</v>
      </c>
      <c r="I3">
        <v>8184.0625</v>
      </c>
      <c r="J3">
        <v>336089.0625</v>
      </c>
      <c r="K3">
        <v>657.44374999999991</v>
      </c>
      <c r="L3">
        <v>217.70875000000001</v>
      </c>
      <c r="M3">
        <v>1148.4625000000001</v>
      </c>
      <c r="N3">
        <v>0</v>
      </c>
      <c r="O3">
        <v>63642.0625</v>
      </c>
      <c r="P3">
        <v>0</v>
      </c>
      <c r="Q3">
        <v>133.52937499999999</v>
      </c>
      <c r="R3">
        <v>0</v>
      </c>
      <c r="S3">
        <v>36.71991666666667</v>
      </c>
      <c r="T3">
        <v>1002.7268749999998</v>
      </c>
      <c r="U3">
        <v>0</v>
      </c>
      <c r="V3">
        <v>0</v>
      </c>
      <c r="W3">
        <v>0</v>
      </c>
      <c r="X3">
        <v>13.290076923076924</v>
      </c>
      <c r="Y3">
        <v>0</v>
      </c>
      <c r="Z3">
        <v>31.481249999999996</v>
      </c>
    </row>
    <row r="4" spans="1:75">
      <c r="A4" t="s">
        <v>355</v>
      </c>
      <c r="B4" t="s">
        <v>29</v>
      </c>
      <c r="C4" t="s">
        <v>351</v>
      </c>
      <c r="D4" t="s">
        <v>351</v>
      </c>
      <c r="E4" t="s">
        <v>351</v>
      </c>
      <c r="F4" t="s">
        <v>351</v>
      </c>
      <c r="G4">
        <v>113048.2</v>
      </c>
      <c r="H4">
        <v>28850.400000000001</v>
      </c>
      <c r="I4">
        <v>6012</v>
      </c>
      <c r="J4">
        <v>324705.40000000002</v>
      </c>
      <c r="K4">
        <v>643.57999999999993</v>
      </c>
      <c r="L4">
        <v>318.28000000000003</v>
      </c>
      <c r="M4">
        <v>847.74</v>
      </c>
      <c r="N4">
        <v>0</v>
      </c>
      <c r="O4">
        <v>61332.2</v>
      </c>
      <c r="P4">
        <v>0</v>
      </c>
      <c r="Q4">
        <v>146.5</v>
      </c>
      <c r="R4">
        <v>0</v>
      </c>
      <c r="S4">
        <v>104.02000000000001</v>
      </c>
      <c r="T4">
        <v>4387.2</v>
      </c>
      <c r="U4">
        <v>0</v>
      </c>
      <c r="V4">
        <v>0</v>
      </c>
      <c r="W4">
        <v>0</v>
      </c>
      <c r="X4">
        <v>15.5966</v>
      </c>
      <c r="Y4">
        <v>0</v>
      </c>
      <c r="Z4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"/>
  <sheetViews>
    <sheetView workbookViewId="0">
      <selection activeCell="A10" sqref="A10"/>
    </sheetView>
  </sheetViews>
  <sheetFormatPr defaultRowHeight="15"/>
  <cols>
    <col min="1" max="1" width="20.42578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3" t="s">
        <v>9</v>
      </c>
      <c r="H1" s="33" t="s">
        <v>6</v>
      </c>
      <c r="I1" s="33" t="s">
        <v>14</v>
      </c>
      <c r="J1" s="33" t="s">
        <v>7</v>
      </c>
      <c r="K1" s="33" t="s">
        <v>8</v>
      </c>
      <c r="L1" s="33" t="s">
        <v>12</v>
      </c>
      <c r="M1" s="33" t="s">
        <v>10</v>
      </c>
      <c r="N1" s="33" t="s">
        <v>16</v>
      </c>
      <c r="O1" s="33" t="s">
        <v>19</v>
      </c>
      <c r="P1" s="33" t="s">
        <v>23</v>
      </c>
      <c r="Q1" s="33" t="s">
        <v>11</v>
      </c>
      <c r="R1" s="33" t="s">
        <v>18</v>
      </c>
      <c r="S1" s="33" t="s">
        <v>25</v>
      </c>
    </row>
    <row r="2" spans="1:19">
      <c r="A2" t="s">
        <v>355</v>
      </c>
      <c r="B2" t="s">
        <v>233</v>
      </c>
      <c r="C2" t="s">
        <v>351</v>
      </c>
      <c r="D2" t="s">
        <v>351</v>
      </c>
      <c r="E2" t="s">
        <v>351</v>
      </c>
      <c r="F2" t="s">
        <v>351</v>
      </c>
      <c r="G2" s="5">
        <v>333903</v>
      </c>
      <c r="H2" s="5">
        <v>99385.5</v>
      </c>
      <c r="I2" s="5">
        <v>54570</v>
      </c>
      <c r="J2" s="5">
        <v>20678.5</v>
      </c>
      <c r="K2" s="5">
        <v>3600.5</v>
      </c>
      <c r="L2" s="5">
        <v>776.15</v>
      </c>
      <c r="M2" s="5">
        <v>915.5</v>
      </c>
      <c r="N2" s="5">
        <v>0</v>
      </c>
      <c r="O2" s="5">
        <v>5427.5</v>
      </c>
      <c r="P2" s="8">
        <v>25.42</v>
      </c>
      <c r="Q2" s="5">
        <v>200.8</v>
      </c>
      <c r="R2" s="5">
        <v>136</v>
      </c>
      <c r="S2" s="8">
        <v>54.95</v>
      </c>
    </row>
    <row r="3" spans="1:19">
      <c r="A3" t="s">
        <v>355</v>
      </c>
      <c r="B3" t="s">
        <v>233</v>
      </c>
      <c r="C3" t="s">
        <v>351</v>
      </c>
      <c r="D3" t="s">
        <v>351</v>
      </c>
      <c r="E3" t="s">
        <v>351</v>
      </c>
      <c r="F3" t="s">
        <v>351</v>
      </c>
      <c r="G3" s="6">
        <v>339499</v>
      </c>
      <c r="H3" s="6">
        <v>99728</v>
      </c>
      <c r="I3" s="6">
        <v>53407</v>
      </c>
      <c r="J3" s="6">
        <v>21099.5</v>
      </c>
      <c r="K3" s="6">
        <v>3832.5</v>
      </c>
      <c r="L3" s="6">
        <v>816</v>
      </c>
      <c r="M3" s="6">
        <v>861.5</v>
      </c>
      <c r="N3" s="6">
        <v>151.30000000000001</v>
      </c>
      <c r="O3" s="6">
        <v>5335</v>
      </c>
      <c r="P3" s="12">
        <v>34.284999999999997</v>
      </c>
      <c r="Q3" s="6">
        <v>262.25</v>
      </c>
      <c r="R3" s="6">
        <v>0</v>
      </c>
      <c r="S3" s="12">
        <v>45.72</v>
      </c>
    </row>
    <row r="4" spans="1:19">
      <c r="A4" t="s">
        <v>356</v>
      </c>
      <c r="B4" t="s">
        <v>233</v>
      </c>
      <c r="C4" t="s">
        <v>351</v>
      </c>
      <c r="D4" t="s">
        <v>351</v>
      </c>
      <c r="E4" t="s">
        <v>351</v>
      </c>
      <c r="F4" t="s">
        <v>351</v>
      </c>
      <c r="G4" s="5">
        <v>340758.33333333331</v>
      </c>
      <c r="H4" s="5">
        <v>90657.333333333328</v>
      </c>
      <c r="I4" s="5">
        <v>52188.333333333336</v>
      </c>
      <c r="J4" s="5">
        <v>20767</v>
      </c>
      <c r="K4" s="5">
        <v>3345.6666666666665</v>
      </c>
      <c r="L4" s="5">
        <v>1710</v>
      </c>
      <c r="M4" s="5">
        <v>409.5</v>
      </c>
      <c r="N4" s="5">
        <v>151.1</v>
      </c>
      <c r="O4" s="5">
        <v>3685</v>
      </c>
      <c r="P4" s="8">
        <v>0</v>
      </c>
      <c r="Q4" s="5">
        <v>0</v>
      </c>
      <c r="R4" s="5">
        <v>0</v>
      </c>
      <c r="S4" s="8">
        <v>39.92</v>
      </c>
    </row>
    <row r="5" spans="1:19">
      <c r="A5" t="s">
        <v>356</v>
      </c>
      <c r="B5" t="s">
        <v>233</v>
      </c>
      <c r="C5" t="s">
        <v>351</v>
      </c>
      <c r="D5" t="s">
        <v>351</v>
      </c>
      <c r="E5" t="s">
        <v>351</v>
      </c>
      <c r="F5" t="s">
        <v>351</v>
      </c>
      <c r="G5" s="5">
        <v>341607</v>
      </c>
      <c r="H5" s="5">
        <v>91429</v>
      </c>
      <c r="I5" s="5">
        <v>52617.5</v>
      </c>
      <c r="J5" s="5">
        <v>21009.5</v>
      </c>
      <c r="K5" s="5">
        <v>3348</v>
      </c>
      <c r="L5" s="5">
        <v>1662</v>
      </c>
      <c r="M5" s="5">
        <v>399.75</v>
      </c>
      <c r="N5" s="5">
        <v>0</v>
      </c>
      <c r="O5" s="5">
        <v>3832</v>
      </c>
      <c r="P5" s="8">
        <v>0</v>
      </c>
      <c r="Q5" s="5">
        <v>0</v>
      </c>
      <c r="R5" s="5">
        <v>0</v>
      </c>
      <c r="S5" s="8">
        <v>0</v>
      </c>
    </row>
    <row r="6" spans="1:19">
      <c r="A6" t="s">
        <v>354</v>
      </c>
      <c r="B6" t="s">
        <v>233</v>
      </c>
      <c r="C6" t="s">
        <v>351</v>
      </c>
      <c r="D6" t="s">
        <v>351</v>
      </c>
      <c r="E6" t="s">
        <v>351</v>
      </c>
      <c r="F6" t="s">
        <v>351</v>
      </c>
      <c r="G6" s="5">
        <v>345956</v>
      </c>
      <c r="H6" s="5">
        <v>98420</v>
      </c>
      <c r="I6" s="5">
        <v>51493</v>
      </c>
      <c r="J6" s="5">
        <v>21475</v>
      </c>
      <c r="K6" s="5">
        <v>5319</v>
      </c>
      <c r="L6" s="5">
        <v>1088</v>
      </c>
      <c r="M6" s="5">
        <v>909.1</v>
      </c>
      <c r="N6" s="5">
        <v>0</v>
      </c>
      <c r="O6" s="5">
        <v>835</v>
      </c>
      <c r="P6" s="8">
        <v>0</v>
      </c>
      <c r="Q6" s="5">
        <v>0</v>
      </c>
      <c r="R6" s="5">
        <v>0</v>
      </c>
      <c r="S6" s="8">
        <v>0</v>
      </c>
    </row>
    <row r="7" spans="1:19">
      <c r="A7" t="s">
        <v>354</v>
      </c>
      <c r="B7" t="s">
        <v>233</v>
      </c>
      <c r="C7" t="s">
        <v>351</v>
      </c>
      <c r="D7" t="s">
        <v>351</v>
      </c>
      <c r="E7" t="s">
        <v>351</v>
      </c>
      <c r="F7" t="s">
        <v>351</v>
      </c>
      <c r="G7" s="5">
        <v>342822.66666666669</v>
      </c>
      <c r="H7" s="5">
        <v>104475.33333333333</v>
      </c>
      <c r="I7" s="5">
        <v>58720</v>
      </c>
      <c r="J7" s="5">
        <v>6838.666666666667</v>
      </c>
      <c r="K7" s="5">
        <v>9093</v>
      </c>
      <c r="L7" s="5">
        <v>204.86666666666667</v>
      </c>
      <c r="M7" s="5">
        <v>603.5</v>
      </c>
      <c r="N7" s="5">
        <v>179.2</v>
      </c>
      <c r="O7" s="5">
        <v>105.71333333333332</v>
      </c>
      <c r="P7" s="8">
        <v>9.1319999999999997</v>
      </c>
      <c r="Q7" s="5">
        <v>0</v>
      </c>
      <c r="R7" s="5">
        <v>0</v>
      </c>
      <c r="S7" s="8">
        <v>33.08</v>
      </c>
    </row>
    <row r="8" spans="1:19">
      <c r="A8" t="s">
        <v>354</v>
      </c>
      <c r="B8" t="s">
        <v>233</v>
      </c>
      <c r="C8" t="s">
        <v>351</v>
      </c>
      <c r="D8" t="s">
        <v>351</v>
      </c>
      <c r="E8" t="s">
        <v>351</v>
      </c>
      <c r="F8" t="s">
        <v>351</v>
      </c>
      <c r="G8" s="6">
        <v>341253.5</v>
      </c>
      <c r="H8" s="6">
        <v>103636</v>
      </c>
      <c r="I8" s="6">
        <v>63137.5</v>
      </c>
      <c r="J8" s="6">
        <v>7066</v>
      </c>
      <c r="K8" s="6">
        <v>8674</v>
      </c>
      <c r="L8" s="6">
        <v>0</v>
      </c>
      <c r="M8" s="6">
        <v>602.79999999999995</v>
      </c>
      <c r="N8" s="6">
        <v>0</v>
      </c>
      <c r="O8" s="6">
        <v>120.8</v>
      </c>
      <c r="P8" s="12">
        <v>0</v>
      </c>
      <c r="Q8" s="6">
        <v>0</v>
      </c>
      <c r="R8" s="6">
        <v>0</v>
      </c>
      <c r="S8" s="12">
        <v>29.68</v>
      </c>
    </row>
    <row r="9" spans="1:19">
      <c r="A9" t="s">
        <v>354</v>
      </c>
      <c r="B9" t="s">
        <v>233</v>
      </c>
      <c r="C9" t="s">
        <v>351</v>
      </c>
      <c r="D9" t="s">
        <v>351</v>
      </c>
      <c r="E9" t="s">
        <v>351</v>
      </c>
      <c r="F9" t="s">
        <v>351</v>
      </c>
      <c r="G9" s="5">
        <v>345448</v>
      </c>
      <c r="H9" s="5">
        <v>88884</v>
      </c>
      <c r="I9" s="5">
        <v>54513</v>
      </c>
      <c r="J9" s="5">
        <v>21549.666666666668</v>
      </c>
      <c r="K9" s="5">
        <v>5154.333333333333</v>
      </c>
      <c r="L9" s="5">
        <v>869.63333333333333</v>
      </c>
      <c r="M9" s="5">
        <v>797.26666666666677</v>
      </c>
      <c r="N9" s="5">
        <v>185.0333333333333</v>
      </c>
      <c r="O9" s="5">
        <v>5571.333333333333</v>
      </c>
      <c r="P9" s="8">
        <v>42.986666666666672</v>
      </c>
      <c r="Q9" s="5">
        <v>0</v>
      </c>
      <c r="R9" s="5">
        <v>130.24</v>
      </c>
      <c r="S9" s="8">
        <v>57.555</v>
      </c>
    </row>
    <row r="10" spans="1:19">
      <c r="A10" t="s">
        <v>354</v>
      </c>
      <c r="B10" t="s">
        <v>233</v>
      </c>
      <c r="C10" t="s">
        <v>351</v>
      </c>
      <c r="D10" t="s">
        <v>351</v>
      </c>
      <c r="E10" t="s">
        <v>351</v>
      </c>
      <c r="F10" t="s">
        <v>351</v>
      </c>
      <c r="G10" s="6">
        <v>340339</v>
      </c>
      <c r="H10" s="6">
        <v>100025.5</v>
      </c>
      <c r="I10" s="6">
        <v>53014.5</v>
      </c>
      <c r="J10" s="6">
        <v>20952.5</v>
      </c>
      <c r="K10" s="6">
        <v>3799</v>
      </c>
      <c r="L10" s="6">
        <v>792.5</v>
      </c>
      <c r="M10" s="6">
        <v>954.95</v>
      </c>
      <c r="N10" s="6">
        <v>135.5</v>
      </c>
      <c r="O10" s="6">
        <v>5288</v>
      </c>
      <c r="P10" s="12">
        <v>0</v>
      </c>
      <c r="Q10" s="6">
        <v>0</v>
      </c>
      <c r="R10" s="6">
        <v>0</v>
      </c>
      <c r="S10" s="12">
        <v>44.49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1"/>
  <sheetViews>
    <sheetView workbookViewId="0">
      <selection activeCell="E22" sqref="E22"/>
    </sheetView>
  </sheetViews>
  <sheetFormatPr defaultRowHeight="15"/>
  <cols>
    <col min="1" max="1" width="20.42578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3" t="s">
        <v>9</v>
      </c>
      <c r="H1" s="33" t="s">
        <v>6</v>
      </c>
      <c r="I1" s="33" t="s">
        <v>14</v>
      </c>
      <c r="J1" s="33" t="s">
        <v>7</v>
      </c>
      <c r="K1" s="33" t="s">
        <v>8</v>
      </c>
      <c r="L1" s="33" t="s">
        <v>12</v>
      </c>
      <c r="M1" s="33" t="s">
        <v>10</v>
      </c>
      <c r="N1" s="33" t="s">
        <v>16</v>
      </c>
      <c r="O1" s="33" t="s">
        <v>19</v>
      </c>
      <c r="P1" s="33" t="s">
        <v>23</v>
      </c>
      <c r="Q1" s="33" t="s">
        <v>11</v>
      </c>
      <c r="R1" s="33" t="s">
        <v>18</v>
      </c>
      <c r="S1" s="33" t="s">
        <v>25</v>
      </c>
    </row>
    <row r="2" spans="1:19">
      <c r="A2" t="s">
        <v>355</v>
      </c>
      <c r="B2" t="s">
        <v>233</v>
      </c>
      <c r="C2" t="s">
        <v>351</v>
      </c>
      <c r="D2" t="s">
        <v>351</v>
      </c>
      <c r="E2" t="s">
        <v>351</v>
      </c>
      <c r="F2" t="s">
        <v>351</v>
      </c>
      <c r="G2" s="5">
        <v>337844.5</v>
      </c>
      <c r="H2" s="5">
        <v>110605.5</v>
      </c>
      <c r="I2" s="5">
        <v>45584.5</v>
      </c>
      <c r="J2" s="5">
        <v>23161.5</v>
      </c>
      <c r="K2" s="5">
        <v>3557</v>
      </c>
      <c r="L2" s="5">
        <v>724.25</v>
      </c>
      <c r="M2" s="5">
        <v>891.6</v>
      </c>
      <c r="N2" s="5">
        <v>122.35</v>
      </c>
      <c r="O2" s="5">
        <v>4578</v>
      </c>
      <c r="P2" s="8">
        <v>26.634999999999998</v>
      </c>
      <c r="Q2" s="5">
        <v>180.85</v>
      </c>
      <c r="R2" s="5">
        <v>82.789999999999992</v>
      </c>
      <c r="S2" s="8">
        <v>52.25</v>
      </c>
    </row>
    <row r="3" spans="1:19">
      <c r="A3" t="s">
        <v>355</v>
      </c>
      <c r="B3" t="s">
        <v>233</v>
      </c>
      <c r="C3" t="s">
        <v>351</v>
      </c>
      <c r="D3" t="s">
        <v>351</v>
      </c>
      <c r="E3" t="s">
        <v>351</v>
      </c>
      <c r="F3" t="s">
        <v>351</v>
      </c>
      <c r="G3" s="6">
        <v>340940.5</v>
      </c>
      <c r="H3" s="6">
        <v>96850.5</v>
      </c>
      <c r="I3" s="6">
        <v>52772</v>
      </c>
      <c r="J3" s="6">
        <v>21021.5</v>
      </c>
      <c r="K3" s="6">
        <v>4589</v>
      </c>
      <c r="L3" s="6">
        <v>830.55</v>
      </c>
      <c r="M3" s="6">
        <v>900.40000000000009</v>
      </c>
      <c r="N3" s="6">
        <v>166.6</v>
      </c>
      <c r="O3" s="6">
        <v>5166</v>
      </c>
      <c r="P3" s="12">
        <v>29.5</v>
      </c>
      <c r="Q3" s="6">
        <v>0</v>
      </c>
      <c r="R3" s="6">
        <v>85.87</v>
      </c>
      <c r="S3" s="12">
        <v>64.349999999999994</v>
      </c>
    </row>
    <row r="4" spans="1:19">
      <c r="A4" t="s">
        <v>356</v>
      </c>
      <c r="B4" t="s">
        <v>233</v>
      </c>
      <c r="C4" t="s">
        <v>351</v>
      </c>
      <c r="D4" t="s">
        <v>351</v>
      </c>
      <c r="E4" t="s">
        <v>351</v>
      </c>
      <c r="F4" t="s">
        <v>351</v>
      </c>
      <c r="G4" s="5">
        <v>350408</v>
      </c>
      <c r="H4" s="5">
        <v>79911</v>
      </c>
      <c r="I4" s="5">
        <v>53327</v>
      </c>
      <c r="J4" s="5">
        <v>21297</v>
      </c>
      <c r="K4" s="5">
        <v>7188.5</v>
      </c>
      <c r="L4" s="5">
        <v>1943.5</v>
      </c>
      <c r="M4" s="5">
        <v>852.75</v>
      </c>
      <c r="N4" s="5">
        <v>208.95</v>
      </c>
      <c r="O4" s="5">
        <v>4366.5</v>
      </c>
      <c r="P4" s="8">
        <v>20.83</v>
      </c>
      <c r="Q4" s="5">
        <v>0</v>
      </c>
      <c r="R4" s="5">
        <v>0</v>
      </c>
      <c r="S4" s="8">
        <v>33.724999999999994</v>
      </c>
    </row>
    <row r="5" spans="1:19">
      <c r="A5" t="s">
        <v>356</v>
      </c>
      <c r="B5" t="s">
        <v>233</v>
      </c>
      <c r="C5" t="s">
        <v>351</v>
      </c>
      <c r="D5" t="s">
        <v>351</v>
      </c>
      <c r="E5" t="s">
        <v>351</v>
      </c>
      <c r="F5" t="s">
        <v>351</v>
      </c>
      <c r="G5" s="5">
        <v>350261.33333333331</v>
      </c>
      <c r="H5" s="5">
        <v>79300.666666666672</v>
      </c>
      <c r="I5" s="5">
        <v>53575</v>
      </c>
      <c r="J5" s="5">
        <v>21383</v>
      </c>
      <c r="K5" s="5">
        <v>7125</v>
      </c>
      <c r="L5" s="5">
        <v>2029.3333333333333</v>
      </c>
      <c r="M5" s="5">
        <v>1181.3333333333333</v>
      </c>
      <c r="N5" s="5">
        <v>201.79999999999998</v>
      </c>
      <c r="O5" s="5">
        <v>4091.3333333333335</v>
      </c>
      <c r="P5" s="8">
        <v>22.923333333333332</v>
      </c>
      <c r="Q5" s="5">
        <v>0</v>
      </c>
      <c r="R5" s="5">
        <v>0</v>
      </c>
      <c r="S5" s="8">
        <v>37.700000000000003</v>
      </c>
    </row>
    <row r="6" spans="1:19">
      <c r="A6" t="s">
        <v>354</v>
      </c>
      <c r="B6" t="s">
        <v>233</v>
      </c>
      <c r="C6" t="s">
        <v>351</v>
      </c>
      <c r="D6" t="s">
        <v>351</v>
      </c>
      <c r="E6" t="s">
        <v>351</v>
      </c>
      <c r="F6" t="s">
        <v>351</v>
      </c>
      <c r="G6" s="5">
        <v>344474</v>
      </c>
      <c r="H6" s="5">
        <v>96518</v>
      </c>
      <c r="I6" s="5">
        <v>55357.666666666664</v>
      </c>
      <c r="J6" s="5">
        <v>20416</v>
      </c>
      <c r="K6" s="5">
        <v>4640.666666666667</v>
      </c>
      <c r="L6" s="5">
        <v>1092.6666666666667</v>
      </c>
      <c r="M6" s="5">
        <v>894.63333333333321</v>
      </c>
      <c r="N6" s="5">
        <v>121.4</v>
      </c>
      <c r="O6" s="5">
        <v>766.26666666666677</v>
      </c>
      <c r="P6" s="8">
        <v>40.786666666666662</v>
      </c>
      <c r="Q6" s="5">
        <v>243.46666666666667</v>
      </c>
      <c r="R6" s="5">
        <v>0</v>
      </c>
      <c r="S6" s="8">
        <v>42.424999999999997</v>
      </c>
    </row>
    <row r="7" spans="1:19">
      <c r="A7" t="s">
        <v>354</v>
      </c>
      <c r="B7" t="s">
        <v>233</v>
      </c>
      <c r="C7" t="s">
        <v>351</v>
      </c>
      <c r="D7" t="s">
        <v>351</v>
      </c>
      <c r="E7" t="s">
        <v>351</v>
      </c>
      <c r="F7" t="s">
        <v>351</v>
      </c>
      <c r="G7" s="42">
        <v>347534.5</v>
      </c>
      <c r="H7" s="42">
        <v>101795.5</v>
      </c>
      <c r="I7" s="42">
        <v>42291</v>
      </c>
      <c r="J7" s="42">
        <v>21366.5</v>
      </c>
      <c r="K7" s="42">
        <v>4942</v>
      </c>
      <c r="L7" s="42">
        <v>1011.5</v>
      </c>
      <c r="M7" s="42">
        <v>925.1</v>
      </c>
      <c r="N7" s="42">
        <v>0</v>
      </c>
      <c r="O7" s="42">
        <v>458.2</v>
      </c>
      <c r="P7" s="43">
        <v>0</v>
      </c>
      <c r="Q7" s="42">
        <v>0</v>
      </c>
      <c r="R7" s="42">
        <v>0</v>
      </c>
      <c r="S7" s="43">
        <v>0</v>
      </c>
    </row>
    <row r="8" spans="1:19">
      <c r="A8" t="s">
        <v>354</v>
      </c>
      <c r="B8" t="s">
        <v>233</v>
      </c>
      <c r="C8" t="s">
        <v>351</v>
      </c>
      <c r="D8" t="s">
        <v>351</v>
      </c>
      <c r="E8" t="s">
        <v>351</v>
      </c>
      <c r="F8" t="s">
        <v>351</v>
      </c>
      <c r="G8" s="5">
        <v>343734</v>
      </c>
      <c r="H8" s="5">
        <v>104486.66666666667</v>
      </c>
      <c r="I8" s="5">
        <v>59040</v>
      </c>
      <c r="J8" s="5">
        <v>7181.333333333333</v>
      </c>
      <c r="K8" s="5">
        <v>9126.6666666666661</v>
      </c>
      <c r="L8" s="5">
        <v>199.7</v>
      </c>
      <c r="M8" s="5">
        <v>641.53333333333342</v>
      </c>
      <c r="N8" s="5">
        <v>179.2</v>
      </c>
      <c r="O8" s="5">
        <v>132.30000000000001</v>
      </c>
      <c r="P8" s="8">
        <v>0</v>
      </c>
      <c r="Q8" s="5">
        <v>0</v>
      </c>
      <c r="R8" s="5">
        <v>0</v>
      </c>
      <c r="S8" s="8">
        <v>37.893333333333331</v>
      </c>
    </row>
    <row r="9" spans="1:19">
      <c r="A9" t="s">
        <v>354</v>
      </c>
      <c r="B9" t="s">
        <v>233</v>
      </c>
      <c r="C9" t="s">
        <v>351</v>
      </c>
      <c r="D9" t="s">
        <v>351</v>
      </c>
      <c r="E9" t="s">
        <v>351</v>
      </c>
      <c r="F9" t="s">
        <v>351</v>
      </c>
      <c r="G9" s="6">
        <v>343166.66666666669</v>
      </c>
      <c r="H9" s="6">
        <v>105314.66666666667</v>
      </c>
      <c r="I9" s="6">
        <v>58051</v>
      </c>
      <c r="J9" s="6">
        <v>6958.333333333333</v>
      </c>
      <c r="K9" s="6">
        <v>9019.6666666666661</v>
      </c>
      <c r="L9" s="6">
        <v>207.53333333333333</v>
      </c>
      <c r="M9" s="6">
        <v>637.63333333333333</v>
      </c>
      <c r="N9" s="6">
        <v>182.7</v>
      </c>
      <c r="O9" s="6">
        <v>132.29999999999998</v>
      </c>
      <c r="P9" s="12">
        <v>0</v>
      </c>
      <c r="Q9" s="6">
        <v>0</v>
      </c>
      <c r="R9" s="6">
        <v>0</v>
      </c>
      <c r="S9" s="12">
        <v>39.386666666666663</v>
      </c>
    </row>
    <row r="10" spans="1:19">
      <c r="A10" t="s">
        <v>354</v>
      </c>
      <c r="B10" t="s">
        <v>233</v>
      </c>
      <c r="C10" t="s">
        <v>351</v>
      </c>
      <c r="D10" t="s">
        <v>351</v>
      </c>
      <c r="E10" t="s">
        <v>351</v>
      </c>
      <c r="F10" t="s">
        <v>351</v>
      </c>
      <c r="G10" s="5">
        <v>337711.66666666669</v>
      </c>
      <c r="H10" s="5">
        <v>95849</v>
      </c>
      <c r="I10" s="5">
        <v>55942.666666666664</v>
      </c>
      <c r="J10" s="5">
        <v>20755</v>
      </c>
      <c r="K10" s="5">
        <v>3230</v>
      </c>
      <c r="L10" s="5">
        <v>803.36666666666667</v>
      </c>
      <c r="M10" s="5">
        <v>697.76666666666654</v>
      </c>
      <c r="N10" s="5">
        <v>178.05</v>
      </c>
      <c r="O10" s="5">
        <v>5759</v>
      </c>
      <c r="P10" s="8">
        <v>21.923333333333336</v>
      </c>
      <c r="Q10" s="5">
        <v>189.9</v>
      </c>
      <c r="R10" s="5">
        <v>113.2</v>
      </c>
      <c r="S10" s="8">
        <v>54.676666666666669</v>
      </c>
    </row>
    <row r="11" spans="1:19">
      <c r="A11" t="s">
        <v>354</v>
      </c>
      <c r="B11" t="s">
        <v>233</v>
      </c>
      <c r="C11" t="s">
        <v>351</v>
      </c>
      <c r="D11" t="s">
        <v>351</v>
      </c>
      <c r="E11" t="s">
        <v>351</v>
      </c>
      <c r="F11" t="s">
        <v>351</v>
      </c>
      <c r="G11" s="6">
        <v>338750.33333333331</v>
      </c>
      <c r="H11" s="6">
        <v>96098.333333333328</v>
      </c>
      <c r="I11" s="6">
        <v>55174.666666666664</v>
      </c>
      <c r="J11" s="6">
        <v>20483.333333333332</v>
      </c>
      <c r="K11" s="6">
        <v>3499</v>
      </c>
      <c r="L11" s="6">
        <v>768.63333333333333</v>
      </c>
      <c r="M11" s="6">
        <v>727.79999999999984</v>
      </c>
      <c r="N11" s="6">
        <v>184.4</v>
      </c>
      <c r="O11" s="6">
        <v>5552.666666666667</v>
      </c>
      <c r="P11" s="12">
        <v>19.175000000000001</v>
      </c>
      <c r="Q11" s="6">
        <v>0</v>
      </c>
      <c r="R11" s="6">
        <v>105.73</v>
      </c>
      <c r="S11" s="12">
        <v>51.699999999999996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workbookViewId="0">
      <selection activeCell="D18" sqref="D18"/>
    </sheetView>
  </sheetViews>
  <sheetFormatPr defaultRowHeight="15"/>
  <cols>
    <col min="1" max="1" width="20.42578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3" t="s">
        <v>9</v>
      </c>
      <c r="H1" s="33" t="s">
        <v>6</v>
      </c>
      <c r="I1" s="33" t="s">
        <v>14</v>
      </c>
      <c r="J1" s="33" t="s">
        <v>7</v>
      </c>
      <c r="K1" s="33" t="s">
        <v>8</v>
      </c>
      <c r="L1" s="33" t="s">
        <v>12</v>
      </c>
      <c r="M1" s="33" t="s">
        <v>10</v>
      </c>
      <c r="N1" s="33" t="s">
        <v>16</v>
      </c>
      <c r="O1" s="33" t="s">
        <v>19</v>
      </c>
      <c r="P1" s="33" t="s">
        <v>23</v>
      </c>
      <c r="Q1" s="33" t="s">
        <v>11</v>
      </c>
      <c r="R1" s="33" t="s">
        <v>18</v>
      </c>
      <c r="S1" s="33" t="s">
        <v>25</v>
      </c>
    </row>
    <row r="2" spans="1:19">
      <c r="A2" t="s">
        <v>355</v>
      </c>
      <c r="B2" t="s">
        <v>233</v>
      </c>
      <c r="C2" t="s">
        <v>351</v>
      </c>
      <c r="D2" t="s">
        <v>351</v>
      </c>
      <c r="E2" t="s">
        <v>351</v>
      </c>
      <c r="F2" t="s">
        <v>351</v>
      </c>
      <c r="G2">
        <v>340455.10068230983</v>
      </c>
      <c r="H2">
        <v>107939.49661181026</v>
      </c>
      <c r="I2">
        <v>43381.883024251067</v>
      </c>
      <c r="J2">
        <v>23761.200694616717</v>
      </c>
      <c r="K2">
        <v>3916.2808944684193</v>
      </c>
      <c r="L2">
        <v>581.10403397027608</v>
      </c>
      <c r="M2">
        <v>881.15399025852389</v>
      </c>
      <c r="N2">
        <v>137.88485607008758</v>
      </c>
      <c r="O2">
        <v>4126.6750156543521</v>
      </c>
      <c r="P2">
        <v>0</v>
      </c>
      <c r="Q2">
        <v>0</v>
      </c>
      <c r="R2">
        <v>85.190301663377497</v>
      </c>
      <c r="S2">
        <v>0</v>
      </c>
    </row>
    <row r="3" spans="1:19">
      <c r="A3" t="s">
        <v>355</v>
      </c>
      <c r="B3" t="s">
        <v>233</v>
      </c>
      <c r="C3" t="s">
        <v>351</v>
      </c>
      <c r="D3" t="s">
        <v>351</v>
      </c>
      <c r="E3" t="s">
        <v>351</v>
      </c>
      <c r="F3" t="s">
        <v>351</v>
      </c>
      <c r="G3">
        <v>342792.42802462965</v>
      </c>
      <c r="H3">
        <v>99037.270087124867</v>
      </c>
      <c r="I3">
        <v>50100</v>
      </c>
      <c r="J3">
        <v>22012.279831307365</v>
      </c>
      <c r="K3">
        <v>4339.6626127893287</v>
      </c>
      <c r="L3">
        <v>697.32484076433116</v>
      </c>
      <c r="M3">
        <v>1081.4162607718249</v>
      </c>
      <c r="N3">
        <v>161.86483103879848</v>
      </c>
      <c r="O3">
        <v>4546.3368816531001</v>
      </c>
      <c r="P3">
        <v>0</v>
      </c>
      <c r="Q3">
        <v>0</v>
      </c>
      <c r="R3">
        <v>85.190301663377497</v>
      </c>
      <c r="S3">
        <v>0</v>
      </c>
    </row>
    <row r="4" spans="1:19">
      <c r="A4" t="s">
        <v>354</v>
      </c>
      <c r="B4" t="s">
        <v>233</v>
      </c>
      <c r="C4" t="s">
        <v>351</v>
      </c>
      <c r="D4" t="s">
        <v>351</v>
      </c>
      <c r="E4" t="s">
        <v>351</v>
      </c>
      <c r="F4" t="s">
        <v>351</v>
      </c>
      <c r="G4">
        <v>342231.46946247289</v>
      </c>
      <c r="H4">
        <v>95921.49080348498</v>
      </c>
      <c r="I4">
        <v>54674.037089871614</v>
      </c>
      <c r="J4">
        <v>21710.741751426442</v>
      </c>
      <c r="K4">
        <v>3704.5900353079637</v>
      </c>
      <c r="L4">
        <v>659.13800424628448</v>
      </c>
      <c r="M4">
        <v>921.20644436118403</v>
      </c>
      <c r="N4">
        <v>143.87984981226532</v>
      </c>
      <c r="O4">
        <v>5735.3788353162181</v>
      </c>
      <c r="P4">
        <v>0</v>
      </c>
      <c r="Q4">
        <v>0</v>
      </c>
      <c r="R4">
        <v>116.16859317733295</v>
      </c>
      <c r="S4">
        <v>0</v>
      </c>
    </row>
    <row r="5" spans="1:19">
      <c r="A5" t="s">
        <v>354</v>
      </c>
      <c r="B5" t="s">
        <v>233</v>
      </c>
      <c r="C5" t="s">
        <v>351</v>
      </c>
      <c r="D5" t="s">
        <v>351</v>
      </c>
      <c r="E5" t="s">
        <v>351</v>
      </c>
      <c r="F5" t="s">
        <v>351</v>
      </c>
      <c r="G5">
        <v>343400.13313363277</v>
      </c>
      <c r="H5">
        <v>94660.34204582122</v>
      </c>
      <c r="I5">
        <v>55388.730385164046</v>
      </c>
      <c r="J5">
        <v>21590.126519474074</v>
      </c>
      <c r="K5">
        <v>3334.1310317771677</v>
      </c>
      <c r="L5">
        <v>0</v>
      </c>
      <c r="M5">
        <v>640.83926564256285</v>
      </c>
      <c r="N5">
        <v>137.88485607008758</v>
      </c>
      <c r="O5">
        <v>5245.7733249843459</v>
      </c>
      <c r="P5">
        <v>0</v>
      </c>
      <c r="Q5">
        <v>0</v>
      </c>
      <c r="R5">
        <v>0</v>
      </c>
      <c r="S5">
        <v>0</v>
      </c>
    </row>
    <row r="6" spans="1:19">
      <c r="A6" t="s">
        <v>354</v>
      </c>
      <c r="B6" t="s">
        <v>233</v>
      </c>
      <c r="C6" t="s">
        <v>351</v>
      </c>
      <c r="D6" t="s">
        <v>351</v>
      </c>
      <c r="E6" t="s">
        <v>351</v>
      </c>
      <c r="F6" t="s">
        <v>351</v>
      </c>
      <c r="G6">
        <v>351954.75120652356</v>
      </c>
      <c r="H6">
        <v>74407.77670216198</v>
      </c>
      <c r="I6">
        <v>56103.423680456486</v>
      </c>
      <c r="J6">
        <v>22012.279831307365</v>
      </c>
      <c r="K6">
        <v>7779.6390741467239</v>
      </c>
      <c r="L6">
        <v>1826.3269639065818</v>
      </c>
      <c r="M6">
        <v>841.10153615586364</v>
      </c>
      <c r="N6">
        <v>239.79974968710886</v>
      </c>
      <c r="O6">
        <v>4686.2241703193495</v>
      </c>
      <c r="P6">
        <v>0</v>
      </c>
      <c r="Q6">
        <v>0</v>
      </c>
      <c r="R6">
        <v>0</v>
      </c>
      <c r="S6">
        <v>0</v>
      </c>
    </row>
    <row r="7" spans="1:19">
      <c r="A7" t="s">
        <v>354</v>
      </c>
      <c r="B7" t="s">
        <v>233</v>
      </c>
      <c r="C7" t="s">
        <v>351</v>
      </c>
      <c r="D7" t="s">
        <v>351</v>
      </c>
      <c r="E7" t="s">
        <v>351</v>
      </c>
      <c r="F7" t="s">
        <v>351</v>
      </c>
      <c r="G7">
        <v>349290.19803627889</v>
      </c>
      <c r="H7">
        <v>92212.229751532752</v>
      </c>
      <c r="I7">
        <v>44239.514978601997</v>
      </c>
      <c r="J7">
        <v>24002.431158521456</v>
      </c>
      <c r="K7">
        <v>6191.9576304433112</v>
      </c>
      <c r="L7">
        <v>1328.2377919320595</v>
      </c>
      <c r="M7">
        <v>881.15399025852389</v>
      </c>
      <c r="N7">
        <v>173.85481852315394</v>
      </c>
      <c r="O7">
        <v>3077.5203506574835</v>
      </c>
      <c r="P7">
        <v>0</v>
      </c>
      <c r="Q7">
        <v>0</v>
      </c>
      <c r="R7">
        <v>0</v>
      </c>
      <c r="S7">
        <v>0</v>
      </c>
    </row>
    <row r="8" spans="1:19">
      <c r="A8" t="s">
        <v>354</v>
      </c>
      <c r="B8" t="s">
        <v>233</v>
      </c>
      <c r="C8" t="s">
        <v>351</v>
      </c>
      <c r="D8" t="s">
        <v>351</v>
      </c>
      <c r="E8" t="s">
        <v>351</v>
      </c>
      <c r="F8" t="s">
        <v>351</v>
      </c>
      <c r="G8">
        <v>347700.81544350134</v>
      </c>
      <c r="H8">
        <v>98814.714424007732</v>
      </c>
      <c r="I8">
        <v>49671.184022824535</v>
      </c>
      <c r="J8">
        <v>21951.972215331178</v>
      </c>
      <c r="K8">
        <v>4604.2761867398976</v>
      </c>
      <c r="L8">
        <v>821.84713375796173</v>
      </c>
      <c r="M8">
        <v>841.10153615586364</v>
      </c>
      <c r="N8">
        <v>0</v>
      </c>
      <c r="O8">
        <v>594.52097683155932</v>
      </c>
      <c r="P8">
        <v>0</v>
      </c>
      <c r="Q8">
        <v>0</v>
      </c>
      <c r="R8">
        <v>0</v>
      </c>
      <c r="S8">
        <v>0</v>
      </c>
    </row>
    <row r="9" spans="1:19">
      <c r="A9" t="s">
        <v>354</v>
      </c>
      <c r="B9" t="s">
        <v>233</v>
      </c>
      <c r="C9" t="s">
        <v>351</v>
      </c>
      <c r="D9" t="s">
        <v>351</v>
      </c>
      <c r="E9" t="s">
        <v>351</v>
      </c>
      <c r="F9" t="s">
        <v>351</v>
      </c>
      <c r="G9">
        <v>349477.18422366452</v>
      </c>
      <c r="H9">
        <v>100891.90061310098</v>
      </c>
      <c r="I9">
        <v>43238.944365192576</v>
      </c>
      <c r="J9">
        <v>22615.355991069213</v>
      </c>
      <c r="K9">
        <v>4868.8897606904666</v>
      </c>
      <c r="L9">
        <v>755.43524416135881</v>
      </c>
      <c r="M9">
        <v>921.20644436118403</v>
      </c>
      <c r="N9">
        <v>0</v>
      </c>
      <c r="O9">
        <v>510.58860363180969</v>
      </c>
      <c r="P9">
        <v>0</v>
      </c>
      <c r="Q9">
        <v>0</v>
      </c>
      <c r="R9">
        <v>0</v>
      </c>
      <c r="S9">
        <v>0</v>
      </c>
    </row>
    <row r="10" spans="1:19">
      <c r="A10" t="s">
        <v>356</v>
      </c>
      <c r="B10" t="s">
        <v>233</v>
      </c>
      <c r="C10" t="s">
        <v>351</v>
      </c>
      <c r="D10" t="s">
        <v>351</v>
      </c>
      <c r="E10" t="s">
        <v>351</v>
      </c>
      <c r="F10" t="s">
        <v>351</v>
      </c>
      <c r="G10">
        <v>346251.67249126302</v>
      </c>
      <c r="H10">
        <v>103933.49467570182</v>
      </c>
      <c r="I10">
        <v>57747.218259629102</v>
      </c>
      <c r="J10">
        <v>7719.3748449516243</v>
      </c>
      <c r="K10">
        <v>8943.9387995292254</v>
      </c>
      <c r="L10">
        <v>0</v>
      </c>
      <c r="M10">
        <v>680.89171974522299</v>
      </c>
      <c r="N10">
        <v>173.85481852315394</v>
      </c>
      <c r="O10">
        <v>153.87601753287413</v>
      </c>
      <c r="P10">
        <v>0</v>
      </c>
      <c r="Q10">
        <v>0</v>
      </c>
      <c r="R10">
        <v>0</v>
      </c>
      <c r="S10">
        <v>0</v>
      </c>
    </row>
    <row r="11" spans="1:19">
      <c r="A11" t="s">
        <v>356</v>
      </c>
      <c r="B11" t="s">
        <v>233</v>
      </c>
      <c r="C11" t="s">
        <v>351</v>
      </c>
      <c r="D11" t="s">
        <v>351</v>
      </c>
      <c r="E11" t="s">
        <v>351</v>
      </c>
      <c r="F11" t="s">
        <v>351</v>
      </c>
      <c r="G11">
        <v>344568.79680479277</v>
      </c>
      <c r="H11">
        <v>102820.71636011614</v>
      </c>
      <c r="I11">
        <v>61820.970042796005</v>
      </c>
      <c r="J11">
        <v>7598.7596129992553</v>
      </c>
      <c r="K11">
        <v>8996.8615143193401</v>
      </c>
      <c r="L11">
        <v>0</v>
      </c>
      <c r="M11">
        <v>640.83926564256285</v>
      </c>
      <c r="N11">
        <v>0</v>
      </c>
      <c r="O11">
        <v>104.91546649968693</v>
      </c>
      <c r="P11">
        <v>0</v>
      </c>
      <c r="Q11">
        <v>0</v>
      </c>
      <c r="R11">
        <v>0</v>
      </c>
      <c r="S1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"/>
  <sheetViews>
    <sheetView topLeftCell="B1" workbookViewId="0">
      <selection activeCell="P15" sqref="P15"/>
    </sheetView>
  </sheetViews>
  <sheetFormatPr defaultRowHeight="15"/>
  <cols>
    <col min="1" max="1" width="20.42578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3" t="s">
        <v>9</v>
      </c>
      <c r="H1" s="33" t="s">
        <v>6</v>
      </c>
      <c r="I1" s="33" t="s">
        <v>14</v>
      </c>
      <c r="J1" s="33" t="s">
        <v>7</v>
      </c>
      <c r="K1" s="33" t="s">
        <v>8</v>
      </c>
      <c r="L1" s="33" t="s">
        <v>12</v>
      </c>
      <c r="M1" s="33" t="s">
        <v>10</v>
      </c>
      <c r="N1" s="33" t="s">
        <v>16</v>
      </c>
      <c r="O1" s="33" t="s">
        <v>19</v>
      </c>
      <c r="P1" s="33" t="s">
        <v>23</v>
      </c>
      <c r="Q1" s="33" t="s">
        <v>11</v>
      </c>
      <c r="R1" s="33" t="s">
        <v>18</v>
      </c>
      <c r="S1" s="33" t="s">
        <v>25</v>
      </c>
    </row>
    <row r="2" spans="1:19">
      <c r="B2" t="s">
        <v>233</v>
      </c>
      <c r="C2" t="s">
        <v>351</v>
      </c>
      <c r="D2" t="s">
        <v>351</v>
      </c>
      <c r="E2" t="s">
        <v>351</v>
      </c>
      <c r="F2" t="s">
        <v>351</v>
      </c>
      <c r="G2">
        <v>336701</v>
      </c>
      <c r="H2">
        <v>99556.75</v>
      </c>
      <c r="I2">
        <v>53988.5</v>
      </c>
      <c r="J2">
        <v>20889</v>
      </c>
      <c r="K2">
        <v>3716.5</v>
      </c>
      <c r="L2">
        <v>796.07500000000005</v>
      </c>
      <c r="M2">
        <v>888.5</v>
      </c>
      <c r="N2">
        <v>75.650000000000006</v>
      </c>
      <c r="O2">
        <v>5381.25</v>
      </c>
      <c r="P2">
        <v>29.852499999999999</v>
      </c>
      <c r="Q2">
        <v>231.52500000000001</v>
      </c>
      <c r="R2">
        <v>68</v>
      </c>
      <c r="S2" s="5">
        <v>50.335000000000001</v>
      </c>
    </row>
    <row r="3" spans="1:19">
      <c r="B3" t="s">
        <v>233</v>
      </c>
      <c r="C3" t="s">
        <v>351</v>
      </c>
      <c r="D3" t="s">
        <v>351</v>
      </c>
      <c r="E3" t="s">
        <v>351</v>
      </c>
      <c r="F3" t="s">
        <v>351</v>
      </c>
      <c r="G3">
        <v>342479.5</v>
      </c>
      <c r="H3">
        <v>97723.533333333326</v>
      </c>
      <c r="I3">
        <v>55631.266666666677</v>
      </c>
      <c r="J3">
        <v>15431.233333333334</v>
      </c>
      <c r="K3">
        <v>5955.9333333333325</v>
      </c>
      <c r="L3">
        <v>932.97333333333336</v>
      </c>
      <c r="M3">
        <v>584.92999999999995</v>
      </c>
      <c r="N3">
        <v>66.059999999999988</v>
      </c>
      <c r="O3">
        <v>1715.7026666666666</v>
      </c>
      <c r="P3">
        <v>0</v>
      </c>
      <c r="Q3">
        <v>0</v>
      </c>
      <c r="R3">
        <v>0</v>
      </c>
      <c r="S3" s="5">
        <v>20.536000000000001</v>
      </c>
    </row>
    <row r="4" spans="1:19">
      <c r="B4" t="s">
        <v>233</v>
      </c>
      <c r="C4" t="s">
        <v>351</v>
      </c>
      <c r="D4" t="s">
        <v>351</v>
      </c>
      <c r="E4" t="s">
        <v>351</v>
      </c>
      <c r="F4" t="s">
        <v>351</v>
      </c>
      <c r="G4">
        <v>342893.5</v>
      </c>
      <c r="H4">
        <v>94454.75</v>
      </c>
      <c r="I4">
        <v>53763.75</v>
      </c>
      <c r="J4">
        <v>21251.083333333336</v>
      </c>
      <c r="K4">
        <v>4476.6666666666661</v>
      </c>
      <c r="L4">
        <v>831.06666666666661</v>
      </c>
      <c r="M4">
        <v>876.10833333333335</v>
      </c>
      <c r="N4">
        <v>160.26666666666665</v>
      </c>
      <c r="O4">
        <v>5429.6666666666661</v>
      </c>
      <c r="P4">
        <v>21.493333333333336</v>
      </c>
      <c r="Q4">
        <v>0</v>
      </c>
      <c r="R4">
        <v>65.12</v>
      </c>
      <c r="S4" s="5">
        <v>51.022500000000001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all</vt:lpstr>
      <vt:lpstr>concat</vt:lpstr>
      <vt:lpstr>concat - noHU</vt:lpstr>
      <vt:lpstr>info</vt:lpstr>
      <vt:lpstr>unknown_bina</vt:lpstr>
      <vt:lpstr>unknown_irb</vt:lpstr>
      <vt:lpstr>unknown_irb_sideA</vt:lpstr>
      <vt:lpstr>unknown_irb_290821_surface</vt:lpstr>
      <vt:lpstr>unknown_irb_270921</vt:lpstr>
      <vt:lpstr>unknown_irb_290921_bulk</vt:lpstr>
      <vt:lpstr>unknown_hu</vt:lpstr>
      <vt:lpstr>all!glass_180321_peaks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Kaspi</dc:creator>
  <cp:lastModifiedBy>Omer K</cp:lastModifiedBy>
  <dcterms:created xsi:type="dcterms:W3CDTF">2021-03-24T12:30:12Z</dcterms:created>
  <dcterms:modified xsi:type="dcterms:W3CDTF">2021-12-13T13:48:24Z</dcterms:modified>
</cp:coreProperties>
</file>