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hnson\source\repos\Sensit Test Suite\Documents\Automate Templates\"/>
    </mc:Choice>
  </mc:AlternateContent>
  <xr:revisionPtr revIDLastSave="0" documentId="13_ncr:1_{A9A16A75-BF5A-483A-AE35-BECA58CDD871}" xr6:coauthVersionLast="47" xr6:coauthVersionMax="47" xr10:uidLastSave="{00000000-0000-0000-0000-000000000000}"/>
  <bookViews>
    <workbookView xWindow="28680" yWindow="-120" windowWidth="29040" windowHeight="15840" activeTab="1" xr2:uid="{E7D9A682-83FE-4E0E-B163-912CBE56D6E7}"/>
  </bookViews>
  <sheets>
    <sheet name="1 Analyte" sheetId="3" r:id="rId1"/>
    <sheet name="2 Analyte" sheetId="4" r:id="rId2"/>
    <sheet name="2 Analyte Combos" sheetId="5" r:id="rId3"/>
    <sheet name="2 Analyte, Constant O2" sheetId="1" r:id="rId4"/>
  </sheets>
  <definedNames>
    <definedName name="MassFlow" localSheetId="0">'1 Analyte'!$D$3</definedName>
    <definedName name="MassFlow" localSheetId="1">'2 Analyte'!$B$3</definedName>
    <definedName name="MassFlow" localSheetId="3">'2 Analyte, Constant O2'!$B$1</definedName>
    <definedName name="MFC1Concentration">'2 Analyte'!$C$7</definedName>
    <definedName name="MFC1Ratio" localSheetId="1">'2 Analyte'!$D$7</definedName>
    <definedName name="MFC2Concentration">'2 Analyte'!$E$7</definedName>
    <definedName name="MFC2Ratio" localSheetId="1">'2 Analyte'!$F$7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" l="1"/>
  <c r="J10" i="4"/>
  <c r="J11" i="4"/>
  <c r="J12" i="4"/>
  <c r="J13" i="4"/>
  <c r="J14" i="4"/>
  <c r="J15" i="4"/>
  <c r="J16" i="4"/>
  <c r="J17" i="4"/>
  <c r="J18" i="4"/>
  <c r="J19" i="4"/>
  <c r="E3" i="4"/>
  <c r="E3" i="5"/>
  <c r="E5" i="5"/>
  <c r="E6" i="5"/>
  <c r="E8" i="5"/>
  <c r="E9" i="5"/>
  <c r="E11" i="5"/>
  <c r="E12" i="5"/>
  <c r="E13" i="5"/>
  <c r="E15" i="5"/>
  <c r="E16" i="5"/>
  <c r="E2" i="5"/>
  <c r="F11" i="5"/>
  <c r="H3" i="4" l="1"/>
  <c r="B19" i="4"/>
  <c r="B10" i="4"/>
  <c r="E10" i="4" s="1"/>
  <c r="F10" i="4" s="1"/>
  <c r="B14" i="4"/>
  <c r="E14" i="4" s="1"/>
  <c r="F14" i="4" s="1"/>
  <c r="F6" i="5"/>
  <c r="B13" i="5"/>
  <c r="F2" i="5"/>
  <c r="F3" i="5"/>
  <c r="F5" i="5"/>
  <c r="F8" i="5"/>
  <c r="F9" i="5"/>
  <c r="F12" i="5"/>
  <c r="F15" i="5"/>
  <c r="F16" i="5"/>
  <c r="D6" i="3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E6" i="3"/>
  <c r="H22" i="1"/>
  <c r="D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F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E8" i="1"/>
  <c r="F8" i="1" s="1"/>
  <c r="E9" i="1"/>
  <c r="I9" i="1" s="1"/>
  <c r="J9" i="1" s="1"/>
  <c r="E10" i="1"/>
  <c r="F10" i="1" s="1"/>
  <c r="E11" i="1"/>
  <c r="I11" i="1" s="1"/>
  <c r="J11" i="1" s="1"/>
  <c r="E12" i="1"/>
  <c r="I12" i="1" s="1"/>
  <c r="J12" i="1" s="1"/>
  <c r="E13" i="1"/>
  <c r="F13" i="1" s="1"/>
  <c r="E14" i="1"/>
  <c r="F14" i="1" s="1"/>
  <c r="E15" i="1"/>
  <c r="F15" i="1" s="1"/>
  <c r="E16" i="1"/>
  <c r="F16" i="1" s="1"/>
  <c r="E17" i="1"/>
  <c r="I17" i="1" s="1"/>
  <c r="J17" i="1" s="1"/>
  <c r="E18" i="1"/>
  <c r="F18" i="1" s="1"/>
  <c r="E19" i="1"/>
  <c r="I19" i="1" s="1"/>
  <c r="J19" i="1" s="1"/>
  <c r="E7" i="1"/>
  <c r="F7" i="1" s="1"/>
  <c r="F13" i="5" l="1"/>
  <c r="B17" i="4"/>
  <c r="E17" i="4" s="1"/>
  <c r="B18" i="4"/>
  <c r="E18" i="4" s="1"/>
  <c r="B16" i="4"/>
  <c r="C16" i="4" s="1"/>
  <c r="B15" i="4"/>
  <c r="E15" i="4" s="1"/>
  <c r="B13" i="4"/>
  <c r="E13" i="4" s="1"/>
  <c r="B11" i="4"/>
  <c r="E11" i="4" s="1"/>
  <c r="C19" i="4"/>
  <c r="B9" i="4"/>
  <c r="C9" i="4" s="1"/>
  <c r="B12" i="4"/>
  <c r="E12" i="4" s="1"/>
  <c r="C10" i="4"/>
  <c r="I10" i="4" s="1"/>
  <c r="C14" i="4"/>
  <c r="I14" i="4" s="1"/>
  <c r="I6" i="1"/>
  <c r="K6" i="1" s="1"/>
  <c r="J29" i="1"/>
  <c r="J21" i="1"/>
  <c r="J28" i="1"/>
  <c r="J20" i="1"/>
  <c r="F19" i="1"/>
  <c r="J27" i="1"/>
  <c r="J26" i="1"/>
  <c r="F12" i="1"/>
  <c r="J33" i="1"/>
  <c r="J25" i="1"/>
  <c r="F11" i="1"/>
  <c r="J32" i="1"/>
  <c r="J24" i="1"/>
  <c r="J31" i="1"/>
  <c r="J23" i="1"/>
  <c r="J30" i="1"/>
  <c r="J22" i="1"/>
  <c r="F9" i="1"/>
  <c r="F17" i="1"/>
  <c r="K11" i="1"/>
  <c r="K19" i="1"/>
  <c r="K12" i="1"/>
  <c r="K9" i="1"/>
  <c r="K17" i="1"/>
  <c r="I13" i="1"/>
  <c r="J13" i="1" s="1"/>
  <c r="I18" i="1"/>
  <c r="I10" i="1"/>
  <c r="I16" i="1"/>
  <c r="I8" i="1"/>
  <c r="I15" i="1"/>
  <c r="I7" i="1"/>
  <c r="K7" i="1" s="1"/>
  <c r="I14" i="1"/>
  <c r="F11" i="4" l="1"/>
  <c r="F13" i="4"/>
  <c r="F15" i="4"/>
  <c r="F18" i="4"/>
  <c r="F12" i="4"/>
  <c r="F17" i="4"/>
  <c r="D9" i="4"/>
  <c r="D19" i="4"/>
  <c r="D16" i="4"/>
  <c r="D14" i="4"/>
  <c r="D10" i="4"/>
  <c r="C17" i="4"/>
  <c r="I17" i="4" s="1"/>
  <c r="C15" i="4"/>
  <c r="I15" i="4" s="1"/>
  <c r="C13" i="4"/>
  <c r="I13" i="4" s="1"/>
  <c r="E19" i="4"/>
  <c r="I19" i="4" s="1"/>
  <c r="E9" i="4"/>
  <c r="I9" i="4" s="1"/>
  <c r="E16" i="4"/>
  <c r="I16" i="4" s="1"/>
  <c r="C18" i="4"/>
  <c r="I18" i="4" s="1"/>
  <c r="C11" i="4"/>
  <c r="I11" i="4" s="1"/>
  <c r="C12" i="4"/>
  <c r="I12" i="4" s="1"/>
  <c r="G14" i="4"/>
  <c r="G10" i="4"/>
  <c r="J6" i="1"/>
  <c r="K14" i="1"/>
  <c r="J14" i="1"/>
  <c r="K10" i="1"/>
  <c r="J10" i="1"/>
  <c r="K13" i="1"/>
  <c r="K16" i="1"/>
  <c r="J16" i="1"/>
  <c r="K18" i="1"/>
  <c r="J18" i="1"/>
  <c r="J7" i="1"/>
  <c r="K15" i="1"/>
  <c r="J15" i="1"/>
  <c r="K8" i="1"/>
  <c r="J8" i="1"/>
  <c r="F19" i="4" l="1"/>
  <c r="F9" i="4"/>
  <c r="H10" i="4"/>
  <c r="F16" i="4"/>
  <c r="H14" i="4"/>
  <c r="D13" i="4"/>
  <c r="D17" i="4"/>
  <c r="D15" i="4"/>
  <c r="D11" i="4"/>
  <c r="D12" i="4"/>
  <c r="D18" i="4"/>
  <c r="G13" i="4"/>
  <c r="G15" i="4"/>
  <c r="G17" i="4"/>
  <c r="G11" i="4"/>
  <c r="G19" i="4"/>
  <c r="G9" i="4"/>
  <c r="G16" i="4"/>
  <c r="G18" i="4"/>
  <c r="G12" i="4"/>
  <c r="H13" i="4" l="1"/>
  <c r="H18" i="4"/>
  <c r="H16" i="4"/>
  <c r="H9" i="4"/>
  <c r="H11" i="4"/>
  <c r="H17" i="4"/>
  <c r="H12" i="4"/>
  <c r="H19" i="4"/>
  <c r="H15" i="4"/>
</calcChain>
</file>

<file path=xl/sharedStrings.xml><?xml version="1.0" encoding="utf-8"?>
<sst xmlns="http://schemas.openxmlformats.org/spreadsheetml/2006/main" count="55" uniqueCount="45">
  <si>
    <t>% Analyte</t>
  </si>
  <si>
    <t>sccm</t>
  </si>
  <si>
    <t>Mass Flow</t>
  </si>
  <si>
    <t>Actual O2</t>
  </si>
  <si>
    <t>O2</t>
  </si>
  <si>
    <t>Analyte</t>
  </si>
  <si>
    <t>Oxygen</t>
  </si>
  <si>
    <t>Diluent</t>
  </si>
  <si>
    <t>Desired O2</t>
  </si>
  <si>
    <t>MFC1 (%)</t>
  </si>
  <si>
    <t>MFC1 (sccm)</t>
  </si>
  <si>
    <t>MFC2 (%)</t>
  </si>
  <si>
    <t>MFC2 (sccm)</t>
  </si>
  <si>
    <t>MFC3 (%)</t>
  </si>
  <si>
    <t>MFC3 (sccm)</t>
  </si>
  <si>
    <t>MFC4 (%)</t>
  </si>
  <si>
    <t>MFC4 (sccm)</t>
  </si>
  <si>
    <t>Desired Analyte</t>
  </si>
  <si>
    <t>Analyte Concentration 1</t>
  </si>
  <si>
    <t>Analyte Concentration 2</t>
  </si>
  <si>
    <t>Air</t>
  </si>
  <si>
    <t>Mass Flow Controller:</t>
  </si>
  <si>
    <t>* Repeatability of ±0.2%</t>
  </si>
  <si>
    <t>* Accuracy of ±0.8% reading ±0.2% full scale</t>
  </si>
  <si>
    <t>% H2</t>
  </si>
  <si>
    <t>%V</t>
  </si>
  <si>
    <t>Mass Flow:</t>
  </si>
  <si>
    <t>Analyte (sccm)</t>
  </si>
  <si>
    <t>Diluent (sccm)</t>
  </si>
  <si>
    <t>Analyte (%)</t>
  </si>
  <si>
    <t>CH4 %Analyte</t>
  </si>
  <si>
    <t>H2 %Analyte</t>
  </si>
  <si>
    <t>Methane</t>
  </si>
  <si>
    <t>Hydrogen</t>
  </si>
  <si>
    <t>1 Gas Analyte</t>
  </si>
  <si>
    <t>% Bottle</t>
  </si>
  <si>
    <t>95% Methane + 5% Hydrogen, 0 - 2.5%V/V</t>
  </si>
  <si>
    <t>Range (%V)</t>
  </si>
  <si>
    <t>H2 / CH4</t>
  </si>
  <si>
    <t>H2 Bottle</t>
  </si>
  <si>
    <t>CH4 Bottle</t>
  </si>
  <si>
    <t>Range(%V):</t>
  </si>
  <si>
    <t>Line Gas H2:</t>
  </si>
  <si>
    <t>Analyte %</t>
  </si>
  <si>
    <t>Error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</si>
</sst>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2" applyNumberFormat="0" applyFill="0" applyAlignment="0" applyProtection="0"/>
    <xf numFmtId="0" fontId="6" fillId="3" borderId="1" applyNumberFormat="0" applyAlignment="0" applyProtection="0"/>
    <xf numFmtId="0" fontId="8" fillId="3" borderId="5" applyNumberFormat="0" applyAlignment="0" applyProtection="0"/>
    <xf numFmtId="0" fontId="9" fillId="4" borderId="0" applyNumberFormat="0" applyBorder="0" applyAlignment="0" applyProtection="0"/>
  </cellStyleXfs>
  <cellXfs count="50">
    <xf numFmtId="0" fontId="0" fillId="0" borderId="0" xfId="0"/>
    <xf numFmtId="9" fontId="0" fillId="0" borderId="0" xfId="1" applyFont="1"/>
    <xf numFmtId="0" fontId="4" fillId="0" borderId="0" xfId="0" applyFont="1"/>
    <xf numFmtId="0" fontId="2" fillId="2" borderId="1" xfId="2"/>
    <xf numFmtId="0" fontId="0" fillId="0" borderId="0" xfId="0" applyBorder="1"/>
    <xf numFmtId="9" fontId="0" fillId="0" borderId="0" xfId="0" applyNumberFormat="1"/>
    <xf numFmtId="164" fontId="0" fillId="0" borderId="0" xfId="0" applyNumberFormat="1" applyAlignment="1">
      <alignment horizontal="center" vertical="top" wrapText="1"/>
    </xf>
    <xf numFmtId="165" fontId="2" fillId="2" borderId="1" xfId="2" applyNumberFormat="1" applyAlignment="1">
      <alignment horizontal="center"/>
    </xf>
    <xf numFmtId="9" fontId="2" fillId="2" borderId="1" xfId="2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/>
    <xf numFmtId="9" fontId="0" fillId="0" borderId="4" xfId="0" applyNumberFormat="1" applyBorder="1"/>
    <xf numFmtId="0" fontId="0" fillId="0" borderId="0" xfId="0"/>
    <xf numFmtId="9" fontId="6" fillId="3" borderId="1" xfId="4" applyNumberFormat="1"/>
    <xf numFmtId="9" fontId="6" fillId="3" borderId="1" xfId="4" applyNumberFormat="1" applyBorder="1"/>
    <xf numFmtId="167" fontId="0" fillId="0" borderId="0" xfId="0" applyNumberFormat="1"/>
    <xf numFmtId="166" fontId="6" fillId="3" borderId="1" xfId="4" applyNumberFormat="1"/>
    <xf numFmtId="0" fontId="0" fillId="0" borderId="0" xfId="0"/>
    <xf numFmtId="167" fontId="0" fillId="0" borderId="0" xfId="0" applyNumberFormat="1" applyBorder="1"/>
    <xf numFmtId="9" fontId="0" fillId="0" borderId="0" xfId="0" applyNumberFormat="1" applyBorder="1"/>
    <xf numFmtId="165" fontId="6" fillId="3" borderId="3" xfId="4" applyNumberFormat="1" applyBorder="1"/>
    <xf numFmtId="0" fontId="2" fillId="2" borderId="1" xfId="2" applyAlignment="1">
      <alignment horizontal="center"/>
    </xf>
    <xf numFmtId="9" fontId="2" fillId="2" borderId="1" xfId="1" applyFont="1" applyFill="1" applyBorder="1"/>
    <xf numFmtId="0" fontId="5" fillId="0" borderId="0" xfId="3" applyBorder="1" applyAlignment="1"/>
    <xf numFmtId="10" fontId="0" fillId="0" borderId="0" xfId="0" applyNumberFormat="1" applyFill="1"/>
    <xf numFmtId="0" fontId="0" fillId="0" borderId="0" xfId="0" applyFont="1" applyAlignment="1">
      <alignment horizontal="center"/>
    </xf>
    <xf numFmtId="9" fontId="0" fillId="0" borderId="0" xfId="0" applyNumberFormat="1" applyFill="1"/>
    <xf numFmtId="165" fontId="0" fillId="0" borderId="0" xfId="0" applyNumberFormat="1" applyFill="1"/>
    <xf numFmtId="10" fontId="0" fillId="0" borderId="0" xfId="1" applyNumberFormat="1" applyFont="1"/>
    <xf numFmtId="10" fontId="2" fillId="2" borderId="1" xfId="1" applyNumberFormat="1" applyFont="1" applyFill="1" applyBorder="1" applyAlignment="1">
      <alignment horizontal="center"/>
    </xf>
    <xf numFmtId="10" fontId="2" fillId="2" borderId="1" xfId="2" applyNumberFormat="1" applyAlignment="1">
      <alignment horizontal="center"/>
    </xf>
    <xf numFmtId="164" fontId="0" fillId="0" borderId="0" xfId="0" applyNumberFormat="1" applyAlignment="1">
      <alignment horizontal="center" vertical="top"/>
    </xf>
    <xf numFmtId="0" fontId="0" fillId="0" borderId="0" xfId="0" applyAlignment="1"/>
    <xf numFmtId="0" fontId="0" fillId="0" borderId="0" xfId="0"/>
    <xf numFmtId="165" fontId="6" fillId="3" borderId="1" xfId="4" applyNumberFormat="1" applyAlignment="1">
      <alignment horizontal="center"/>
    </xf>
    <xf numFmtId="9" fontId="9" fillId="4" borderId="0" xfId="6" applyNumberFormat="1"/>
    <xf numFmtId="165" fontId="9" fillId="4" borderId="0" xfId="6" applyNumberFormat="1"/>
    <xf numFmtId="9" fontId="9" fillId="4" borderId="1" xfId="6" applyNumberFormat="1" applyBorder="1"/>
    <xf numFmtId="0" fontId="5" fillId="0" borderId="2" xfId="3" applyAlignment="1">
      <alignment horizontal="center"/>
    </xf>
    <xf numFmtId="0" fontId="0" fillId="0" borderId="0" xfId="0"/>
    <xf numFmtId="0" fontId="7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9" fontId="2" fillId="2" borderId="1" xfId="2" applyNumberFormat="1" applyAlignment="1">
      <alignment horizontal="center"/>
    </xf>
    <xf numFmtId="0" fontId="0" fillId="0" borderId="0" xfId="0" applyAlignment="1">
      <alignment horizontal="center"/>
    </xf>
    <xf numFmtId="10" fontId="8" fillId="3" borderId="5" xfId="5" applyNumberFormat="1" applyAlignment="1">
      <alignment horizontal="center"/>
    </xf>
    <xf numFmtId="10" fontId="6" fillId="3" borderId="1" xfId="1" applyNumberFormat="1" applyFont="1" applyFill="1" applyBorder="1" applyAlignment="1">
      <alignment horizontal="center"/>
    </xf>
    <xf numFmtId="165" fontId="8" fillId="3" borderId="5" xfId="1" applyNumberFormat="1" applyFont="1" applyFill="1" applyBorder="1"/>
  </cellXfs>
  <cellStyles count="7">
    <cellStyle name="Calculation" xfId="4" builtinId="22"/>
    <cellStyle name="Heading 1" xfId="3" builtinId="16"/>
    <cellStyle name="Input" xfId="2" builtinId="20"/>
    <cellStyle name="Neutral" xfId="6" builtinId="28"/>
    <cellStyle name="Normal" xfId="0" builtinId="0"/>
    <cellStyle name="Output" xfId="5" builtinId="21"/>
    <cellStyle name="Percent" xfId="1" builtinId="5"/>
  </cellStyles>
  <dxfs count="36">
    <dxf>
      <numFmt numFmtId="165" formatCode="0.0%"/>
    </dxf>
    <dxf>
      <numFmt numFmtId="14" formatCode="0.00%"/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numFmt numFmtId="0" formatCode="General"/>
      <border outline="0">
        <right style="thin">
          <color rgb="FF3F3F3F"/>
        </right>
      </border>
    </dxf>
    <dxf>
      <numFmt numFmtId="14" formatCode="0.00%"/>
    </dxf>
    <dxf>
      <numFmt numFmtId="168" formatCode="0.000"/>
      <alignment horizontal="center" vertical="bottom" textRotation="0" wrapText="0" indent="0" justifyLastLine="0" shrinkToFit="0" readingOrder="0"/>
    </dxf>
    <dxf>
      <numFmt numFmtId="14" formatCode="0.00%"/>
    </dxf>
    <dxf>
      <numFmt numFmtId="164" formatCode="0.0"/>
      <alignment horizontal="center" vertical="bottom" textRotation="0" wrapText="0" indent="0" justifyLastLine="0" shrinkToFit="0" readingOrder="0"/>
    </dxf>
    <dxf>
      <numFmt numFmtId="165" formatCode="0.0%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rgb="FF7F7F7F"/>
        </left>
        <right/>
      </border>
    </dxf>
    <dxf>
      <alignment horizontal="center" vertical="bottom" textRotation="0" wrapText="0" indent="0" justifyLastLine="0" shrinkToFit="0" readingOrder="0"/>
      <border outline="0">
        <left style="thin">
          <color rgb="FF7F7F7F"/>
        </left>
      </border>
    </dxf>
    <dxf>
      <numFmt numFmtId="165" formatCode="0.0%"/>
      <alignment horizontal="center" vertical="bottom" textRotation="0" wrapText="0" indent="0" justifyLastLine="0" shrinkToFit="0" readingOrder="0"/>
      <border outline="0">
        <right style="thin">
          <color rgb="FF7F7F7F"/>
        </right>
      </border>
    </dxf>
    <dxf>
      <numFmt numFmtId="164" formatCode="0.0"/>
    </dxf>
    <dxf>
      <numFmt numFmtId="164" formatCode="0.0"/>
      <alignment horizontal="center" vertical="top" textRotation="0" wrapText="1" indent="0" justifyLastLine="0" shrinkToFit="0" readingOrder="0"/>
    </dxf>
    <dxf>
      <numFmt numFmtId="13" formatCode="0%"/>
      <border outline="0">
        <left style="thin">
          <color rgb="FF7F7F7F"/>
        </left>
      </border>
    </dxf>
    <dxf>
      <numFmt numFmtId="13" formatCode="0%"/>
      <border outline="0">
        <right style="thin">
          <color rgb="FF7F7F7F"/>
        </right>
      </border>
    </dxf>
    <dxf>
      <numFmt numFmtId="13" formatCode="0%"/>
      <border outline="0">
        <right style="thin">
          <color rgb="FF7F7F7F"/>
        </right>
      </border>
    </dxf>
    <dxf>
      <numFmt numFmtId="167" formatCode="0.0000%"/>
    </dxf>
    <dxf>
      <numFmt numFmtId="13" formatCode="0%"/>
    </dxf>
    <dxf>
      <numFmt numFmtId="167" formatCode="0.0000%"/>
    </dxf>
    <dxf>
      <numFmt numFmtId="13" formatCode="0%"/>
    </dxf>
    <dxf>
      <numFmt numFmtId="165" formatCode="0.0%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.0%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.0%"/>
    </dxf>
    <dxf>
      <numFmt numFmtId="14" formatCode="0.00%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1FD50D-57AC-4199-8989-CAC1CDEDD257}" name="Table1Analyte" displayName="Table1Analyte" ref="C5:E16" totalsRowShown="0">
  <tableColumns count="3">
    <tableColumn id="4" xr3:uid="{44C91331-4C0B-4F93-821D-CC8BE71D553D}" name="Analyte (%)" dataCellStyle="Percent"/>
    <tableColumn id="1" xr3:uid="{24F15665-90B9-45A1-AEAB-9E49E091E594}" name="Analyte (sccm)" dataDxfId="35">
      <calculatedColumnFormula>Table1Analyte[[#This Row],[Analyte (%)]]*MassFlow</calculatedColumnFormula>
    </tableColumn>
    <tableColumn id="2" xr3:uid="{5A16EE01-2AE8-4AC7-A9FC-4D83104C8283}" name="Diluent (sccm)" dataDxfId="34">
      <calculatedColumnFormula>MassFlow-Table1Analyte[[#This Row],[Analyte (sccm)]]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F40C10-01F5-41BB-857F-F3E02E1EC89F}" name="Table2Analyte" displayName="Table2Analyte" ref="A8:J19" totalsRowShown="0" headerRowDxfId="29" dataDxfId="28">
  <tableColumns count="10">
    <tableColumn id="7" xr3:uid="{0C425943-EB0C-42F2-BE7F-6BCFB4A81178}" name="% Analyte" dataDxfId="27" dataCellStyle="Percent"/>
    <tableColumn id="10" xr3:uid="{5B413E64-AF06-4A64-899F-08CD2F477F27}" name="% Bottle" dataDxfId="26" dataCellStyle="Percent">
      <calculatedColumnFormula>Table2Analyte[[#This Row],[% Analyte]] / (MFC1Concentration*MFC1Ratio + MFC2Concentration*MFC2Ratio)</calculatedColumnFormula>
    </tableColumn>
    <tableColumn id="1" xr3:uid="{0EF9062E-AFB5-4AFC-868C-3F684909348E}" name="MFC1 (%)" dataDxfId="25" dataCellStyle="Percent">
      <calculatedColumnFormula>Table2Analyte[[#This Row],[% Bottle]] * MFC1Ratio</calculatedColumnFormula>
    </tableColumn>
    <tableColumn id="5" xr3:uid="{2D30C2FC-6DA9-4275-90F1-DEC28A67CF85}" name="MFC1 (sccm)" dataDxfId="24">
      <calculatedColumnFormula>Table2Analyte[[#This Row],[MFC1 (%)]]*MassFlow</calculatedColumnFormula>
    </tableColumn>
    <tableColumn id="8" xr3:uid="{3725C7C3-3335-436E-8B30-62C2A6D232D2}" name="MFC2 (%)" dataDxfId="23" dataCellStyle="Percent">
      <calculatedColumnFormula>Table2Analyte[[#This Row],[% Bottle]] * MFC2Ratio</calculatedColumnFormula>
    </tableColumn>
    <tableColumn id="6" xr3:uid="{14E57EE7-C215-4019-97E6-5A2ABEA60083}" name="MFC2 (sccm)" dataDxfId="22">
      <calculatedColumnFormula>Table2Analyte[[#This Row],[MFC2 (%)]]*MassFlow</calculatedColumnFormula>
    </tableColumn>
    <tableColumn id="2" xr3:uid="{437CC065-AA5D-46CA-93EE-C2CF705D8260}" name="MFC3 (%)" dataDxfId="21" dataCellStyle="Normal">
      <calculatedColumnFormula>100%-Table2Analyte[[#This Row],[MFC1 (%)]]-Table2Analyte[[#This Row],[MFC2 (%)]]</calculatedColumnFormula>
    </tableColumn>
    <tableColumn id="9" xr3:uid="{E1B81695-A4B7-48F4-94B8-836981B0ACE3}" name="MFC3 (sccm)" dataDxfId="2" dataCellStyle="Normal">
      <calculatedColumnFormula>Table2Analyte[[#This Row],[MFC3 (%)]]*MassFlow</calculatedColumnFormula>
    </tableColumn>
    <tableColumn id="3" xr3:uid="{B6EE30F0-D5BA-4660-BF9C-60E7D343000E}" name="H2 / CH4" dataDxfId="1" dataCellStyle="Output">
      <calculatedColumnFormula>IF(Table2Analyte[[#This Row],[MFC1 (%)]]+Table2Analyte[[#This Row],[MFC2 (%)]]&lt;&gt;0,Table2Analyte[[#This Row],[MFC2 (%)]]*MFC2Concentration / (Table2Analyte[[#This Row],[MFC2 (%)]]*MFC2Concentration+Table2Analyte[[#This Row],[MFC1 (%)]]*MFC1Concentration), " - ")</calculatedColumnFormula>
    </tableColumn>
    <tableColumn id="4" xr3:uid="{2397360A-9356-4EC0-836F-7471FA93FA95}" name="Analyte %" dataDxfId="0" dataCellStyle="Percent">
      <calculatedColumnFormula>(Table2Analyte[[#This Row],[MFC1 (sccm)]]*MFC1Concentration+Table2Analyte[[#This Row],[MFC2 (sccm)]]*MFC2Concentration)/MassFlow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9F21CF-7859-4304-83C4-2967DE9EA1BA}" name="Table15" displayName="Table15" ref="A1:F16" totalsRowShown="0" dataDxfId="20">
  <tableColumns count="6">
    <tableColumn id="2" xr3:uid="{F9161B4C-0952-4809-8ED7-2C1CA728623D}" name="CH4 Bottle" dataDxfId="19"/>
    <tableColumn id="3" xr3:uid="{FAED2144-4FB3-49CB-80AD-4374FF0B8D92}" name="CH4 %Analyte" dataDxfId="18"/>
    <tableColumn id="4" xr3:uid="{D7C30980-0C97-450B-BD21-AEA7CF381DB7}" name="H2 Bottle" dataDxfId="17"/>
    <tableColumn id="5" xr3:uid="{344B97C4-B036-4D74-ACBC-01E858D7A8D8}" name="H2 %Analyte" dataDxfId="16"/>
    <tableColumn id="8" xr3:uid="{03F9B13F-6C7C-4AD7-A2D7-7CCB0ECC42C7}" name="% H2" dataDxfId="15" dataCellStyle="Calculation">
      <calculatedColumnFormula>Table15[[#This Row],[H2 Bottle]]*Table15[[#This Row],[H2 %Analyte]] / (Table15[[#This Row],[CH4 Bottle]]*Table15[[#This Row],[CH4 %Analyte]] +Table15[[#This Row],[H2 Bottle]]* Table15[[#This Row],[H2 %Analyte]])</calculatedColumnFormula>
    </tableColumn>
    <tableColumn id="6" xr3:uid="{17E10DD9-0B26-4883-8398-1D23A30F97C7}" name="Range (%V)" dataDxfId="14" dataCellStyle="Calculation">
      <calculatedColumnFormula>(Table15[[#This Row],[CH4 Bottle]]*Table15[[#This Row],[CH4 %Analyte]]+Table15[[#This Row],[H2 Bottle]]*Table15[[#This Row],[H2 %Analyte]])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7189E-652D-47CA-B306-0A5E544049AD}" name="Table1" displayName="Table1" ref="A5:K33" totalsRowShown="0" headerRowDxfId="13" dataDxfId="12">
  <autoFilter ref="A5:K33" xr:uid="{80A5895D-A487-4A6C-812C-E5CD17B68514}"/>
  <tableColumns count="11">
    <tableColumn id="10" xr3:uid="{2C33A0AE-0677-48E2-BAAF-C91DF8250FBE}" name="Desired Analyte" dataDxfId="11" dataCellStyle="Input"/>
    <tableColumn id="11" xr3:uid="{C6A74467-75FE-4B85-965B-09FCA34CB4D0}" name="Desired O2" dataDxfId="10" dataCellStyle="Input"/>
    <tableColumn id="1" xr3:uid="{0CDAF8FA-DBD1-4851-914E-2DBC182D23DF}" name="MFC1 (%)" dataDxfId="9" dataCellStyle="Percent"/>
    <tableColumn id="5" xr3:uid="{F51E41ED-FB65-45D1-99B0-CE0A8A52D037}" name="MFC1 (sccm)" dataDxfId="8">
      <calculatedColumnFormula>IF(Table1[[#This Row],[MFC1 (%)]] &lt;&gt; 0, Table1[[#This Row],[MFC1 (%)]]*MassFlow, "")</calculatedColumnFormula>
    </tableColumn>
    <tableColumn id="8" xr3:uid="{2EF83AF1-7F2F-49D3-BA8B-A0EBFE03622A}" name="MFC2 (%)" dataDxfId="7" dataCellStyle="Normal"/>
    <tableColumn id="6" xr3:uid="{DF70380C-E8D8-4F14-90B5-EBBBC7D59F13}" name="MFC2 (sccm)" dataDxfId="6">
      <calculatedColumnFormula>IF(Table1[[#This Row],[MFC2 (%)]] &lt;&gt; 0, Table1[[#This Row],[MFC2 (%)]]*MassFlow, "")</calculatedColumnFormula>
    </tableColumn>
    <tableColumn id="3" xr3:uid="{997815A5-57B6-4406-A351-95FBE6B6C9F9}" name="MFC3 (%)" dataDxfId="5" dataCellStyle="Normal"/>
    <tableColumn id="7" xr3:uid="{D9E47F31-8AC0-41C3-9191-BA216292516A}" name="MFC3 (sccm)" dataDxfId="4">
      <calculatedColumnFormula>IF(Table1[[#This Row],[MFC3 (%)]] &lt;&gt; 0, Table1[[#This Row],[MFC3 (%)]]*MassFlow, "")</calculatedColumnFormula>
    </tableColumn>
    <tableColumn id="2" xr3:uid="{2070FFF8-C610-4645-AA9C-C995FE56D480}" name="MFC4 (%)" dataDxfId="3" dataCellStyle="Normal">
      <calculatedColumnFormula>100%-Table1[[#This Row],[MFC1 (%)]]-Table1[[#This Row],[MFC2 (%)]]-Table1[[#This Row],[MFC3 (%)]]</calculatedColumnFormula>
    </tableColumn>
    <tableColumn id="9" xr3:uid="{DAC4107B-EAD3-46BB-82AB-335352FA7C75}" name="MFC4 (sccm)" dataCellStyle="Normal">
      <calculatedColumnFormula>IF(Table1[[#This Row],[MFC4 (%)]]&lt;&gt; 0, Table1[[#This Row],[MFC4 (%)]]*MassFlow, "")</calculatedColumnFormula>
    </tableColumn>
    <tableColumn id="4" xr3:uid="{F6895838-995D-41CD-8B40-D8300DCFA1F4}" name="Actual O2" dataCellStyle="Normal">
      <calculatedColumnFormula>Table1[[#This Row],[MFC1 (%)]]*$C$4+Table1[[#This Row],[MFC2 (%)]]*$E$4+Table1[[#This Row],[MFC3 (%)]]*$G$4+Table1[[#This Row],[MFC4 (%)]]*$I$4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79A0-2CEF-44AA-AB9C-E127FF011EB0}">
  <dimension ref="A1:I16"/>
  <sheetViews>
    <sheetView workbookViewId="0">
      <selection activeCell="D18" sqref="D18"/>
    </sheetView>
  </sheetViews>
  <sheetFormatPr defaultRowHeight="15" x14ac:dyDescent="0.25"/>
  <cols>
    <col min="1" max="2" width="9.140625" style="2"/>
    <col min="3" max="3" width="11.28515625" bestFit="1" customWidth="1"/>
    <col min="4" max="4" width="15.5703125" bestFit="1" customWidth="1"/>
    <col min="5" max="5" width="13.85546875" bestFit="1" customWidth="1"/>
  </cols>
  <sheetData>
    <row r="1" spans="1:9" ht="20.25" thickBot="1" x14ac:dyDescent="0.35">
      <c r="A1" s="40" t="s">
        <v>34</v>
      </c>
      <c r="B1" s="40"/>
      <c r="C1" s="40"/>
      <c r="D1" s="40"/>
      <c r="E1" s="40"/>
      <c r="F1" s="40"/>
      <c r="G1" s="40"/>
      <c r="H1" s="40"/>
      <c r="I1" s="25"/>
    </row>
    <row r="2" spans="1:9" ht="15.75" thickTop="1" x14ac:dyDescent="0.25"/>
    <row r="3" spans="1:9" x14ac:dyDescent="0.25">
      <c r="C3" s="4" t="s">
        <v>26</v>
      </c>
      <c r="D3" s="23">
        <v>300</v>
      </c>
      <c r="E3" s="4" t="s">
        <v>1</v>
      </c>
    </row>
    <row r="4" spans="1:9" s="14" customFormat="1" x14ac:dyDescent="0.25">
      <c r="A4" s="2"/>
      <c r="B4" s="2"/>
      <c r="C4" s="4"/>
      <c r="E4" s="4"/>
    </row>
    <row r="5" spans="1:9" x14ac:dyDescent="0.25">
      <c r="C5" t="s">
        <v>29</v>
      </c>
      <c r="D5" s="14" t="s">
        <v>27</v>
      </c>
      <c r="E5" s="14" t="s">
        <v>28</v>
      </c>
    </row>
    <row r="6" spans="1:9" x14ac:dyDescent="0.25">
      <c r="C6" s="24">
        <v>0</v>
      </c>
      <c r="D6">
        <f>Table1Analyte[[#This Row],[Analyte (%)]]*MassFlow</f>
        <v>0</v>
      </c>
      <c r="E6">
        <f>MassFlow-Table1Analyte[[#This Row],[Analyte (sccm)]]</f>
        <v>300</v>
      </c>
    </row>
    <row r="7" spans="1:9" x14ac:dyDescent="0.25">
      <c r="C7" s="24">
        <v>0.1</v>
      </c>
      <c r="D7">
        <f>Table1Analyte[[#This Row],[Analyte (%)]]*MassFlow</f>
        <v>30</v>
      </c>
      <c r="E7">
        <f>MassFlow-Table1Analyte[[#This Row],[Analyte (sccm)]]</f>
        <v>270</v>
      </c>
    </row>
    <row r="8" spans="1:9" x14ac:dyDescent="0.25">
      <c r="C8" s="24">
        <v>0.2</v>
      </c>
      <c r="D8">
        <f>Table1Analyte[[#This Row],[Analyte (%)]]*MassFlow</f>
        <v>60</v>
      </c>
      <c r="E8">
        <f>MassFlow-Table1Analyte[[#This Row],[Analyte (sccm)]]</f>
        <v>240</v>
      </c>
    </row>
    <row r="9" spans="1:9" x14ac:dyDescent="0.25">
      <c r="C9" s="24">
        <v>0.3</v>
      </c>
      <c r="D9">
        <f>Table1Analyte[[#This Row],[Analyte (%)]]*MassFlow</f>
        <v>90</v>
      </c>
      <c r="E9">
        <f>MassFlow-Table1Analyte[[#This Row],[Analyte (sccm)]]</f>
        <v>210</v>
      </c>
    </row>
    <row r="10" spans="1:9" x14ac:dyDescent="0.25">
      <c r="C10" s="24">
        <v>0.4</v>
      </c>
      <c r="D10">
        <f>Table1Analyte[[#This Row],[Analyte (%)]]*MassFlow</f>
        <v>120</v>
      </c>
      <c r="E10">
        <f>MassFlow-Table1Analyte[[#This Row],[Analyte (sccm)]]</f>
        <v>180</v>
      </c>
    </row>
    <row r="11" spans="1:9" x14ac:dyDescent="0.25">
      <c r="C11" s="24">
        <v>0.5</v>
      </c>
      <c r="D11">
        <f>Table1Analyte[[#This Row],[Analyte (%)]]*MassFlow</f>
        <v>150</v>
      </c>
      <c r="E11">
        <f>MassFlow-Table1Analyte[[#This Row],[Analyte (sccm)]]</f>
        <v>150</v>
      </c>
    </row>
    <row r="12" spans="1:9" x14ac:dyDescent="0.25">
      <c r="C12" s="24">
        <v>0.6</v>
      </c>
      <c r="D12">
        <f>Table1Analyte[[#This Row],[Analyte (%)]]*MassFlow</f>
        <v>180</v>
      </c>
      <c r="E12">
        <f>MassFlow-Table1Analyte[[#This Row],[Analyte (sccm)]]</f>
        <v>120</v>
      </c>
    </row>
    <row r="13" spans="1:9" x14ac:dyDescent="0.25">
      <c r="C13" s="24">
        <v>0.7</v>
      </c>
      <c r="D13">
        <f>Table1Analyte[[#This Row],[Analyte (%)]]*MassFlow</f>
        <v>210</v>
      </c>
      <c r="E13">
        <f>MassFlow-Table1Analyte[[#This Row],[Analyte (sccm)]]</f>
        <v>90</v>
      </c>
    </row>
    <row r="14" spans="1:9" x14ac:dyDescent="0.25">
      <c r="C14" s="24">
        <v>0.8</v>
      </c>
      <c r="D14">
        <f>Table1Analyte[[#This Row],[Analyte (%)]]*MassFlow</f>
        <v>240</v>
      </c>
      <c r="E14">
        <f>MassFlow-Table1Analyte[[#This Row],[Analyte (sccm)]]</f>
        <v>60</v>
      </c>
    </row>
    <row r="15" spans="1:9" x14ac:dyDescent="0.25">
      <c r="C15" s="24">
        <v>0.9</v>
      </c>
      <c r="D15">
        <f>Table1Analyte[[#This Row],[Analyte (%)]]*MassFlow</f>
        <v>270</v>
      </c>
      <c r="E15">
        <f>MassFlow-Table1Analyte[[#This Row],[Analyte (sccm)]]</f>
        <v>30</v>
      </c>
    </row>
    <row r="16" spans="1:9" x14ac:dyDescent="0.25">
      <c r="C16" s="24">
        <v>1</v>
      </c>
      <c r="D16">
        <f>Table1Analyte[[#This Row],[Analyte (%)]]*MassFlow</f>
        <v>300</v>
      </c>
      <c r="E16">
        <f>MassFlow-Table1Analyte[[#This Row],[Analyte (sccm)]]</f>
        <v>0</v>
      </c>
    </row>
  </sheetData>
  <mergeCells count="1">
    <mergeCell ref="A1:H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08E-7C19-457C-8A85-878B42B0C4F4}">
  <dimension ref="A1:J22"/>
  <sheetViews>
    <sheetView tabSelected="1" workbookViewId="0">
      <selection activeCell="K7" sqref="K7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9.42578125" bestFit="1" customWidth="1"/>
    <col min="4" max="4" width="12.140625" bestFit="1" customWidth="1"/>
    <col min="5" max="5" width="9.42578125" bestFit="1" customWidth="1"/>
    <col min="6" max="6" width="12.140625" bestFit="1" customWidth="1"/>
    <col min="7" max="7" width="9.42578125" bestFit="1" customWidth="1"/>
    <col min="8" max="8" width="12.140625" bestFit="1" customWidth="1"/>
  </cols>
  <sheetData>
    <row r="1" spans="1:10" ht="20.25" thickBot="1" x14ac:dyDescent="0.35">
      <c r="A1" s="40" t="s">
        <v>36</v>
      </c>
      <c r="B1" s="40"/>
      <c r="C1" s="40"/>
      <c r="D1" s="40"/>
      <c r="E1" s="40"/>
      <c r="F1" s="40"/>
      <c r="G1" s="40"/>
      <c r="H1" s="40"/>
    </row>
    <row r="2" spans="1:10" ht="15.75" thickTop="1" x14ac:dyDescent="0.25"/>
    <row r="3" spans="1:10" x14ac:dyDescent="0.25">
      <c r="A3" t="s">
        <v>26</v>
      </c>
      <c r="B3" s="23">
        <v>300</v>
      </c>
      <c r="C3" s="19"/>
      <c r="D3" t="s">
        <v>42</v>
      </c>
      <c r="E3" s="48">
        <f>MFC2Concentration*MFC2Ratio/(MFC1Concentration*MFC1Ratio+MFC2Concentration*MFC2Ratio)</f>
        <v>4.9180327868852458E-2</v>
      </c>
      <c r="F3" s="34"/>
      <c r="G3" s="34" t="s">
        <v>41</v>
      </c>
      <c r="H3" s="36">
        <f>MFC1Concentration*MFC1Ratio+MFC2Concentration*MFC2Ratio</f>
        <v>3.0499999999999999E-2</v>
      </c>
    </row>
    <row r="4" spans="1:10" s="12" customFormat="1" x14ac:dyDescent="0.25"/>
    <row r="5" spans="1:10" x14ac:dyDescent="0.25">
      <c r="A5" s="19"/>
      <c r="C5" s="44" t="s">
        <v>32</v>
      </c>
      <c r="D5" s="44"/>
      <c r="E5" s="44" t="s">
        <v>33</v>
      </c>
      <c r="F5" s="44"/>
      <c r="G5" s="43" t="s">
        <v>20</v>
      </c>
      <c r="H5" s="43"/>
    </row>
    <row r="6" spans="1:10" s="14" customFormat="1" x14ac:dyDescent="0.25">
      <c r="A6" s="19"/>
      <c r="C6" s="27" t="s">
        <v>25</v>
      </c>
      <c r="D6" s="27" t="s">
        <v>0</v>
      </c>
      <c r="E6" s="27" t="s">
        <v>25</v>
      </c>
      <c r="F6" s="27" t="s">
        <v>0</v>
      </c>
      <c r="G6" s="43"/>
      <c r="H6" s="43"/>
    </row>
    <row r="7" spans="1:10" x14ac:dyDescent="0.25">
      <c r="A7" s="19"/>
      <c r="B7" s="14"/>
      <c r="C7" s="31">
        <v>0.1</v>
      </c>
      <c r="D7" s="32">
        <v>0.28999999999999998</v>
      </c>
      <c r="E7" s="31">
        <v>0.03</v>
      </c>
      <c r="F7" s="32">
        <v>0.05</v>
      </c>
      <c r="G7" s="43"/>
      <c r="H7" s="43"/>
      <c r="I7" s="46" t="s">
        <v>44</v>
      </c>
      <c r="J7" s="46"/>
    </row>
    <row r="8" spans="1:10" s="34" customFormat="1" x14ac:dyDescent="0.25">
      <c r="A8" s="33" t="s">
        <v>0</v>
      </c>
      <c r="B8" s="33" t="s">
        <v>35</v>
      </c>
      <c r="C8" s="33" t="s">
        <v>9</v>
      </c>
      <c r="D8" s="33" t="s">
        <v>10</v>
      </c>
      <c r="E8" s="33" t="s">
        <v>11</v>
      </c>
      <c r="F8" s="33" t="s">
        <v>12</v>
      </c>
      <c r="G8" s="33" t="s">
        <v>13</v>
      </c>
      <c r="H8" s="33" t="s">
        <v>14</v>
      </c>
      <c r="I8" s="33" t="s">
        <v>38</v>
      </c>
      <c r="J8" s="33" t="s">
        <v>43</v>
      </c>
    </row>
    <row r="9" spans="1:10" x14ac:dyDescent="0.25">
      <c r="A9" s="31">
        <v>0</v>
      </c>
      <c r="B9" s="30">
        <f>Table2Analyte[[#This Row],[% Analyte]] / (MFC1Concentration*MFC1Ratio + MFC2Concentration*MFC2Ratio)</f>
        <v>0</v>
      </c>
      <c r="C9" s="11">
        <f>Table2Analyte[[#This Row],[% Bottle]] * MFC1Ratio</f>
        <v>0</v>
      </c>
      <c r="D9">
        <f>Table2Analyte[[#This Row],[MFC1 (%)]]*MassFlow</f>
        <v>0</v>
      </c>
      <c r="E9" s="11">
        <f>Table2Analyte[[#This Row],[% Bottle]] * MFC2Ratio</f>
        <v>0</v>
      </c>
      <c r="F9">
        <f>Table2Analyte[[#This Row],[MFC2 (%)]]*MassFlow</f>
        <v>0</v>
      </c>
      <c r="G9" s="10">
        <f>100%-Table2Analyte[[#This Row],[MFC1 (%)]]-Table2Analyte[[#This Row],[MFC2 (%)]]</f>
        <v>1</v>
      </c>
      <c r="H9">
        <f>Table2Analyte[[#This Row],[MFC3 (%)]]*MassFlow</f>
        <v>300</v>
      </c>
      <c r="I9" s="47" t="str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 xml:space="preserve"> - </v>
      </c>
      <c r="J9" s="49">
        <f>(Table2Analyte[[#This Row],[MFC1 (sccm)]]*MFC1Concentration+Table2Analyte[[#This Row],[MFC2 (sccm)]]*MFC2Concentration)/MassFlow</f>
        <v>0</v>
      </c>
    </row>
    <row r="10" spans="1:10" x14ac:dyDescent="0.25">
      <c r="A10" s="31">
        <v>0.01</v>
      </c>
      <c r="B10" s="30">
        <f>Table2Analyte[[#This Row],[% Analyte]] / (MFC1Concentration*MFC1Ratio + MFC2Concentration*MFC2Ratio)</f>
        <v>0.32786885245901642</v>
      </c>
      <c r="C10" s="11">
        <f>Table2Analyte[[#This Row],[% Bottle]] * MFC1Ratio</f>
        <v>9.5081967213114751E-2</v>
      </c>
      <c r="D10">
        <f>Table2Analyte[[#This Row],[MFC1 (%)]]*MassFlow</f>
        <v>28.524590163934427</v>
      </c>
      <c r="E10" s="11">
        <f>Table2Analyte[[#This Row],[% Bottle]] * MFC2Ratio</f>
        <v>1.6393442622950821E-2</v>
      </c>
      <c r="F10">
        <f>Table2Analyte[[#This Row],[MFC2 (%)]]*MassFlow</f>
        <v>4.918032786885246</v>
      </c>
      <c r="G10" s="10">
        <f>100%-Table2Analyte[[#This Row],[MFC1 (%)]]-Table2Analyte[[#This Row],[MFC2 (%)]]</f>
        <v>0.88852459016393437</v>
      </c>
      <c r="H10">
        <f>Table2Analyte[[#This Row],[MFC3 (%)]]*MassFlow</f>
        <v>266.55737704918033</v>
      </c>
      <c r="I10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4.9180327868852458E-2</v>
      </c>
      <c r="J10" s="49">
        <f>(Table2Analyte[[#This Row],[MFC1 (sccm)]]*MFC1Concentration+Table2Analyte[[#This Row],[MFC2 (sccm)]]*MFC2Concentration)/MassFlow</f>
        <v>0.01</v>
      </c>
    </row>
    <row r="11" spans="1:10" x14ac:dyDescent="0.25">
      <c r="A11" s="31">
        <v>0.02</v>
      </c>
      <c r="B11" s="30">
        <f>Table2Analyte[[#This Row],[% Analyte]] / (MFC1Concentration*MFC1Ratio + MFC2Concentration*MFC2Ratio)</f>
        <v>0.65573770491803285</v>
      </c>
      <c r="C11" s="11">
        <f>Table2Analyte[[#This Row],[% Bottle]] * MFC1Ratio</f>
        <v>0.1901639344262295</v>
      </c>
      <c r="D11">
        <f>Table2Analyte[[#This Row],[MFC1 (%)]]*MassFlow</f>
        <v>57.049180327868854</v>
      </c>
      <c r="E11" s="11">
        <f>Table2Analyte[[#This Row],[% Bottle]] * MFC2Ratio</f>
        <v>3.2786885245901641E-2</v>
      </c>
      <c r="F11">
        <f>Table2Analyte[[#This Row],[MFC2 (%)]]*MassFlow</f>
        <v>9.8360655737704921</v>
      </c>
      <c r="G11" s="10">
        <f>100%-Table2Analyte[[#This Row],[MFC1 (%)]]-Table2Analyte[[#This Row],[MFC2 (%)]]</f>
        <v>0.77704918032786885</v>
      </c>
      <c r="H11">
        <f>Table2Analyte[[#This Row],[MFC3 (%)]]*MassFlow</f>
        <v>233.11475409836066</v>
      </c>
      <c r="I11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4.9180327868852458E-2</v>
      </c>
      <c r="J11" s="49">
        <f>(Table2Analyte[[#This Row],[MFC1 (sccm)]]*MFC1Concentration+Table2Analyte[[#This Row],[MFC2 (sccm)]]*MFC2Concentration)/MassFlow</f>
        <v>0.02</v>
      </c>
    </row>
    <row r="12" spans="1:10" x14ac:dyDescent="0.25">
      <c r="A12" s="31">
        <v>0.03</v>
      </c>
      <c r="B12" s="30">
        <f>Table2Analyte[[#This Row],[% Analyte]] / (MFC1Concentration*MFC1Ratio + MFC2Concentration*MFC2Ratio)</f>
        <v>0.98360655737704916</v>
      </c>
      <c r="C12" s="11">
        <f>Table2Analyte[[#This Row],[% Bottle]] * MFC1Ratio</f>
        <v>0.28524590163934421</v>
      </c>
      <c r="D12">
        <f>Table2Analyte[[#This Row],[MFC1 (%)]]*MassFlow</f>
        <v>85.573770491803259</v>
      </c>
      <c r="E12" s="11">
        <f>Table2Analyte[[#This Row],[% Bottle]] * MFC2Ratio</f>
        <v>4.9180327868852458E-2</v>
      </c>
      <c r="F12">
        <f>Table2Analyte[[#This Row],[MFC2 (%)]]*MassFlow</f>
        <v>14.754098360655737</v>
      </c>
      <c r="G12" s="10">
        <f>100%-Table2Analyte[[#This Row],[MFC1 (%)]]-Table2Analyte[[#This Row],[MFC2 (%)]]</f>
        <v>0.66557377049180322</v>
      </c>
      <c r="H12">
        <f>Table2Analyte[[#This Row],[MFC3 (%)]]*MassFlow</f>
        <v>199.67213114754097</v>
      </c>
      <c r="I12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4.9180327868852458E-2</v>
      </c>
      <c r="J12" s="49">
        <f>(Table2Analyte[[#This Row],[MFC1 (sccm)]]*MFC1Concentration+Table2Analyte[[#This Row],[MFC2 (sccm)]]*MFC2Concentration)/MassFlow</f>
        <v>2.9999999999999995E-2</v>
      </c>
    </row>
    <row r="13" spans="1:10" x14ac:dyDescent="0.25">
      <c r="A13" s="31">
        <v>0.04</v>
      </c>
      <c r="B13" s="30">
        <f>Table2Analyte[[#This Row],[% Analyte]] / (MFC1Concentration*MFC1Ratio + MFC2Concentration*MFC2Ratio)</f>
        <v>1.3114754098360657</v>
      </c>
      <c r="C13" s="11">
        <f>Table2Analyte[[#This Row],[% Bottle]] * MFC1Ratio</f>
        <v>0.38032786885245901</v>
      </c>
      <c r="D13">
        <f>Table2Analyte[[#This Row],[MFC1 (%)]]*MassFlow</f>
        <v>114.09836065573771</v>
      </c>
      <c r="E13" s="11">
        <f>Table2Analyte[[#This Row],[% Bottle]] * MFC2Ratio</f>
        <v>6.5573770491803282E-2</v>
      </c>
      <c r="F13">
        <f>Table2Analyte[[#This Row],[MFC2 (%)]]*MassFlow</f>
        <v>19.672131147540984</v>
      </c>
      <c r="G13" s="10">
        <f>100%-Table2Analyte[[#This Row],[MFC1 (%)]]-Table2Analyte[[#This Row],[MFC2 (%)]]</f>
        <v>0.55409836065573781</v>
      </c>
      <c r="H13">
        <f>Table2Analyte[[#This Row],[MFC3 (%)]]*MassFlow</f>
        <v>166.22950819672135</v>
      </c>
      <c r="I13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4.9180327868852458E-2</v>
      </c>
      <c r="J13" s="49">
        <f>(Table2Analyte[[#This Row],[MFC1 (sccm)]]*MFC1Concentration+Table2Analyte[[#This Row],[MFC2 (sccm)]]*MFC2Concentration)/MassFlow</f>
        <v>0.04</v>
      </c>
    </row>
    <row r="14" spans="1:10" x14ac:dyDescent="0.25">
      <c r="A14" s="31">
        <v>0.05</v>
      </c>
      <c r="B14" s="30">
        <f>Table2Analyte[[#This Row],[% Analyte]] / (MFC1Concentration*MFC1Ratio + MFC2Concentration*MFC2Ratio)</f>
        <v>1.639344262295082</v>
      </c>
      <c r="C14" s="11">
        <f>Table2Analyte[[#This Row],[% Bottle]] * MFC1Ratio</f>
        <v>0.47540983606557374</v>
      </c>
      <c r="D14">
        <f>Table2Analyte[[#This Row],[MFC1 (%)]]*MassFlow</f>
        <v>142.62295081967213</v>
      </c>
      <c r="E14" s="11">
        <f>Table2Analyte[[#This Row],[% Bottle]] * MFC2Ratio</f>
        <v>8.1967213114754106E-2</v>
      </c>
      <c r="F14">
        <f>Table2Analyte[[#This Row],[MFC2 (%)]]*MassFlow</f>
        <v>24.590163934426233</v>
      </c>
      <c r="G14" s="10">
        <f>100%-Table2Analyte[[#This Row],[MFC1 (%)]]-Table2Analyte[[#This Row],[MFC2 (%)]]</f>
        <v>0.44262295081967218</v>
      </c>
      <c r="H14">
        <f>Table2Analyte[[#This Row],[MFC3 (%)]]*MassFlow</f>
        <v>132.78688524590166</v>
      </c>
      <c r="I14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4.9180327868852465E-2</v>
      </c>
      <c r="J14" s="49">
        <f>(Table2Analyte[[#This Row],[MFC1 (sccm)]]*MFC1Concentration+Table2Analyte[[#This Row],[MFC2 (sccm)]]*MFC2Concentration)/MassFlow</f>
        <v>0.05</v>
      </c>
    </row>
    <row r="15" spans="1:10" x14ac:dyDescent="0.25">
      <c r="A15" s="31">
        <v>0.06</v>
      </c>
      <c r="B15" s="30">
        <f>Table2Analyte[[#This Row],[% Analyte]] / (MFC1Concentration*MFC1Ratio + MFC2Concentration*MFC2Ratio)</f>
        <v>1.9672131147540983</v>
      </c>
      <c r="C15" s="11">
        <f>Table2Analyte[[#This Row],[% Bottle]] * MFC1Ratio</f>
        <v>0.57049180327868843</v>
      </c>
      <c r="D15">
        <f>Table2Analyte[[#This Row],[MFC1 (%)]]*MassFlow</f>
        <v>171.14754098360652</v>
      </c>
      <c r="E15" s="11">
        <f>Table2Analyte[[#This Row],[% Bottle]] * MFC2Ratio</f>
        <v>9.8360655737704916E-2</v>
      </c>
      <c r="F15">
        <f>Table2Analyte[[#This Row],[MFC2 (%)]]*MassFlow</f>
        <v>29.508196721311474</v>
      </c>
      <c r="G15" s="10">
        <f>100%-Table2Analyte[[#This Row],[MFC1 (%)]]-Table2Analyte[[#This Row],[MFC2 (%)]]</f>
        <v>0.33114754098360666</v>
      </c>
      <c r="H15">
        <f>Table2Analyte[[#This Row],[MFC3 (%)]]*MassFlow</f>
        <v>99.344262295082004</v>
      </c>
      <c r="I15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4.9180327868852458E-2</v>
      </c>
      <c r="J15" s="49">
        <f>(Table2Analyte[[#This Row],[MFC1 (sccm)]]*MFC1Concentration+Table2Analyte[[#This Row],[MFC2 (sccm)]]*MFC2Concentration)/MassFlow</f>
        <v>5.9999999999999991E-2</v>
      </c>
    </row>
    <row r="16" spans="1:10" x14ac:dyDescent="0.25">
      <c r="A16" s="31">
        <v>7.0000000000000007E-2</v>
      </c>
      <c r="B16" s="30">
        <f>Table2Analyte[[#This Row],[% Analyte]] / (MFC1Concentration*MFC1Ratio + MFC2Concentration*MFC2Ratio)</f>
        <v>2.2950819672131151</v>
      </c>
      <c r="C16" s="11">
        <f>Table2Analyte[[#This Row],[% Bottle]] * MFC1Ratio</f>
        <v>0.66557377049180333</v>
      </c>
      <c r="D16">
        <f>Table2Analyte[[#This Row],[MFC1 (%)]]*MassFlow</f>
        <v>199.67213114754099</v>
      </c>
      <c r="E16" s="11">
        <f>Table2Analyte[[#This Row],[% Bottle]] * MFC2Ratio</f>
        <v>0.11475409836065575</v>
      </c>
      <c r="F16">
        <f>Table2Analyte[[#This Row],[MFC2 (%)]]*MassFlow</f>
        <v>34.426229508196727</v>
      </c>
      <c r="G16" s="10">
        <f>100%-Table2Analyte[[#This Row],[MFC1 (%)]]-Table2Analyte[[#This Row],[MFC2 (%)]]</f>
        <v>0.21967213114754092</v>
      </c>
      <c r="H16">
        <f>Table2Analyte[[#This Row],[MFC3 (%)]]*MassFlow</f>
        <v>65.901639344262279</v>
      </c>
      <c r="I16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4.9180327868852458E-2</v>
      </c>
      <c r="J16" s="49">
        <f>(Table2Analyte[[#This Row],[MFC1 (sccm)]]*MFC1Concentration+Table2Analyte[[#This Row],[MFC2 (sccm)]]*MFC2Concentration)/MassFlow</f>
        <v>7.0000000000000007E-2</v>
      </c>
    </row>
    <row r="17" spans="1:10" x14ac:dyDescent="0.25">
      <c r="A17" s="31">
        <v>0.08</v>
      </c>
      <c r="B17" s="30">
        <f>Table2Analyte[[#This Row],[% Analyte]] / (MFC1Concentration*MFC1Ratio + MFC2Concentration*MFC2Ratio)</f>
        <v>2.6229508196721314</v>
      </c>
      <c r="C17" s="11">
        <f>Table2Analyte[[#This Row],[% Bottle]] * MFC1Ratio</f>
        <v>0.76065573770491801</v>
      </c>
      <c r="D17">
        <f>Table2Analyte[[#This Row],[MFC1 (%)]]*MassFlow</f>
        <v>228.19672131147541</v>
      </c>
      <c r="E17" s="11">
        <f>Table2Analyte[[#This Row],[% Bottle]] * MFC2Ratio</f>
        <v>0.13114754098360656</v>
      </c>
      <c r="F17">
        <f>Table2Analyte[[#This Row],[MFC2 (%)]]*MassFlow</f>
        <v>39.344262295081968</v>
      </c>
      <c r="G17" s="10">
        <f>100%-Table2Analyte[[#This Row],[MFC1 (%)]]-Table2Analyte[[#This Row],[MFC2 (%)]]</f>
        <v>0.10819672131147542</v>
      </c>
      <c r="H17">
        <f>Table2Analyte[[#This Row],[MFC3 (%)]]*MassFlow</f>
        <v>32.459016393442624</v>
      </c>
      <c r="I17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4.9180327868852458E-2</v>
      </c>
      <c r="J17" s="49">
        <f>(Table2Analyte[[#This Row],[MFC1 (sccm)]]*MFC1Concentration+Table2Analyte[[#This Row],[MFC2 (sccm)]]*MFC2Concentration)/MassFlow</f>
        <v>0.08</v>
      </c>
    </row>
    <row r="18" spans="1:10" x14ac:dyDescent="0.25">
      <c r="A18" s="31">
        <v>0.09</v>
      </c>
      <c r="B18" s="30">
        <f>Table2Analyte[[#This Row],[% Analyte]] / (MFC1Concentration*MFC1Ratio + MFC2Concentration*MFC2Ratio)</f>
        <v>2.9508196721311477</v>
      </c>
      <c r="C18" s="11">
        <f>Table2Analyte[[#This Row],[% Bottle]] * MFC1Ratio</f>
        <v>0.8557377049180328</v>
      </c>
      <c r="D18">
        <f>Table2Analyte[[#This Row],[MFC1 (%)]]*MassFlow</f>
        <v>256.72131147540983</v>
      </c>
      <c r="E18" s="11">
        <f>Table2Analyte[[#This Row],[% Bottle]] * MFC2Ratio</f>
        <v>0.1475409836065574</v>
      </c>
      <c r="F18">
        <f>Table2Analyte[[#This Row],[MFC2 (%)]]*MassFlow</f>
        <v>44.262295081967224</v>
      </c>
      <c r="G18" s="10">
        <f>100%-Table2Analyte[[#This Row],[MFC1 (%)]]-Table2Analyte[[#This Row],[MFC2 (%)]]</f>
        <v>-3.2786885245902064E-3</v>
      </c>
      <c r="H18">
        <f>Table2Analyte[[#This Row],[MFC3 (%)]]*MassFlow</f>
        <v>-0.98360655737706193</v>
      </c>
      <c r="I18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4.9180327868852458E-2</v>
      </c>
      <c r="J18" s="49">
        <f>(Table2Analyte[[#This Row],[MFC1 (sccm)]]*MFC1Concentration+Table2Analyte[[#This Row],[MFC2 (sccm)]]*MFC2Concentration)/MassFlow</f>
        <v>0.09</v>
      </c>
    </row>
    <row r="19" spans="1:10" x14ac:dyDescent="0.25">
      <c r="A19" s="31">
        <v>9.7000000000000003E-2</v>
      </c>
      <c r="B19" s="30">
        <f>Table2Analyte[[#This Row],[% Analyte]] / (MFC1Concentration*MFC1Ratio + MFC2Concentration*MFC2Ratio)</f>
        <v>3.180327868852459</v>
      </c>
      <c r="C19" s="11">
        <f>Table2Analyte[[#This Row],[% Bottle]] * MFC1Ratio</f>
        <v>0.92229508196721299</v>
      </c>
      <c r="D19">
        <f>Table2Analyte[[#This Row],[MFC1 (%)]]*MassFlow</f>
        <v>276.68852459016392</v>
      </c>
      <c r="E19" s="11">
        <f>Table2Analyte[[#This Row],[% Bottle]] * MFC2Ratio</f>
        <v>0.15901639344262297</v>
      </c>
      <c r="F19">
        <f>Table2Analyte[[#This Row],[MFC2 (%)]]*MassFlow</f>
        <v>47.704918032786892</v>
      </c>
      <c r="G19" s="10">
        <f>100%-Table2Analyte[[#This Row],[MFC1 (%)]]-Table2Analyte[[#This Row],[MFC2 (%)]]</f>
        <v>-8.1311475409835965E-2</v>
      </c>
      <c r="H19">
        <f>Table2Analyte[[#This Row],[MFC3 (%)]]*MassFlow</f>
        <v>-24.39344262295079</v>
      </c>
      <c r="I19" s="47">
        <f>IF(Table2Analyte[[#This Row],[MFC1 (%)]]+Table2Analyte[[#This Row],[MFC2 (%)]]&lt;&gt;0,Table2Analyte[[#This Row],[MFC2 (%)]]*MFC2Concentration / (Table2Analyte[[#This Row],[MFC2 (%)]]*MFC2Concentration+Table2Analyte[[#This Row],[MFC1 (%)]]*MFC1Concentration), " - ")</f>
        <v>4.9180327868852465E-2</v>
      </c>
      <c r="J19" s="49">
        <f>(Table2Analyte[[#This Row],[MFC1 (sccm)]]*MFC1Concentration+Table2Analyte[[#This Row],[MFC2 (sccm)]]*MFC2Concentration)/MassFlow</f>
        <v>9.6999999999999989E-2</v>
      </c>
    </row>
    <row r="20" spans="1:10" x14ac:dyDescent="0.25">
      <c r="A20" s="41" t="s">
        <v>21</v>
      </c>
      <c r="B20" s="41"/>
      <c r="C20" s="41"/>
      <c r="D20" s="41"/>
      <c r="E20" s="41"/>
      <c r="F20" s="41"/>
      <c r="G20" s="41"/>
      <c r="H20" s="41"/>
    </row>
    <row r="21" spans="1:10" x14ac:dyDescent="0.25">
      <c r="A21" s="42" t="s">
        <v>23</v>
      </c>
      <c r="B21" s="42"/>
      <c r="C21" s="42"/>
      <c r="D21" s="42"/>
      <c r="E21" s="42"/>
      <c r="F21" s="42"/>
      <c r="G21" s="42"/>
      <c r="H21" s="42"/>
    </row>
    <row r="22" spans="1:10" x14ac:dyDescent="0.25">
      <c r="A22" s="42" t="s">
        <v>22</v>
      </c>
      <c r="B22" s="42"/>
      <c r="C22" s="42"/>
      <c r="D22" s="42"/>
      <c r="E22" s="42"/>
      <c r="F22" s="42"/>
      <c r="G22" s="42"/>
      <c r="H22" s="42"/>
    </row>
  </sheetData>
  <mergeCells count="8">
    <mergeCell ref="I7:J7"/>
    <mergeCell ref="A20:H20"/>
    <mergeCell ref="A21:H21"/>
    <mergeCell ref="A22:H22"/>
    <mergeCell ref="A1:H1"/>
    <mergeCell ref="G5:H7"/>
    <mergeCell ref="C5:D5"/>
    <mergeCell ref="E5:F5"/>
  </mergeCells>
  <conditionalFormatting sqref="B9:B19">
    <cfRule type="cellIs" dxfId="33" priority="3" operator="lessThan">
      <formula>0</formula>
    </cfRule>
    <cfRule type="cellIs" dxfId="32" priority="4" operator="greaterThan">
      <formula>1</formula>
    </cfRule>
  </conditionalFormatting>
  <conditionalFormatting sqref="C9:C19 E9:E19 G9:G19">
    <cfRule type="cellIs" dxfId="31" priority="1" operator="lessThan">
      <formula>0</formula>
    </cfRule>
    <cfRule type="cellIs" dxfId="30" priority="2" operator="greaterThan">
      <formula>1</formula>
    </cfRule>
  </conditionalFormatting>
  <dataValidations count="1">
    <dataValidation type="decimal" allowBlank="1" showInputMessage="1" showErrorMessage="1" sqref="E7 C7 B9:B19" xr:uid="{85325902-1F90-4C0D-A708-826633BC533A}">
      <formula1>0</formula1>
      <formula2>1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7E3F-4DF8-4881-9E0C-F6CF9D352C3B}">
  <dimension ref="A1:F16"/>
  <sheetViews>
    <sheetView workbookViewId="0">
      <selection activeCell="C18" sqref="C18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9.140625" customWidth="1"/>
    <col min="4" max="4" width="12.140625" bestFit="1" customWidth="1"/>
    <col min="5" max="5" width="9.140625" customWidth="1"/>
    <col min="6" max="6" width="10.140625" bestFit="1" customWidth="1"/>
  </cols>
  <sheetData>
    <row r="1" spans="1:6" x14ac:dyDescent="0.25">
      <c r="A1" t="s">
        <v>40</v>
      </c>
      <c r="B1" t="s">
        <v>30</v>
      </c>
      <c r="C1" t="s">
        <v>39</v>
      </c>
      <c r="D1" t="s">
        <v>31</v>
      </c>
      <c r="E1" t="s">
        <v>24</v>
      </c>
      <c r="F1" t="s">
        <v>37</v>
      </c>
    </row>
    <row r="2" spans="1:6" x14ac:dyDescent="0.25">
      <c r="A2" s="5">
        <v>1</v>
      </c>
      <c r="B2" s="5">
        <v>0.8</v>
      </c>
      <c r="C2" s="5">
        <v>1</v>
      </c>
      <c r="D2" s="5">
        <v>0.2</v>
      </c>
      <c r="E2" s="15">
        <f>Table15[[#This Row],[H2 Bottle]]*Table15[[#This Row],[H2 %Analyte]] / (Table15[[#This Row],[CH4 Bottle]]*Table15[[#This Row],[CH4 %Analyte]] +Table15[[#This Row],[H2 Bottle]]* Table15[[#This Row],[H2 %Analyte]])</f>
        <v>0.2</v>
      </c>
      <c r="F2" s="15">
        <f>(Table15[[#This Row],[CH4 Bottle]]*Table15[[#This Row],[CH4 %Analyte]]+Table15[[#This Row],[H2 Bottle]]*Table15[[#This Row],[H2 %Analyte]])</f>
        <v>1</v>
      </c>
    </row>
    <row r="3" spans="1:6" x14ac:dyDescent="0.25">
      <c r="A3" s="28">
        <v>0.1</v>
      </c>
      <c r="B3" s="28">
        <v>0.48</v>
      </c>
      <c r="C3" s="29">
        <v>0.03</v>
      </c>
      <c r="D3" s="28">
        <v>0.4</v>
      </c>
      <c r="E3" s="15">
        <f>Table15[[#This Row],[H2 Bottle]]*Table15[[#This Row],[H2 %Analyte]] / (Table15[[#This Row],[CH4 Bottle]]*Table15[[#This Row],[CH4 %Analyte]] +Table15[[#This Row],[H2 Bottle]]* Table15[[#This Row],[H2 %Analyte]])</f>
        <v>0.2</v>
      </c>
      <c r="F3" s="15">
        <f>(Table15[[#This Row],[CH4 Bottle]]*Table15[[#This Row],[CH4 %Analyte]]+Table15[[#This Row],[H2 Bottle]]*Table15[[#This Row],[H2 %Analyte]])</f>
        <v>0.06</v>
      </c>
    </row>
    <row r="4" spans="1:6" x14ac:dyDescent="0.25">
      <c r="A4" s="17"/>
      <c r="B4" s="5"/>
      <c r="C4" s="17"/>
      <c r="D4" s="5"/>
      <c r="E4" s="15"/>
      <c r="F4" s="15"/>
    </row>
    <row r="5" spans="1:6" x14ac:dyDescent="0.25">
      <c r="A5" s="5">
        <v>1</v>
      </c>
      <c r="B5" s="5">
        <v>0.85</v>
      </c>
      <c r="C5" s="5">
        <v>1</v>
      </c>
      <c r="D5" s="5">
        <v>0.15</v>
      </c>
      <c r="E5" s="15">
        <f>Table15[[#This Row],[H2 Bottle]]*Table15[[#This Row],[H2 %Analyte]] / (Table15[[#This Row],[CH4 Bottle]]*Table15[[#This Row],[CH4 %Analyte]] +Table15[[#This Row],[H2 Bottle]]* Table15[[#This Row],[H2 %Analyte]])</f>
        <v>0.15</v>
      </c>
      <c r="F5" s="15">
        <f>(Table15[[#This Row],[CH4 Bottle]]*Table15[[#This Row],[CH4 %Analyte]]+Table15[[#This Row],[H2 Bottle]]*Table15[[#This Row],[H2 %Analyte]])</f>
        <v>1</v>
      </c>
    </row>
    <row r="6" spans="1:6" x14ac:dyDescent="0.25">
      <c r="A6" s="28">
        <v>0.1</v>
      </c>
      <c r="B6" s="28">
        <v>0.51</v>
      </c>
      <c r="C6" s="29">
        <v>0.03</v>
      </c>
      <c r="D6" s="28">
        <v>0.3</v>
      </c>
      <c r="E6" s="15">
        <f>Table15[[#This Row],[H2 Bottle]]*Table15[[#This Row],[H2 %Analyte]] / (Table15[[#This Row],[CH4 Bottle]]*Table15[[#This Row],[CH4 %Analyte]] +Table15[[#This Row],[H2 Bottle]]* Table15[[#This Row],[H2 %Analyte]])</f>
        <v>0.14999999999999997</v>
      </c>
      <c r="F6" s="18">
        <f>(Table15[[#This Row],[CH4 Bottle]]*Table15[[#This Row],[CH4 %Analyte]]+Table15[[#This Row],[H2 Bottle]]*Table15[[#This Row],[H2 %Analyte]])</f>
        <v>6.0000000000000005E-2</v>
      </c>
    </row>
    <row r="7" spans="1:6" s="12" customFormat="1" x14ac:dyDescent="0.25">
      <c r="A7" s="17"/>
      <c r="B7" s="5"/>
      <c r="C7" s="17"/>
      <c r="D7" s="13"/>
      <c r="E7" s="15"/>
      <c r="F7" s="15"/>
    </row>
    <row r="8" spans="1:6" x14ac:dyDescent="0.25">
      <c r="A8" s="5">
        <v>1</v>
      </c>
      <c r="B8" s="5">
        <v>0.9</v>
      </c>
      <c r="C8" s="5">
        <v>1</v>
      </c>
      <c r="D8" s="5">
        <v>0.1</v>
      </c>
      <c r="E8" s="15">
        <f>Table15[[#This Row],[H2 Bottle]]*Table15[[#This Row],[H2 %Analyte]] / (Table15[[#This Row],[CH4 Bottle]]*Table15[[#This Row],[CH4 %Analyte]] +Table15[[#This Row],[H2 Bottle]]* Table15[[#This Row],[H2 %Analyte]])</f>
        <v>0.1</v>
      </c>
      <c r="F8" s="15">
        <f>(Table15[[#This Row],[CH4 Bottle]]*Table15[[#This Row],[CH4 %Analyte]]+Table15[[#This Row],[H2 Bottle]]*Table15[[#This Row],[H2 %Analyte]])</f>
        <v>1</v>
      </c>
    </row>
    <row r="9" spans="1:6" x14ac:dyDescent="0.25">
      <c r="A9" s="19">
        <v>0.1</v>
      </c>
      <c r="B9" s="19">
        <v>0.22500000000000001</v>
      </c>
      <c r="C9" s="19">
        <v>5.0000000000000001E-3</v>
      </c>
      <c r="D9" s="19">
        <v>0.5</v>
      </c>
      <c r="E9" s="15">
        <f>Table15[[#This Row],[H2 Bottle]]*Table15[[#This Row],[H2 %Analyte]] / (Table15[[#This Row],[CH4 Bottle]]*Table15[[#This Row],[CH4 %Analyte]] +Table15[[#This Row],[H2 Bottle]]* Table15[[#This Row],[H2 %Analyte]])</f>
        <v>9.9999999999999992E-2</v>
      </c>
      <c r="F9" s="18">
        <f>(Table15[[#This Row],[CH4 Bottle]]*Table15[[#This Row],[CH4 %Analyte]]+Table15[[#This Row],[H2 Bottle]]*Table15[[#This Row],[H2 %Analyte]])</f>
        <v>2.5000000000000001E-2</v>
      </c>
    </row>
    <row r="10" spans="1:6" s="35" customFormat="1" x14ac:dyDescent="0.25">
      <c r="A10" s="17"/>
      <c r="B10" s="5"/>
      <c r="C10" s="17"/>
      <c r="D10" s="13"/>
      <c r="E10" s="15"/>
      <c r="F10" s="16"/>
    </row>
    <row r="11" spans="1:6" x14ac:dyDescent="0.25">
      <c r="A11" s="37">
        <v>0.1</v>
      </c>
      <c r="B11" s="37">
        <v>0.28499999999999998</v>
      </c>
      <c r="C11" s="38">
        <v>0.03</v>
      </c>
      <c r="D11" s="37">
        <v>0.05</v>
      </c>
      <c r="E11" s="15">
        <f>Table15[[#This Row],[H2 Bottle]]*Table15[[#This Row],[H2 %Analyte]] / (Table15[[#This Row],[CH4 Bottle]]*Table15[[#This Row],[CH4 %Analyte]] +Table15[[#This Row],[H2 Bottle]]* Table15[[#This Row],[H2 %Analyte]])</f>
        <v>0.05</v>
      </c>
      <c r="F11" s="39">
        <f>(Table15[[#This Row],[CH4 Bottle]]*Table15[[#This Row],[CH4 %Analyte]]+Table15[[#This Row],[H2 Bottle]]*Table15[[#This Row],[H2 %Analyte]])</f>
        <v>0.03</v>
      </c>
    </row>
    <row r="12" spans="1:6" x14ac:dyDescent="0.25">
      <c r="A12" s="5">
        <v>1</v>
      </c>
      <c r="B12" s="5">
        <v>0.95</v>
      </c>
      <c r="C12" s="5">
        <v>1</v>
      </c>
      <c r="D12" s="5">
        <v>0.05</v>
      </c>
      <c r="E12" s="15">
        <f>Table15[[#This Row],[H2 Bottle]]*Table15[[#This Row],[H2 %Analyte]] / (Table15[[#This Row],[CH4 Bottle]]*Table15[[#This Row],[CH4 %Analyte]] +Table15[[#This Row],[H2 Bottle]]* Table15[[#This Row],[H2 %Analyte]])</f>
        <v>0.05</v>
      </c>
      <c r="F12" s="15">
        <f>(Table15[[#This Row],[CH4 Bottle]]*Table15[[#This Row],[CH4 %Analyte]]+Table15[[#This Row],[H2 Bottle]]*Table15[[#This Row],[H2 %Analyte]])</f>
        <v>1</v>
      </c>
    </row>
    <row r="13" spans="1:6" x14ac:dyDescent="0.25">
      <c r="A13" s="26">
        <v>0.1</v>
      </c>
      <c r="B13" s="26">
        <f>47.5%/2</f>
        <v>0.23749999999999999</v>
      </c>
      <c r="C13" s="29">
        <v>5.0000000000000001E-3</v>
      </c>
      <c r="D13" s="28">
        <v>0.25</v>
      </c>
      <c r="E13" s="15">
        <f>Table15[[#This Row],[H2 Bottle]]*Table15[[#This Row],[H2 %Analyte]] / (Table15[[#This Row],[CH4 Bottle]]*Table15[[#This Row],[CH4 %Analyte]] +Table15[[#This Row],[H2 Bottle]]* Table15[[#This Row],[H2 %Analyte]])</f>
        <v>4.9999999999999996E-2</v>
      </c>
      <c r="F13" s="18">
        <f>(Table15[[#This Row],[CH4 Bottle]]*Table15[[#This Row],[CH4 %Analyte]]+Table15[[#This Row],[H2 Bottle]]*Table15[[#This Row],[H2 %Analyte]])</f>
        <v>2.5000000000000001E-2</v>
      </c>
    </row>
    <row r="14" spans="1:6" x14ac:dyDescent="0.25">
      <c r="A14" s="17"/>
      <c r="B14" s="5"/>
      <c r="C14" s="17"/>
      <c r="D14" s="13"/>
      <c r="E14" s="15"/>
      <c r="F14" s="16"/>
    </row>
    <row r="15" spans="1:6" x14ac:dyDescent="0.25">
      <c r="A15" s="5">
        <v>1</v>
      </c>
      <c r="B15" s="5">
        <v>1</v>
      </c>
      <c r="C15" s="17"/>
      <c r="D15" s="5">
        <v>0</v>
      </c>
      <c r="E15" s="15">
        <f>Table15[[#This Row],[H2 Bottle]]*Table15[[#This Row],[H2 %Analyte]] / (Table15[[#This Row],[CH4 Bottle]]*Table15[[#This Row],[CH4 %Analyte]] +Table15[[#This Row],[H2 Bottle]]* Table15[[#This Row],[H2 %Analyte]])</f>
        <v>0</v>
      </c>
      <c r="F15" s="15">
        <f>(Table15[[#This Row],[CH4 Bottle]]*Table15[[#This Row],[CH4 %Analyte]]+Table15[[#This Row],[H2 Bottle]]*Table15[[#This Row],[H2 %Analyte]])</f>
        <v>1</v>
      </c>
    </row>
    <row r="16" spans="1:6" x14ac:dyDescent="0.25">
      <c r="A16" s="20">
        <v>2.5000000000000001E-2</v>
      </c>
      <c r="B16" s="21">
        <v>1</v>
      </c>
      <c r="C16" s="20"/>
      <c r="D16" s="13">
        <v>0</v>
      </c>
      <c r="E16" s="15">
        <f>Table15[[#This Row],[H2 Bottle]]*Table15[[#This Row],[H2 %Analyte]] / (Table15[[#This Row],[CH4 Bottle]]*Table15[[#This Row],[CH4 %Analyte]] +Table15[[#This Row],[H2 Bottle]]* Table15[[#This Row],[H2 %Analyte]])</f>
        <v>0</v>
      </c>
      <c r="F16" s="22">
        <f>(Table15[[#This Row],[CH4 Bottle]]*Table15[[#This Row],[CH4 %Analyte]]+Table15[[#This Row],[H2 Bottle]]*Table15[[#This Row],[H2 %Analyte]])</f>
        <v>2.5000000000000001E-2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EEB4-BA95-48BB-9D6A-B5D59C875C9A}">
  <dimension ref="A1:K33"/>
  <sheetViews>
    <sheetView workbookViewId="0">
      <selection activeCell="K6" sqref="K6"/>
    </sheetView>
  </sheetViews>
  <sheetFormatPr defaultRowHeight="15" x14ac:dyDescent="0.25"/>
  <cols>
    <col min="1" max="1" width="13" bestFit="1" customWidth="1"/>
    <col min="2" max="2" width="10.42578125" bestFit="1" customWidth="1"/>
    <col min="3" max="3" width="10.5703125" customWidth="1"/>
    <col min="4" max="4" width="11.28515625" bestFit="1" customWidth="1"/>
    <col min="5" max="5" width="10.5703125" customWidth="1"/>
    <col min="6" max="6" width="11.28515625" bestFit="1" customWidth="1"/>
    <col min="7" max="7" width="10.5703125" customWidth="1"/>
    <col min="8" max="8" width="11.28515625" bestFit="1" customWidth="1"/>
    <col min="9" max="9" width="10.5703125" customWidth="1"/>
    <col min="10" max="10" width="11.28515625" bestFit="1" customWidth="1"/>
    <col min="11" max="11" width="10.42578125" bestFit="1" customWidth="1"/>
  </cols>
  <sheetData>
    <row r="1" spans="1:11" x14ac:dyDescent="0.25">
      <c r="A1" t="s">
        <v>2</v>
      </c>
      <c r="B1" s="3">
        <v>300</v>
      </c>
    </row>
    <row r="2" spans="1:11" x14ac:dyDescent="0.25">
      <c r="C2" s="46" t="s">
        <v>18</v>
      </c>
      <c r="D2" s="46"/>
      <c r="E2" s="46" t="s">
        <v>19</v>
      </c>
      <c r="F2" s="46"/>
      <c r="G2" s="46" t="s">
        <v>6</v>
      </c>
      <c r="H2" s="46"/>
      <c r="I2" s="46" t="s">
        <v>7</v>
      </c>
      <c r="J2" s="46"/>
    </row>
    <row r="3" spans="1:11" x14ac:dyDescent="0.25">
      <c r="B3" t="s">
        <v>5</v>
      </c>
      <c r="C3" s="45">
        <v>1</v>
      </c>
      <c r="D3" s="45"/>
      <c r="E3" s="45">
        <v>0.04</v>
      </c>
      <c r="F3" s="45"/>
      <c r="G3" s="45">
        <v>0</v>
      </c>
      <c r="H3" s="45"/>
      <c r="I3" s="45">
        <v>0</v>
      </c>
      <c r="J3" s="45"/>
      <c r="K3" s="5"/>
    </row>
    <row r="4" spans="1:11" x14ac:dyDescent="0.25">
      <c r="B4" t="s">
        <v>4</v>
      </c>
      <c r="C4" s="45">
        <v>0</v>
      </c>
      <c r="D4" s="45"/>
      <c r="E4" s="45">
        <v>0</v>
      </c>
      <c r="F4" s="45"/>
      <c r="G4" s="45">
        <v>1</v>
      </c>
      <c r="H4" s="45"/>
      <c r="I4" s="45">
        <v>0.2</v>
      </c>
      <c r="J4" s="45"/>
      <c r="K4" s="5"/>
    </row>
    <row r="5" spans="1:11" ht="30" customHeight="1" x14ac:dyDescent="0.25">
      <c r="A5" s="6" t="s">
        <v>17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3</v>
      </c>
    </row>
    <row r="6" spans="1:11" x14ac:dyDescent="0.25">
      <c r="A6" s="7">
        <v>0</v>
      </c>
      <c r="B6" s="8">
        <v>0.2</v>
      </c>
      <c r="D6" t="str">
        <f>IF(Table1[[#This Row],[MFC1 (%)]] &lt;&gt; 0, Table1[[#This Row],[MFC1 (%)]]*MassFlow, "")</f>
        <v/>
      </c>
      <c r="F6" t="str">
        <f>IF(Table1[[#This Row],[MFC2 (%)]] &lt;&gt; 0, Table1[[#This Row],[MFC2 (%)]]*MassFlow, "")</f>
        <v/>
      </c>
      <c r="H6" t="str">
        <f>IF(Table1[[#This Row],[MFC3 (%)]] &lt;&gt; 0, Table1[[#This Row],[MFC3 (%)]]*MassFlow, "")</f>
        <v/>
      </c>
      <c r="I6" s="9">
        <f>100%-Table1[[#This Row],[MFC1 (%)]]-Table1[[#This Row],[MFC2 (%)]]-Table1[[#This Row],[MFC3 (%)]]</f>
        <v>1</v>
      </c>
      <c r="J6">
        <f>IF(Table1[[#This Row],[MFC4 (%)]]&lt;&gt; 0, Table1[[#This Row],[MFC4 (%)]]*MassFlow, "")</f>
        <v>300</v>
      </c>
      <c r="K6" s="9">
        <f>Table1[[#This Row],[MFC1 (%)]]*$C$4+Table1[[#This Row],[MFC2 (%)]]*$E$4+Table1[[#This Row],[MFC3 (%)]]*$G$4+Table1[[#This Row],[MFC4 (%)]]*$I$4</f>
        <v>0.2</v>
      </c>
    </row>
    <row r="7" spans="1:11" x14ac:dyDescent="0.25">
      <c r="A7" s="7">
        <v>5.0000000000000001E-3</v>
      </c>
      <c r="B7" s="8">
        <v>0.2</v>
      </c>
      <c r="C7" s="1"/>
      <c r="D7" t="str">
        <f>IF(Table1[[#This Row],[MFC1 (%)]] &lt;&gt; 0, Table1[[#This Row],[MFC1 (%)]]*MassFlow, "")</f>
        <v/>
      </c>
      <c r="E7" s="10">
        <f>Table1[[#This Row],[Desired Analyte]]/$E$3</f>
        <v>0.125</v>
      </c>
      <c r="F7">
        <f>IF(Table1[[#This Row],[MFC2 (%)]] &lt;&gt; 0, Table1[[#This Row],[MFC2 (%)]]*MassFlow, "")</f>
        <v>37.5</v>
      </c>
      <c r="G7" s="9">
        <v>3.1199999999999999E-2</v>
      </c>
      <c r="H7">
        <f>IF(Table1[[#This Row],[MFC3 (%)]] &lt;&gt; 0, Table1[[#This Row],[MFC3 (%)]]*MassFlow, "")</f>
        <v>9.36</v>
      </c>
      <c r="I7" s="9">
        <f>100%-Table1[[#This Row],[MFC1 (%)]]-Table1[[#This Row],[MFC2 (%)]]-Table1[[#This Row],[MFC3 (%)]]</f>
        <v>0.84379999999999999</v>
      </c>
      <c r="J7">
        <f>IF(Table1[[#This Row],[MFC4 (%)]]&lt;&gt; 0, Table1[[#This Row],[MFC4 (%)]]*MassFlow, "")</f>
        <v>253.14</v>
      </c>
      <c r="K7" s="9">
        <f>Table1[[#This Row],[MFC1 (%)]]*$C$4+Table1[[#This Row],[MFC2 (%)]]*$E$4+Table1[[#This Row],[MFC3 (%)]]*$G$4+Table1[[#This Row],[MFC4 (%)]]*$I$4</f>
        <v>0.19996000000000003</v>
      </c>
    </row>
    <row r="8" spans="1:11" x14ac:dyDescent="0.25">
      <c r="A8" s="7">
        <v>0.01</v>
      </c>
      <c r="B8" s="8">
        <v>0.2</v>
      </c>
      <c r="C8" s="1"/>
      <c r="D8" t="str">
        <f>IF(Table1[[#This Row],[MFC1 (%)]] &lt;&gt; 0, Table1[[#This Row],[MFC1 (%)]]*MassFlow, "")</f>
        <v/>
      </c>
      <c r="E8" s="10">
        <f>Table1[[#This Row],[Desired Analyte]]/$E$3</f>
        <v>0.25</v>
      </c>
      <c r="F8">
        <f>IF(Table1[[#This Row],[MFC2 (%)]] &lt;&gt; 0, Table1[[#This Row],[MFC2 (%)]]*MassFlow, "")</f>
        <v>75</v>
      </c>
      <c r="G8" s="9">
        <v>6.25E-2</v>
      </c>
      <c r="H8">
        <f>IF(Table1[[#This Row],[MFC3 (%)]] &lt;&gt; 0, Table1[[#This Row],[MFC3 (%)]]*MassFlow, "")</f>
        <v>18.75</v>
      </c>
      <c r="I8" s="9">
        <f>100%-Table1[[#This Row],[MFC1 (%)]]-Table1[[#This Row],[MFC2 (%)]]-Table1[[#This Row],[MFC3 (%)]]</f>
        <v>0.6875</v>
      </c>
      <c r="J8">
        <f>IF(Table1[[#This Row],[MFC4 (%)]]&lt;&gt; 0, Table1[[#This Row],[MFC4 (%)]]*MassFlow, "")</f>
        <v>206.25</v>
      </c>
      <c r="K8" s="9">
        <f>Table1[[#This Row],[MFC1 (%)]]*$C$4+Table1[[#This Row],[MFC2 (%)]]*$E$4+Table1[[#This Row],[MFC3 (%)]]*$G$4+Table1[[#This Row],[MFC4 (%)]]*$I$4</f>
        <v>0.2</v>
      </c>
    </row>
    <row r="9" spans="1:11" x14ac:dyDescent="0.25">
      <c r="A9" s="7">
        <v>1.0999999999999999E-2</v>
      </c>
      <c r="B9" s="8">
        <v>0.2</v>
      </c>
      <c r="C9" s="1"/>
      <c r="D9" t="str">
        <f>IF(Table1[[#This Row],[MFC1 (%)]] &lt;&gt; 0, Table1[[#This Row],[MFC1 (%)]]*MassFlow, "")</f>
        <v/>
      </c>
      <c r="E9" s="10">
        <f>Table1[[#This Row],[Desired Analyte]]/$E$3</f>
        <v>0.27499999999999997</v>
      </c>
      <c r="F9">
        <f>IF(Table1[[#This Row],[MFC2 (%)]] &lt;&gt; 0, Table1[[#This Row],[MFC2 (%)]]*MassFlow, "")</f>
        <v>82.499999999999986</v>
      </c>
      <c r="G9" s="9">
        <v>6.8750000000000006E-2</v>
      </c>
      <c r="H9">
        <f>IF(Table1[[#This Row],[MFC3 (%)]] &lt;&gt; 0, Table1[[#This Row],[MFC3 (%)]]*MassFlow, "")</f>
        <v>20.625</v>
      </c>
      <c r="I9" s="9">
        <f>100%-Table1[[#This Row],[MFC1 (%)]]-Table1[[#This Row],[MFC2 (%)]]-Table1[[#This Row],[MFC3 (%)]]</f>
        <v>0.65625000000000011</v>
      </c>
      <c r="J9">
        <f>IF(Table1[[#This Row],[MFC4 (%)]]&lt;&gt; 0, Table1[[#This Row],[MFC4 (%)]]*MassFlow, "")</f>
        <v>196.87500000000003</v>
      </c>
      <c r="K9" s="9">
        <f>Table1[[#This Row],[MFC1 (%)]]*$C$4+Table1[[#This Row],[MFC2 (%)]]*$E$4+Table1[[#This Row],[MFC3 (%)]]*$G$4+Table1[[#This Row],[MFC4 (%)]]*$I$4</f>
        <v>0.20000000000000004</v>
      </c>
    </row>
    <row r="10" spans="1:11" x14ac:dyDescent="0.25">
      <c r="A10" s="7">
        <v>1.2E-2</v>
      </c>
      <c r="B10" s="8">
        <v>0.2</v>
      </c>
      <c r="C10" s="1"/>
      <c r="D10" t="str">
        <f>IF(Table1[[#This Row],[MFC1 (%)]] &lt;&gt; 0, Table1[[#This Row],[MFC1 (%)]]*MassFlow, "")</f>
        <v/>
      </c>
      <c r="E10" s="10">
        <f>Table1[[#This Row],[Desired Analyte]]/$E$3</f>
        <v>0.3</v>
      </c>
      <c r="F10">
        <f>IF(Table1[[#This Row],[MFC2 (%)]] &lt;&gt; 0, Table1[[#This Row],[MFC2 (%)]]*MassFlow, "")</f>
        <v>90</v>
      </c>
      <c r="G10" s="9">
        <v>7.4999999999999997E-2</v>
      </c>
      <c r="H10">
        <f>IF(Table1[[#This Row],[MFC3 (%)]] &lt;&gt; 0, Table1[[#This Row],[MFC3 (%)]]*MassFlow, "")</f>
        <v>22.5</v>
      </c>
      <c r="I10" s="9">
        <f>100%-Table1[[#This Row],[MFC1 (%)]]-Table1[[#This Row],[MFC2 (%)]]-Table1[[#This Row],[MFC3 (%)]]</f>
        <v>0.625</v>
      </c>
      <c r="J10">
        <f>IF(Table1[[#This Row],[MFC4 (%)]]&lt;&gt; 0, Table1[[#This Row],[MFC4 (%)]]*MassFlow, "")</f>
        <v>187.5</v>
      </c>
      <c r="K10" s="9">
        <f>Table1[[#This Row],[MFC1 (%)]]*$C$4+Table1[[#This Row],[MFC2 (%)]]*$E$4+Table1[[#This Row],[MFC3 (%)]]*$G$4+Table1[[#This Row],[MFC4 (%)]]*$I$4</f>
        <v>0.2</v>
      </c>
    </row>
    <row r="11" spans="1:11" x14ac:dyDescent="0.25">
      <c r="A11" s="7">
        <v>1.2999999999999999E-2</v>
      </c>
      <c r="B11" s="8">
        <v>0.2</v>
      </c>
      <c r="C11" s="1"/>
      <c r="D11" t="str">
        <f>IF(Table1[[#This Row],[MFC1 (%)]] &lt;&gt; 0, Table1[[#This Row],[MFC1 (%)]]*MassFlow, "")</f>
        <v/>
      </c>
      <c r="E11" s="10">
        <f>Table1[[#This Row],[Desired Analyte]]/$E$3</f>
        <v>0.32499999999999996</v>
      </c>
      <c r="F11">
        <f>IF(Table1[[#This Row],[MFC2 (%)]] &lt;&gt; 0, Table1[[#This Row],[MFC2 (%)]]*MassFlow, "")</f>
        <v>97.499999999999986</v>
      </c>
      <c r="G11" s="9">
        <v>8.1250000000000003E-2</v>
      </c>
      <c r="H11">
        <f>IF(Table1[[#This Row],[MFC3 (%)]] &lt;&gt; 0, Table1[[#This Row],[MFC3 (%)]]*MassFlow, "")</f>
        <v>24.375</v>
      </c>
      <c r="I11" s="9">
        <f>100%-Table1[[#This Row],[MFC1 (%)]]-Table1[[#This Row],[MFC2 (%)]]-Table1[[#This Row],[MFC3 (%)]]</f>
        <v>0.59375</v>
      </c>
      <c r="J11">
        <f>IF(Table1[[#This Row],[MFC4 (%)]]&lt;&gt; 0, Table1[[#This Row],[MFC4 (%)]]*MassFlow, "")</f>
        <v>178.125</v>
      </c>
      <c r="K11" s="9">
        <f>Table1[[#This Row],[MFC1 (%)]]*$C$4+Table1[[#This Row],[MFC2 (%)]]*$E$4+Table1[[#This Row],[MFC3 (%)]]*$G$4+Table1[[#This Row],[MFC4 (%)]]*$I$4</f>
        <v>0.2</v>
      </c>
    </row>
    <row r="12" spans="1:11" x14ac:dyDescent="0.25">
      <c r="A12" s="7">
        <v>1.4E-2</v>
      </c>
      <c r="B12" s="8">
        <v>0.2</v>
      </c>
      <c r="C12" s="1"/>
      <c r="D12" t="str">
        <f>IF(Table1[[#This Row],[MFC1 (%)]] &lt;&gt; 0, Table1[[#This Row],[MFC1 (%)]]*MassFlow, "")</f>
        <v/>
      </c>
      <c r="E12" s="10">
        <f>Table1[[#This Row],[Desired Analyte]]/$E$3</f>
        <v>0.35</v>
      </c>
      <c r="F12">
        <f>IF(Table1[[#This Row],[MFC2 (%)]] &lt;&gt; 0, Table1[[#This Row],[MFC2 (%)]]*MassFlow, "")</f>
        <v>105</v>
      </c>
      <c r="G12" s="9">
        <v>8.7499999999999994E-2</v>
      </c>
      <c r="H12">
        <f>IF(Table1[[#This Row],[MFC3 (%)]] &lt;&gt; 0, Table1[[#This Row],[MFC3 (%)]]*MassFlow, "")</f>
        <v>26.25</v>
      </c>
      <c r="I12" s="9">
        <f>100%-Table1[[#This Row],[MFC1 (%)]]-Table1[[#This Row],[MFC2 (%)]]-Table1[[#This Row],[MFC3 (%)]]</f>
        <v>0.5625</v>
      </c>
      <c r="J12">
        <f>IF(Table1[[#This Row],[MFC4 (%)]]&lt;&gt; 0, Table1[[#This Row],[MFC4 (%)]]*MassFlow, "")</f>
        <v>168.75</v>
      </c>
      <c r="K12" s="9">
        <f>Table1[[#This Row],[MFC1 (%)]]*$C$4+Table1[[#This Row],[MFC2 (%)]]*$E$4+Table1[[#This Row],[MFC3 (%)]]*$G$4+Table1[[#This Row],[MFC4 (%)]]*$I$4</f>
        <v>0.2</v>
      </c>
    </row>
    <row r="13" spans="1:11" x14ac:dyDescent="0.25">
      <c r="A13" s="7">
        <v>1.4999999999999999E-2</v>
      </c>
      <c r="B13" s="8">
        <v>0.2</v>
      </c>
      <c r="C13" s="1"/>
      <c r="D13" t="str">
        <f>IF(Table1[[#This Row],[MFC1 (%)]] &lt;&gt; 0, Table1[[#This Row],[MFC1 (%)]]*MassFlow, "")</f>
        <v/>
      </c>
      <c r="E13" s="10">
        <f>Table1[[#This Row],[Desired Analyte]]/$E$3</f>
        <v>0.375</v>
      </c>
      <c r="F13">
        <f>IF(Table1[[#This Row],[MFC2 (%)]] &lt;&gt; 0, Table1[[#This Row],[MFC2 (%)]]*MassFlow, "")</f>
        <v>112.5</v>
      </c>
      <c r="G13" s="9">
        <v>9.375E-2</v>
      </c>
      <c r="H13">
        <f>IF(Table1[[#This Row],[MFC3 (%)]] &lt;&gt; 0, Table1[[#This Row],[MFC3 (%)]]*MassFlow, "")</f>
        <v>28.125</v>
      </c>
      <c r="I13" s="9">
        <f>100%-Table1[[#This Row],[MFC1 (%)]]-Table1[[#This Row],[MFC2 (%)]]-Table1[[#This Row],[MFC3 (%)]]</f>
        <v>0.53125</v>
      </c>
      <c r="J13">
        <f>IF(Table1[[#This Row],[MFC4 (%)]]&lt;&gt; 0, Table1[[#This Row],[MFC4 (%)]]*MassFlow, "")</f>
        <v>159.375</v>
      </c>
      <c r="K13" s="9">
        <f>Table1[[#This Row],[MFC1 (%)]]*$C$4+Table1[[#This Row],[MFC2 (%)]]*$E$4+Table1[[#This Row],[MFC3 (%)]]*$G$4+Table1[[#This Row],[MFC4 (%)]]*$I$4</f>
        <v>0.2</v>
      </c>
    </row>
    <row r="14" spans="1:11" x14ac:dyDescent="0.25">
      <c r="A14" s="7">
        <v>1.6E-2</v>
      </c>
      <c r="B14" s="8">
        <v>0.2</v>
      </c>
      <c r="C14" s="1"/>
      <c r="D14" t="str">
        <f>IF(Table1[[#This Row],[MFC1 (%)]] &lt;&gt; 0, Table1[[#This Row],[MFC1 (%)]]*MassFlow, "")</f>
        <v/>
      </c>
      <c r="E14" s="10">
        <f>Table1[[#This Row],[Desired Analyte]]/$E$3</f>
        <v>0.4</v>
      </c>
      <c r="F14">
        <f>IF(Table1[[#This Row],[MFC2 (%)]] &lt;&gt; 0, Table1[[#This Row],[MFC2 (%)]]*MassFlow, "")</f>
        <v>120</v>
      </c>
      <c r="G14" s="9">
        <v>0.1</v>
      </c>
      <c r="H14">
        <f>IF(Table1[[#This Row],[MFC3 (%)]] &lt;&gt; 0, Table1[[#This Row],[MFC3 (%)]]*MassFlow, "")</f>
        <v>30</v>
      </c>
      <c r="I14" s="9">
        <f>100%-Table1[[#This Row],[MFC1 (%)]]-Table1[[#This Row],[MFC2 (%)]]-Table1[[#This Row],[MFC3 (%)]]</f>
        <v>0.5</v>
      </c>
      <c r="J14">
        <f>IF(Table1[[#This Row],[MFC4 (%)]]&lt;&gt; 0, Table1[[#This Row],[MFC4 (%)]]*MassFlow, "")</f>
        <v>150</v>
      </c>
      <c r="K14" s="9">
        <f>Table1[[#This Row],[MFC1 (%)]]*$C$4+Table1[[#This Row],[MFC2 (%)]]*$E$4+Table1[[#This Row],[MFC3 (%)]]*$G$4+Table1[[#This Row],[MFC4 (%)]]*$I$4</f>
        <v>0.2</v>
      </c>
    </row>
    <row r="15" spans="1:11" x14ac:dyDescent="0.25">
      <c r="A15" s="7">
        <v>1.7000000000000001E-2</v>
      </c>
      <c r="B15" s="8">
        <v>0.2</v>
      </c>
      <c r="C15" s="1"/>
      <c r="D15" t="str">
        <f>IF(Table1[[#This Row],[MFC1 (%)]] &lt;&gt; 0, Table1[[#This Row],[MFC1 (%)]]*MassFlow, "")</f>
        <v/>
      </c>
      <c r="E15" s="10">
        <f>Table1[[#This Row],[Desired Analyte]]/$E$3</f>
        <v>0.42500000000000004</v>
      </c>
      <c r="F15">
        <f>IF(Table1[[#This Row],[MFC2 (%)]] &lt;&gt; 0, Table1[[#This Row],[MFC2 (%)]]*MassFlow, "")</f>
        <v>127.50000000000001</v>
      </c>
      <c r="G15" s="9">
        <v>0.10630000000000001</v>
      </c>
      <c r="H15">
        <f>IF(Table1[[#This Row],[MFC3 (%)]] &lt;&gt; 0, Table1[[#This Row],[MFC3 (%)]]*MassFlow, "")</f>
        <v>31.89</v>
      </c>
      <c r="I15" s="9">
        <f>100%-Table1[[#This Row],[MFC1 (%)]]-Table1[[#This Row],[MFC2 (%)]]-Table1[[#This Row],[MFC3 (%)]]</f>
        <v>0.46869999999999995</v>
      </c>
      <c r="J15">
        <f>IF(Table1[[#This Row],[MFC4 (%)]]&lt;&gt; 0, Table1[[#This Row],[MFC4 (%)]]*MassFlow, "")</f>
        <v>140.60999999999999</v>
      </c>
      <c r="K15" s="9">
        <f>Table1[[#This Row],[MFC1 (%)]]*$C$4+Table1[[#This Row],[MFC2 (%)]]*$E$4+Table1[[#This Row],[MFC3 (%)]]*$G$4+Table1[[#This Row],[MFC4 (%)]]*$I$4</f>
        <v>0.20004</v>
      </c>
    </row>
    <row r="16" spans="1:11" x14ac:dyDescent="0.25">
      <c r="A16" s="7">
        <v>1.7999999999999999E-2</v>
      </c>
      <c r="B16" s="8">
        <v>0.2</v>
      </c>
      <c r="C16" s="1"/>
      <c r="D16" t="str">
        <f>IF(Table1[[#This Row],[MFC1 (%)]] &lt;&gt; 0, Table1[[#This Row],[MFC1 (%)]]*MassFlow, "")</f>
        <v/>
      </c>
      <c r="E16" s="10">
        <f>Table1[[#This Row],[Desired Analyte]]/$E$3</f>
        <v>0.44999999999999996</v>
      </c>
      <c r="F16">
        <f>IF(Table1[[#This Row],[MFC2 (%)]] &lt;&gt; 0, Table1[[#This Row],[MFC2 (%)]]*MassFlow, "")</f>
        <v>135</v>
      </c>
      <c r="G16" s="9">
        <v>0.1125</v>
      </c>
      <c r="H16">
        <f>IF(Table1[[#This Row],[MFC3 (%)]] &lt;&gt; 0, Table1[[#This Row],[MFC3 (%)]]*MassFlow, "")</f>
        <v>33.75</v>
      </c>
      <c r="I16" s="9">
        <f>100%-Table1[[#This Row],[MFC1 (%)]]-Table1[[#This Row],[MFC2 (%)]]-Table1[[#This Row],[MFC3 (%)]]</f>
        <v>0.43750000000000006</v>
      </c>
      <c r="J16">
        <f>IF(Table1[[#This Row],[MFC4 (%)]]&lt;&gt; 0, Table1[[#This Row],[MFC4 (%)]]*MassFlow, "")</f>
        <v>131.25000000000003</v>
      </c>
      <c r="K16" s="9">
        <f>Table1[[#This Row],[MFC1 (%)]]*$C$4+Table1[[#This Row],[MFC2 (%)]]*$E$4+Table1[[#This Row],[MFC3 (%)]]*$G$4+Table1[[#This Row],[MFC4 (%)]]*$I$4</f>
        <v>0.2</v>
      </c>
    </row>
    <row r="17" spans="1:11" x14ac:dyDescent="0.25">
      <c r="A17" s="7">
        <v>1.9E-2</v>
      </c>
      <c r="B17" s="8">
        <v>0.2</v>
      </c>
      <c r="C17" s="1"/>
      <c r="D17" t="str">
        <f>IF(Table1[[#This Row],[MFC1 (%)]] &lt;&gt; 0, Table1[[#This Row],[MFC1 (%)]]*MassFlow, "")</f>
        <v/>
      </c>
      <c r="E17" s="10">
        <f>Table1[[#This Row],[Desired Analyte]]/$E$3</f>
        <v>0.47499999999999998</v>
      </c>
      <c r="F17">
        <f>IF(Table1[[#This Row],[MFC2 (%)]] &lt;&gt; 0, Table1[[#This Row],[MFC2 (%)]]*MassFlow, "")</f>
        <v>142.5</v>
      </c>
      <c r="G17" s="9">
        <v>0.11874999999999999</v>
      </c>
      <c r="H17">
        <f>IF(Table1[[#This Row],[MFC3 (%)]] &lt;&gt; 0, Table1[[#This Row],[MFC3 (%)]]*MassFlow, "")</f>
        <v>35.625</v>
      </c>
      <c r="I17" s="9">
        <f>100%-Table1[[#This Row],[MFC1 (%)]]-Table1[[#This Row],[MFC2 (%)]]-Table1[[#This Row],[MFC3 (%)]]</f>
        <v>0.40625</v>
      </c>
      <c r="J17">
        <f>IF(Table1[[#This Row],[MFC4 (%)]]&lt;&gt; 0, Table1[[#This Row],[MFC4 (%)]]*MassFlow, "")</f>
        <v>121.875</v>
      </c>
      <c r="K17" s="9">
        <f>Table1[[#This Row],[MFC1 (%)]]*$C$4+Table1[[#This Row],[MFC2 (%)]]*$E$4+Table1[[#This Row],[MFC3 (%)]]*$G$4+Table1[[#This Row],[MFC4 (%)]]*$I$4</f>
        <v>0.2</v>
      </c>
    </row>
    <row r="18" spans="1:11" x14ac:dyDescent="0.25">
      <c r="A18" s="7">
        <v>0.02</v>
      </c>
      <c r="B18" s="8">
        <v>0.2</v>
      </c>
      <c r="C18" s="1"/>
      <c r="D18" t="str">
        <f>IF(Table1[[#This Row],[MFC1 (%)]] &lt;&gt; 0, Table1[[#This Row],[MFC1 (%)]]*MassFlow, "")</f>
        <v/>
      </c>
      <c r="E18" s="10">
        <f>Table1[[#This Row],[Desired Analyte]]/$E$3</f>
        <v>0.5</v>
      </c>
      <c r="F18">
        <f>IF(Table1[[#This Row],[MFC2 (%)]] &lt;&gt; 0, Table1[[#This Row],[MFC2 (%)]]*MassFlow, "")</f>
        <v>150</v>
      </c>
      <c r="G18" s="9">
        <v>0.125</v>
      </c>
      <c r="H18">
        <f>IF(Table1[[#This Row],[MFC3 (%)]] &lt;&gt; 0, Table1[[#This Row],[MFC3 (%)]]*MassFlow, "")</f>
        <v>37.5</v>
      </c>
      <c r="I18" s="9">
        <f>100%-Table1[[#This Row],[MFC1 (%)]]-Table1[[#This Row],[MFC2 (%)]]-Table1[[#This Row],[MFC3 (%)]]</f>
        <v>0.375</v>
      </c>
      <c r="J18">
        <f>IF(Table1[[#This Row],[MFC4 (%)]]&lt;&gt; 0, Table1[[#This Row],[MFC4 (%)]]*MassFlow, "")</f>
        <v>112.5</v>
      </c>
      <c r="K18" s="9">
        <f>Table1[[#This Row],[MFC1 (%)]]*$C$4+Table1[[#This Row],[MFC2 (%)]]*$E$4+Table1[[#This Row],[MFC3 (%)]]*$G$4+Table1[[#This Row],[MFC4 (%)]]*$I$4</f>
        <v>0.2</v>
      </c>
    </row>
    <row r="19" spans="1:11" x14ac:dyDescent="0.25">
      <c r="A19" s="7">
        <v>0.03</v>
      </c>
      <c r="B19" s="8">
        <v>0.2</v>
      </c>
      <c r="C19" s="1"/>
      <c r="D19" t="str">
        <f>IF(Table1[[#This Row],[MFC1 (%)]] &lt;&gt; 0, Table1[[#This Row],[MFC1 (%)]]*MassFlow, "")</f>
        <v/>
      </c>
      <c r="E19" s="10">
        <f>Table1[[#This Row],[Desired Analyte]]/$E$3</f>
        <v>0.75</v>
      </c>
      <c r="F19">
        <f>IF(Table1[[#This Row],[MFC2 (%)]] &lt;&gt; 0, Table1[[#This Row],[MFC2 (%)]]*MassFlow, "")</f>
        <v>225</v>
      </c>
      <c r="G19" s="9">
        <v>0.1875</v>
      </c>
      <c r="H19">
        <f>IF(Table1[[#This Row],[MFC3 (%)]] &lt;&gt; 0, Table1[[#This Row],[MFC3 (%)]]*MassFlow, "")</f>
        <v>56.25</v>
      </c>
      <c r="I19" s="9">
        <f>100%-Table1[[#This Row],[MFC1 (%)]]-Table1[[#This Row],[MFC2 (%)]]-Table1[[#This Row],[MFC3 (%)]]</f>
        <v>6.25E-2</v>
      </c>
      <c r="J19">
        <f>IF(Table1[[#This Row],[MFC4 (%)]]&lt;&gt; 0, Table1[[#This Row],[MFC4 (%)]]*MassFlow, "")</f>
        <v>18.75</v>
      </c>
      <c r="K19" s="9">
        <f>Table1[[#This Row],[MFC1 (%)]]*$C$4+Table1[[#This Row],[MFC2 (%)]]*$E$4+Table1[[#This Row],[MFC3 (%)]]*$G$4+Table1[[#This Row],[MFC4 (%)]]*$I$4</f>
        <v>0.2</v>
      </c>
    </row>
    <row r="20" spans="1:11" x14ac:dyDescent="0.25">
      <c r="A20" s="7">
        <v>0.04</v>
      </c>
      <c r="B20" s="8">
        <v>0.2</v>
      </c>
      <c r="C20" s="1">
        <v>0.04</v>
      </c>
      <c r="D20">
        <f>IF(Table1[[#This Row],[MFC1 (%)]] &lt;&gt; 0, Table1[[#This Row],[MFC1 (%)]]*MassFlow, "")</f>
        <v>12</v>
      </c>
      <c r="E20" s="10"/>
      <c r="F20" t="str">
        <f>IF(Table1[[#This Row],[MFC2 (%)]] &lt;&gt; 0, Table1[[#This Row],[MFC2 (%)]]*MassFlow, "")</f>
        <v/>
      </c>
      <c r="G20" s="9">
        <v>0.01</v>
      </c>
      <c r="H20">
        <f>IF(Table1[[#This Row],[MFC3 (%)]] &lt;&gt; 0, Table1[[#This Row],[MFC3 (%)]]*MassFlow, "")</f>
        <v>3</v>
      </c>
      <c r="I20" s="9">
        <f>100%-Table1[[#This Row],[MFC1 (%)]]-Table1[[#This Row],[MFC2 (%)]]-Table1[[#This Row],[MFC3 (%)]]</f>
        <v>0.95</v>
      </c>
      <c r="J20">
        <f>IF(Table1[[#This Row],[MFC4 (%)]]&lt;&gt; 0, Table1[[#This Row],[MFC4 (%)]]*MassFlow, "")</f>
        <v>285</v>
      </c>
      <c r="K20" s="9">
        <f>Table1[[#This Row],[MFC1 (%)]]*$C$4+Table1[[#This Row],[MFC2 (%)]]*$E$4+Table1[[#This Row],[MFC3 (%)]]*$G$4+Table1[[#This Row],[MFC4 (%)]]*$I$4</f>
        <v>0.2</v>
      </c>
    </row>
    <row r="21" spans="1:11" x14ac:dyDescent="0.25">
      <c r="A21" s="7">
        <v>0.05</v>
      </c>
      <c r="B21" s="8">
        <v>0.2</v>
      </c>
      <c r="C21" s="1">
        <v>0.05</v>
      </c>
      <c r="D21">
        <f>IF(Table1[[#This Row],[MFC1 (%)]] &lt;&gt; 0, Table1[[#This Row],[MFC1 (%)]]*MassFlow, "")</f>
        <v>15</v>
      </c>
      <c r="E21" s="10"/>
      <c r="F21" t="str">
        <f>IF(Table1[[#This Row],[MFC2 (%)]] &lt;&gt; 0, Table1[[#This Row],[MFC2 (%)]]*MassFlow, "")</f>
        <v/>
      </c>
      <c r="G21" s="9">
        <v>1.2500000000000001E-2</v>
      </c>
      <c r="H21">
        <f>IF(Table1[[#This Row],[MFC3 (%)]] &lt;&gt; 0, Table1[[#This Row],[MFC3 (%)]]*MassFlow, "")</f>
        <v>3.75</v>
      </c>
      <c r="I21" s="9">
        <f>100%-Table1[[#This Row],[MFC1 (%)]]-Table1[[#This Row],[MFC2 (%)]]-Table1[[#This Row],[MFC3 (%)]]</f>
        <v>0.9375</v>
      </c>
      <c r="J21">
        <f>IF(Table1[[#This Row],[MFC4 (%)]]&lt;&gt; 0, Table1[[#This Row],[MFC4 (%)]]*MassFlow, "")</f>
        <v>281.25</v>
      </c>
      <c r="K21" s="9">
        <f>Table1[[#This Row],[MFC1 (%)]]*$C$4+Table1[[#This Row],[MFC2 (%)]]*$E$4+Table1[[#This Row],[MFC3 (%)]]*$G$4+Table1[[#This Row],[MFC4 (%)]]*$I$4</f>
        <v>0.2</v>
      </c>
    </row>
    <row r="22" spans="1:11" x14ac:dyDescent="0.25">
      <c r="A22" s="7">
        <v>0.1</v>
      </c>
      <c r="B22" s="8"/>
      <c r="C22" s="1">
        <v>0.1</v>
      </c>
      <c r="D22">
        <f>IF(Table1[[#This Row],[MFC1 (%)]] &lt;&gt; 0, Table1[[#This Row],[MFC1 (%)]]*MassFlow, "")</f>
        <v>30</v>
      </c>
      <c r="E22" s="10"/>
      <c r="F22" t="str">
        <f>IF(Table1[[#This Row],[MFC2 (%)]] &lt;&gt; 0, Table1[[#This Row],[MFC2 (%)]]*MassFlow, "")</f>
        <v/>
      </c>
      <c r="G22" s="9"/>
      <c r="H22" t="str">
        <f>IF(Table1[[#This Row],[MFC3 (%)]] &lt;&gt; 0, Table1[[#This Row],[MFC3 (%)]]*MassFlow, "")</f>
        <v/>
      </c>
      <c r="I22" s="9">
        <f>100%-Table1[[#This Row],[MFC1 (%)]]-Table1[[#This Row],[MFC2 (%)]]-Table1[[#This Row],[MFC3 (%)]]</f>
        <v>0.9</v>
      </c>
      <c r="J22">
        <f>IF(Table1[[#This Row],[MFC4 (%)]]&lt;&gt; 0, Table1[[#This Row],[MFC4 (%)]]*MassFlow, "")</f>
        <v>270</v>
      </c>
      <c r="K22" s="9">
        <f>Table1[[#This Row],[MFC1 (%)]]*$C$4+Table1[[#This Row],[MFC2 (%)]]*$E$4+Table1[[#This Row],[MFC3 (%)]]*$G$4+Table1[[#This Row],[MFC4 (%)]]*$I$4</f>
        <v>0.18000000000000002</v>
      </c>
    </row>
    <row r="23" spans="1:11" x14ac:dyDescent="0.25">
      <c r="A23" s="7">
        <v>0.15</v>
      </c>
      <c r="B23" s="8"/>
      <c r="C23" s="1">
        <v>0.15</v>
      </c>
      <c r="D23">
        <f>IF(Table1[[#This Row],[MFC1 (%)]] &lt;&gt; 0, Table1[[#This Row],[MFC1 (%)]]*MassFlow, "")</f>
        <v>45</v>
      </c>
      <c r="E23" s="10"/>
      <c r="F23" t="str">
        <f>IF(Table1[[#This Row],[MFC2 (%)]] &lt;&gt; 0, Table1[[#This Row],[MFC2 (%)]]*MassFlow, "")</f>
        <v/>
      </c>
      <c r="G23" s="9"/>
      <c r="H23" t="str">
        <f>IF(Table1[[#This Row],[MFC3 (%)]] &lt;&gt; 0, Table1[[#This Row],[MFC3 (%)]]*MassFlow, "")</f>
        <v/>
      </c>
      <c r="I23" s="9">
        <f>100%-Table1[[#This Row],[MFC1 (%)]]-Table1[[#This Row],[MFC2 (%)]]-Table1[[#This Row],[MFC3 (%)]]</f>
        <v>0.85</v>
      </c>
      <c r="J23">
        <f>IF(Table1[[#This Row],[MFC4 (%)]]&lt;&gt; 0, Table1[[#This Row],[MFC4 (%)]]*MassFlow, "")</f>
        <v>255</v>
      </c>
      <c r="K23" s="9">
        <f>Table1[[#This Row],[MFC1 (%)]]*$C$4+Table1[[#This Row],[MFC2 (%)]]*$E$4+Table1[[#This Row],[MFC3 (%)]]*$G$4+Table1[[#This Row],[MFC4 (%)]]*$I$4</f>
        <v>0.17</v>
      </c>
    </row>
    <row r="24" spans="1:11" x14ac:dyDescent="0.25">
      <c r="A24" s="7">
        <v>0.2</v>
      </c>
      <c r="B24" s="8"/>
      <c r="C24" s="1">
        <v>0.2</v>
      </c>
      <c r="D24">
        <f>IF(Table1[[#This Row],[MFC1 (%)]] &lt;&gt; 0, Table1[[#This Row],[MFC1 (%)]]*MassFlow, "")</f>
        <v>60</v>
      </c>
      <c r="E24" s="10"/>
      <c r="F24" t="str">
        <f>IF(Table1[[#This Row],[MFC2 (%)]] &lt;&gt; 0, Table1[[#This Row],[MFC2 (%)]]*MassFlow, "")</f>
        <v/>
      </c>
      <c r="G24" s="9"/>
      <c r="H24" t="str">
        <f>IF(Table1[[#This Row],[MFC3 (%)]] &lt;&gt; 0, Table1[[#This Row],[MFC3 (%)]]*MassFlow, "")</f>
        <v/>
      </c>
      <c r="I24" s="9">
        <f>100%-Table1[[#This Row],[MFC1 (%)]]-Table1[[#This Row],[MFC2 (%)]]-Table1[[#This Row],[MFC3 (%)]]</f>
        <v>0.8</v>
      </c>
      <c r="J24">
        <f>IF(Table1[[#This Row],[MFC4 (%)]]&lt;&gt; 0, Table1[[#This Row],[MFC4 (%)]]*MassFlow, "")</f>
        <v>240</v>
      </c>
      <c r="K24" s="9">
        <f>Table1[[#This Row],[MFC1 (%)]]*$C$4+Table1[[#This Row],[MFC2 (%)]]*$E$4+Table1[[#This Row],[MFC3 (%)]]*$G$4+Table1[[#This Row],[MFC4 (%)]]*$I$4</f>
        <v>0.16000000000000003</v>
      </c>
    </row>
    <row r="25" spans="1:11" x14ac:dyDescent="0.25">
      <c r="A25" s="7">
        <v>0.25</v>
      </c>
      <c r="B25" s="8"/>
      <c r="C25" s="1">
        <v>0.25</v>
      </c>
      <c r="D25">
        <f>IF(Table1[[#This Row],[MFC1 (%)]] &lt;&gt; 0, Table1[[#This Row],[MFC1 (%)]]*MassFlow, "")</f>
        <v>75</v>
      </c>
      <c r="E25" s="10"/>
      <c r="F25" t="str">
        <f>IF(Table1[[#This Row],[MFC2 (%)]] &lt;&gt; 0, Table1[[#This Row],[MFC2 (%)]]*MassFlow, "")</f>
        <v/>
      </c>
      <c r="G25" s="9"/>
      <c r="H25" t="str">
        <f>IF(Table1[[#This Row],[MFC3 (%)]] &lt;&gt; 0, Table1[[#This Row],[MFC3 (%)]]*MassFlow, "")</f>
        <v/>
      </c>
      <c r="I25" s="9">
        <f>100%-Table1[[#This Row],[MFC1 (%)]]-Table1[[#This Row],[MFC2 (%)]]-Table1[[#This Row],[MFC3 (%)]]</f>
        <v>0.75</v>
      </c>
      <c r="J25">
        <f>IF(Table1[[#This Row],[MFC4 (%)]]&lt;&gt; 0, Table1[[#This Row],[MFC4 (%)]]*MassFlow, "")</f>
        <v>225</v>
      </c>
      <c r="K25" s="9">
        <f>Table1[[#This Row],[MFC1 (%)]]*$C$4+Table1[[#This Row],[MFC2 (%)]]*$E$4+Table1[[#This Row],[MFC3 (%)]]*$G$4+Table1[[#This Row],[MFC4 (%)]]*$I$4</f>
        <v>0.15000000000000002</v>
      </c>
    </row>
    <row r="26" spans="1:11" x14ac:dyDescent="0.25">
      <c r="A26" s="7">
        <v>0.3</v>
      </c>
      <c r="B26" s="8"/>
      <c r="C26" s="1">
        <v>0.3</v>
      </c>
      <c r="D26">
        <f>IF(Table1[[#This Row],[MFC1 (%)]] &lt;&gt; 0, Table1[[#This Row],[MFC1 (%)]]*MassFlow, "")</f>
        <v>90</v>
      </c>
      <c r="E26" s="10"/>
      <c r="F26" t="str">
        <f>IF(Table1[[#This Row],[MFC2 (%)]] &lt;&gt; 0, Table1[[#This Row],[MFC2 (%)]]*MassFlow, "")</f>
        <v/>
      </c>
      <c r="G26" s="9"/>
      <c r="H26" t="str">
        <f>IF(Table1[[#This Row],[MFC3 (%)]] &lt;&gt; 0, Table1[[#This Row],[MFC3 (%)]]*MassFlow, "")</f>
        <v/>
      </c>
      <c r="I26" s="9">
        <f>100%-Table1[[#This Row],[MFC1 (%)]]-Table1[[#This Row],[MFC2 (%)]]-Table1[[#This Row],[MFC3 (%)]]</f>
        <v>0.7</v>
      </c>
      <c r="J26">
        <f>IF(Table1[[#This Row],[MFC4 (%)]]&lt;&gt; 0, Table1[[#This Row],[MFC4 (%)]]*MassFlow, "")</f>
        <v>210</v>
      </c>
      <c r="K26" s="9">
        <f>Table1[[#This Row],[MFC1 (%)]]*$C$4+Table1[[#This Row],[MFC2 (%)]]*$E$4+Table1[[#This Row],[MFC3 (%)]]*$G$4+Table1[[#This Row],[MFC4 (%)]]*$I$4</f>
        <v>0.13999999999999999</v>
      </c>
    </row>
    <row r="27" spans="1:11" x14ac:dyDescent="0.25">
      <c r="A27" s="7">
        <v>0.4</v>
      </c>
      <c r="B27" s="8"/>
      <c r="C27" s="1">
        <v>0.4</v>
      </c>
      <c r="D27">
        <f>IF(Table1[[#This Row],[MFC1 (%)]] &lt;&gt; 0, Table1[[#This Row],[MFC1 (%)]]*MassFlow, "")</f>
        <v>120</v>
      </c>
      <c r="E27" s="10"/>
      <c r="F27" t="str">
        <f>IF(Table1[[#This Row],[MFC2 (%)]] &lt;&gt; 0, Table1[[#This Row],[MFC2 (%)]]*MassFlow, "")</f>
        <v/>
      </c>
      <c r="G27" s="9"/>
      <c r="H27" t="str">
        <f>IF(Table1[[#This Row],[MFC3 (%)]] &lt;&gt; 0, Table1[[#This Row],[MFC3 (%)]]*MassFlow, "")</f>
        <v/>
      </c>
      <c r="I27" s="9">
        <f>100%-Table1[[#This Row],[MFC1 (%)]]-Table1[[#This Row],[MFC2 (%)]]-Table1[[#This Row],[MFC3 (%)]]</f>
        <v>0.6</v>
      </c>
      <c r="J27">
        <f>IF(Table1[[#This Row],[MFC4 (%)]]&lt;&gt; 0, Table1[[#This Row],[MFC4 (%)]]*MassFlow, "")</f>
        <v>180</v>
      </c>
      <c r="K27" s="9">
        <f>Table1[[#This Row],[MFC1 (%)]]*$C$4+Table1[[#This Row],[MFC2 (%)]]*$E$4+Table1[[#This Row],[MFC3 (%)]]*$G$4+Table1[[#This Row],[MFC4 (%)]]*$I$4</f>
        <v>0.12</v>
      </c>
    </row>
    <row r="28" spans="1:11" x14ac:dyDescent="0.25">
      <c r="A28" s="7">
        <v>0.5</v>
      </c>
      <c r="B28" s="8"/>
      <c r="C28" s="1">
        <v>0.5</v>
      </c>
      <c r="D28">
        <f>IF(Table1[[#This Row],[MFC1 (%)]] &lt;&gt; 0, Table1[[#This Row],[MFC1 (%)]]*MassFlow, "")</f>
        <v>150</v>
      </c>
      <c r="E28" s="10"/>
      <c r="F28" t="str">
        <f>IF(Table1[[#This Row],[MFC2 (%)]] &lt;&gt; 0, Table1[[#This Row],[MFC2 (%)]]*MassFlow, "")</f>
        <v/>
      </c>
      <c r="G28" s="9"/>
      <c r="H28" t="str">
        <f>IF(Table1[[#This Row],[MFC3 (%)]] &lt;&gt; 0, Table1[[#This Row],[MFC3 (%)]]*MassFlow, "")</f>
        <v/>
      </c>
      <c r="I28" s="9">
        <f>100%-Table1[[#This Row],[MFC1 (%)]]-Table1[[#This Row],[MFC2 (%)]]-Table1[[#This Row],[MFC3 (%)]]</f>
        <v>0.5</v>
      </c>
      <c r="J28">
        <f>IF(Table1[[#This Row],[MFC4 (%)]]&lt;&gt; 0, Table1[[#This Row],[MFC4 (%)]]*MassFlow, "")</f>
        <v>150</v>
      </c>
      <c r="K28" s="9">
        <f>Table1[[#This Row],[MFC1 (%)]]*$C$4+Table1[[#This Row],[MFC2 (%)]]*$E$4+Table1[[#This Row],[MFC3 (%)]]*$G$4+Table1[[#This Row],[MFC4 (%)]]*$I$4</f>
        <v>0.1</v>
      </c>
    </row>
    <row r="29" spans="1:11" x14ac:dyDescent="0.25">
      <c r="A29" s="7">
        <v>0.6</v>
      </c>
      <c r="B29" s="8"/>
      <c r="C29" s="1">
        <v>0.6</v>
      </c>
      <c r="D29">
        <f>IF(Table1[[#This Row],[MFC1 (%)]] &lt;&gt; 0, Table1[[#This Row],[MFC1 (%)]]*MassFlow, "")</f>
        <v>180</v>
      </c>
      <c r="E29" s="10"/>
      <c r="F29" t="str">
        <f>IF(Table1[[#This Row],[MFC2 (%)]] &lt;&gt; 0, Table1[[#This Row],[MFC2 (%)]]*MassFlow, "")</f>
        <v/>
      </c>
      <c r="G29" s="9"/>
      <c r="H29" t="str">
        <f>IF(Table1[[#This Row],[MFC3 (%)]] &lt;&gt; 0, Table1[[#This Row],[MFC3 (%)]]*MassFlow, "")</f>
        <v/>
      </c>
      <c r="I29" s="9">
        <f>100%-Table1[[#This Row],[MFC1 (%)]]-Table1[[#This Row],[MFC2 (%)]]-Table1[[#This Row],[MFC3 (%)]]</f>
        <v>0.4</v>
      </c>
      <c r="J29">
        <f>IF(Table1[[#This Row],[MFC4 (%)]]&lt;&gt; 0, Table1[[#This Row],[MFC4 (%)]]*MassFlow, "")</f>
        <v>120</v>
      </c>
      <c r="K29" s="9">
        <f>Table1[[#This Row],[MFC1 (%)]]*$C$4+Table1[[#This Row],[MFC2 (%)]]*$E$4+Table1[[#This Row],[MFC3 (%)]]*$G$4+Table1[[#This Row],[MFC4 (%)]]*$I$4</f>
        <v>8.0000000000000016E-2</v>
      </c>
    </row>
    <row r="30" spans="1:11" x14ac:dyDescent="0.25">
      <c r="A30" s="7">
        <v>0.7</v>
      </c>
      <c r="B30" s="8"/>
      <c r="C30" s="1">
        <v>0.7</v>
      </c>
      <c r="D30">
        <f>IF(Table1[[#This Row],[MFC1 (%)]] &lt;&gt; 0, Table1[[#This Row],[MFC1 (%)]]*MassFlow, "")</f>
        <v>210</v>
      </c>
      <c r="E30" s="10"/>
      <c r="F30" t="str">
        <f>IF(Table1[[#This Row],[MFC2 (%)]] &lt;&gt; 0, Table1[[#This Row],[MFC2 (%)]]*MassFlow, "")</f>
        <v/>
      </c>
      <c r="G30" s="9"/>
      <c r="H30" t="str">
        <f>IF(Table1[[#This Row],[MFC3 (%)]] &lt;&gt; 0, Table1[[#This Row],[MFC3 (%)]]*MassFlow, "")</f>
        <v/>
      </c>
      <c r="I30" s="9">
        <f>100%-Table1[[#This Row],[MFC1 (%)]]-Table1[[#This Row],[MFC2 (%)]]-Table1[[#This Row],[MFC3 (%)]]</f>
        <v>0.30000000000000004</v>
      </c>
      <c r="J30">
        <f>IF(Table1[[#This Row],[MFC4 (%)]]&lt;&gt; 0, Table1[[#This Row],[MFC4 (%)]]*MassFlow, "")</f>
        <v>90.000000000000014</v>
      </c>
      <c r="K30" s="9">
        <f>Table1[[#This Row],[MFC1 (%)]]*$C$4+Table1[[#This Row],[MFC2 (%)]]*$E$4+Table1[[#This Row],[MFC3 (%)]]*$G$4+Table1[[#This Row],[MFC4 (%)]]*$I$4</f>
        <v>6.0000000000000012E-2</v>
      </c>
    </row>
    <row r="31" spans="1:11" x14ac:dyDescent="0.25">
      <c r="A31" s="7">
        <v>0.8</v>
      </c>
      <c r="B31" s="8"/>
      <c r="C31" s="1">
        <v>0.8</v>
      </c>
      <c r="D31">
        <f>IF(Table1[[#This Row],[MFC1 (%)]] &lt;&gt; 0, Table1[[#This Row],[MFC1 (%)]]*MassFlow, "")</f>
        <v>240</v>
      </c>
      <c r="E31" s="10"/>
      <c r="F31" t="str">
        <f>IF(Table1[[#This Row],[MFC2 (%)]] &lt;&gt; 0, Table1[[#This Row],[MFC2 (%)]]*MassFlow, "")</f>
        <v/>
      </c>
      <c r="G31" s="9"/>
      <c r="H31" t="str">
        <f>IF(Table1[[#This Row],[MFC3 (%)]] &lt;&gt; 0, Table1[[#This Row],[MFC3 (%)]]*MassFlow, "")</f>
        <v/>
      </c>
      <c r="I31" s="9">
        <f>100%-Table1[[#This Row],[MFC1 (%)]]-Table1[[#This Row],[MFC2 (%)]]-Table1[[#This Row],[MFC3 (%)]]</f>
        <v>0.19999999999999996</v>
      </c>
      <c r="J31">
        <f>IF(Table1[[#This Row],[MFC4 (%)]]&lt;&gt; 0, Table1[[#This Row],[MFC4 (%)]]*MassFlow, "")</f>
        <v>59.999999999999986</v>
      </c>
      <c r="K31" s="9">
        <f>Table1[[#This Row],[MFC1 (%)]]*$C$4+Table1[[#This Row],[MFC2 (%)]]*$E$4+Table1[[#This Row],[MFC3 (%)]]*$G$4+Table1[[#This Row],[MFC4 (%)]]*$I$4</f>
        <v>3.9999999999999994E-2</v>
      </c>
    </row>
    <row r="32" spans="1:11" x14ac:dyDescent="0.25">
      <c r="A32" s="7">
        <v>0.9</v>
      </c>
      <c r="B32" s="8"/>
      <c r="C32" s="1">
        <v>0.9</v>
      </c>
      <c r="D32">
        <f>IF(Table1[[#This Row],[MFC1 (%)]] &lt;&gt; 0, Table1[[#This Row],[MFC1 (%)]]*MassFlow, "")</f>
        <v>270</v>
      </c>
      <c r="E32" s="10"/>
      <c r="F32" t="str">
        <f>IF(Table1[[#This Row],[MFC2 (%)]] &lt;&gt; 0, Table1[[#This Row],[MFC2 (%)]]*MassFlow, "")</f>
        <v/>
      </c>
      <c r="G32" s="9"/>
      <c r="H32" t="str">
        <f>IF(Table1[[#This Row],[MFC3 (%)]] &lt;&gt; 0, Table1[[#This Row],[MFC3 (%)]]*MassFlow, "")</f>
        <v/>
      </c>
      <c r="I32" s="9">
        <f>100%-Table1[[#This Row],[MFC1 (%)]]-Table1[[#This Row],[MFC2 (%)]]-Table1[[#This Row],[MFC3 (%)]]</f>
        <v>9.9999999999999978E-2</v>
      </c>
      <c r="J32">
        <f>IF(Table1[[#This Row],[MFC4 (%)]]&lt;&gt; 0, Table1[[#This Row],[MFC4 (%)]]*MassFlow, "")</f>
        <v>29.999999999999993</v>
      </c>
      <c r="K32" s="9">
        <f>Table1[[#This Row],[MFC1 (%)]]*$C$4+Table1[[#This Row],[MFC2 (%)]]*$E$4+Table1[[#This Row],[MFC3 (%)]]*$G$4+Table1[[#This Row],[MFC4 (%)]]*$I$4</f>
        <v>1.9999999999999997E-2</v>
      </c>
    </row>
    <row r="33" spans="1:11" x14ac:dyDescent="0.25">
      <c r="A33" s="7">
        <v>1</v>
      </c>
      <c r="B33" s="8"/>
      <c r="C33" s="1">
        <v>1</v>
      </c>
      <c r="D33">
        <f>IF(Table1[[#This Row],[MFC1 (%)]] &lt;&gt; 0, Table1[[#This Row],[MFC1 (%)]]*MassFlow, "")</f>
        <v>300</v>
      </c>
      <c r="E33" s="10"/>
      <c r="F33" t="str">
        <f>IF(Table1[[#This Row],[MFC2 (%)]] &lt;&gt; 0, Table1[[#This Row],[MFC2 (%)]]*MassFlow, "")</f>
        <v/>
      </c>
      <c r="G33" s="9"/>
      <c r="H33" t="str">
        <f>IF(Table1[[#This Row],[MFC3 (%)]] &lt;&gt; 0, Table1[[#This Row],[MFC3 (%)]]*MassFlow, "")</f>
        <v/>
      </c>
      <c r="I33" s="9">
        <f>100%-Table1[[#This Row],[MFC1 (%)]]-Table1[[#This Row],[MFC2 (%)]]-Table1[[#This Row],[MFC3 (%)]]</f>
        <v>0</v>
      </c>
      <c r="J33" t="str">
        <f>IF(Table1[[#This Row],[MFC4 (%)]]&lt;&gt; 0, Table1[[#This Row],[MFC4 (%)]]*MassFlow, "")</f>
        <v/>
      </c>
      <c r="K33">
        <f>Table1[[#This Row],[MFC1 (%)]]*$C$4+Table1[[#This Row],[MFC2 (%)]]*$E$4+Table1[[#This Row],[MFC3 (%)]]*$G$4+Table1[[#This Row],[MFC4 (%)]]*$I$4</f>
        <v>0</v>
      </c>
    </row>
  </sheetData>
  <mergeCells count="12">
    <mergeCell ref="I3:J3"/>
    <mergeCell ref="I4:J4"/>
    <mergeCell ref="C2:D2"/>
    <mergeCell ref="E2:F2"/>
    <mergeCell ref="G2:H2"/>
    <mergeCell ref="I2:J2"/>
    <mergeCell ref="C3:D3"/>
    <mergeCell ref="C4:D4"/>
    <mergeCell ref="E3:F3"/>
    <mergeCell ref="E4:F4"/>
    <mergeCell ref="G3:H3"/>
    <mergeCell ref="G4:H4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D433264DC4B4CA4CF2CCA809E77E3" ma:contentTypeVersion="11" ma:contentTypeDescription="Create a new document." ma:contentTypeScope="" ma:versionID="c23069d77da0a5505d1734b0e66d3f23">
  <xsd:schema xmlns:xsd="http://www.w3.org/2001/XMLSchema" xmlns:xs="http://www.w3.org/2001/XMLSchema" xmlns:p="http://schemas.microsoft.com/office/2006/metadata/properties" xmlns:ns2="6e9d2e64-bfff-492e-a481-88602d74a0c8" xmlns:ns3="e74f4e40-f96b-4ce9-b9f7-d9180fbf27a9" targetNamespace="http://schemas.microsoft.com/office/2006/metadata/properties" ma:root="true" ma:fieldsID="450abc95ea8486afe6590bf5e2cc0650" ns2:_="" ns3:_="">
    <xsd:import namespace="6e9d2e64-bfff-492e-a481-88602d74a0c8"/>
    <xsd:import namespace="e74f4e40-f96b-4ce9-b9f7-d9180fbf27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d2e64-bfff-492e-a481-88602d74a0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f4e40-f96b-4ce9-b9f7-d9180fbf27a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D20DC9-775B-4FF8-A400-9D40EAC09B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0A87D6-ADC2-4035-B4B0-FB1911936A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9d2e64-bfff-492e-a481-88602d74a0c8"/>
    <ds:schemaRef ds:uri="e74f4e40-f96b-4ce9-b9f7-d9180fbf27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5FD629-2682-4C12-BB4D-2EFCB5A651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1 Analyte</vt:lpstr>
      <vt:lpstr>2 Analyte</vt:lpstr>
      <vt:lpstr>2 Analyte Combos</vt:lpstr>
      <vt:lpstr>2 Analyte, Constant O2</vt:lpstr>
      <vt:lpstr>'1 Analyte'!MassFlow</vt:lpstr>
      <vt:lpstr>'2 Analyte'!MassFlow</vt:lpstr>
      <vt:lpstr>'2 Analyte, Constant O2'!MassFlow</vt:lpstr>
      <vt:lpstr>MFC1Concentration</vt:lpstr>
      <vt:lpstr>'2 Analyte'!MFC1Ratio</vt:lpstr>
      <vt:lpstr>MFC2Concentration</vt:lpstr>
      <vt:lpstr>'2 Analyte'!MFC2Ratio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2021-08-02T18:36:59Z</cp:lastPrinted>
  <dcterms:created xsi:type="dcterms:W3CDTF">2021-04-27T14:50:26Z</dcterms:created>
  <dcterms:modified xsi:type="dcterms:W3CDTF">2022-01-13T16:25:24Z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0x010100E0AD433264DC4B4CA4CF2CCA809E77E3</vt:lpwstr>
  </property>
</Properties>
</file>