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perPower-uC-KiCad.^_.__$" sheetId="1" r:id="rId1"/>
  </sheets>
  <definedNames>
    <definedName name="BoardQty" localSheetId="0">'SuperPower-uC-KiCad.^_.__$'!$L$1</definedName>
    <definedName name="EUR_USD" localSheetId="0">'SuperPower-uC-KiCad.^_.__$'!$C$51</definedName>
    <definedName name="global_part_data" localSheetId="0">'SuperPower-uC-KiCad.^_.__$'!$A$5:$L$48</definedName>
    <definedName name="lcsc_part_data" localSheetId="0">'SuperPower-uC-KiCad.^_.__$'!$M$5:$Q$48</definedName>
    <definedName name="PURCHASE_DESCRIPTION" localSheetId="0">'SuperPower-uC-KiCad.^_.__$'!$L$51</definedName>
    <definedName name="TotalCost" localSheetId="0">'SuperPower-uC-KiCad.^_.__$'!$L$3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K3" authorId="0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Q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6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>
      <text>
        <r>
          <rPr>
            <sz val="8"/>
            <color indexed="81"/>
            <rFont val="Tahoma"/>
            <family val="2"/>
          </rPr>
          <t>User-defined field.</t>
        </r>
      </text>
    </comment>
    <comment ref="D6" authorId="0">
      <text>
        <r>
          <rPr>
            <sz val="8"/>
            <color indexed="81"/>
            <rFont val="Tahoma"/>
            <family val="2"/>
          </rPr>
          <t>User-defined field.</t>
        </r>
      </text>
    </comment>
    <comment ref="E6" authorId="0">
      <text>
        <r>
          <rPr>
            <sz val="8"/>
            <color indexed="81"/>
            <rFont val="Tahoma"/>
            <family val="2"/>
          </rPr>
          <t>User-defined field.</t>
        </r>
      </text>
    </comment>
    <comment ref="F6" authorId="0">
      <text>
        <r>
          <rPr>
            <sz val="8"/>
            <color indexed="81"/>
            <rFont val="Tahoma"/>
            <family val="2"/>
          </rPr>
          <t>User-defined field.</t>
        </r>
      </text>
    </comment>
    <comment ref="G6" authorId="0">
      <text>
        <r>
          <rPr>
            <sz val="8"/>
            <color indexed="81"/>
            <rFont val="Tahoma"/>
            <family val="2"/>
          </rPr>
          <t>User-defined field.</t>
        </r>
      </text>
    </comment>
    <comment ref="H6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I6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J6" authorId="0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K6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L6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M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N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O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P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Q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O7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50   €0.01      €0.27
   500   €0.00      €1.95
  1500   €0.00      €5.40
  5000   €0.00     €17.00
 25000   €0.00     €82.50
 50000   €0.00    €160.00</t>
        </r>
      </text>
    </comment>
    <comment ref="O8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50   €0.01      €0.33
   500   €0.01      €2.55
  1500   €0.00      €7.05
  5000   €0.00     €21.00
 25000   €0.00    €100.00
 50000   €0.00    €200.00</t>
        </r>
      </text>
    </comment>
    <comment ref="O9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50   €0.01      €0.45
   500   €0.01      €3.40
  1500   €0.01      €9.45
  5000   €0.01     €27.50
 25000   €0.01    €132.50
 50000   €0.01    €260.00</t>
        </r>
      </text>
    </comment>
    <comment ref="O10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50   €0.00      €0.22
   500   €0.00      €1.65
  1500   €0.00      €4.65
  5000   €0.00     €14.50
 25000   €0.00     €70.00
 50000   €0.00    €135.00</t>
        </r>
      </text>
    </comment>
    <comment ref="O14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10   €0.05      €0.46
   100   €0.03      €3.43
   300   €0.03      €9.66
  1000   €0.03     €30.20
  5000   €0.03    €146.00
 10000   €0.03    €288.00</t>
        </r>
      </text>
    </comment>
    <comment ref="O17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10   €0.05      €0.46
   100   €0.03      €3.43
   300   €0.03      €9.66
  1000   €0.03     €30.20
  5000   €0.03    €146.00
 10000   €0.03    €288.00</t>
        </r>
      </text>
    </comment>
    <comment ref="O24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20   €0.02      €0.38
   200   €0.01      €2.94
   600   €0.01      €8.28
  2000   €0.01     €25.80
 10000   €0.01    €125.00
 20000   €0.01    €246.00</t>
        </r>
      </text>
    </comment>
    <comment ref="O25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50   €0.01      €0.57
   500   €0.01      €4.40
  1500   €0.01     €12.45
  5000   €0.01     €39.00
 25000   €0.01    €187.50
 50000   €0.01    €375.00</t>
        </r>
      </text>
    </comment>
    <comment ref="O27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100   €0.00      €0.11
  1000   €0.00      €0.80
  3000   €0.00      €2.10
 10000   €0.00      €7.00
 50000   €0.00     €35.00
100000   €0.00     €70.00</t>
        </r>
      </text>
    </comment>
    <comment ref="O28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100   €0.00      €0.14
  1000   €0.00      €1.20
  3000   €0.00      €3.30
 10000   €0.00     €11.00
 50000   €0.00     €50.00
100000   €0.00    €100.00</t>
        </r>
      </text>
    </comment>
    <comment ref="O29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100   €0.00      €0.12
  1000   €0.00      €0.90
  3000   €0.00      €2.70
 10000   €0.00      €8.00
 50000   €0.00     €35.00
100000   €0.00     €70.00</t>
        </r>
      </text>
    </comment>
    <comment ref="O30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100   €0.00      €0.13
  1000   €0.00      €1.00
  3000   €0.00      €3.00
 10000   €0.00      €9.00
 50000   €0.00     €45.00
100000   €0.00     €90.00</t>
        </r>
      </text>
    </comment>
    <comment ref="O31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100   €0.00      €0.14
  1000   €0.00      €1.20
  3000   €0.00      €3.30
 10000   €0.00     €10.00
 50000   €0.00     €50.00
100000   €0.00    €100.00</t>
        </r>
      </text>
    </comment>
    <comment ref="O32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100   €0.00      €0.14
  1000   €0.00      €1.20
  3000   €0.00      €3.30
 10000   €0.00     €10.00
 50000   €0.00     €50.00
100000   €0.00    €100.00</t>
        </r>
      </text>
    </comment>
    <comment ref="O41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€1.28      €1.28
    10   €1.00      €9.98
    30   €0.93     €27.79
   100   €0.83     €83.50
   500   €0.79    €395.85
  1000   €0.79    €785.80</t>
        </r>
      </text>
    </comment>
    <comment ref="K50" authorId="0">
      <text>
        <r>
          <rPr>
            <sz val="8"/>
            <color indexed="81"/>
            <rFont val="Tahoma"/>
            <family val="2"/>
          </rPr>
          <t>This is the total of your cart across all distributors.</t>
        </r>
      </text>
    </comment>
    <comment ref="N50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K51" authorId="0">
      <text>
        <r>
          <rPr>
            <sz val="8"/>
            <color indexed="81"/>
            <rFont val="Tahoma"/>
            <family val="2"/>
          </rPr>
          <t>This description will be added to all purchased parts label and may be used to distinguish the component of different projects.</t>
        </r>
      </text>
    </comment>
    <comment ref="N51" authorId="0">
      <text>
        <r>
          <rPr>
            <sz val="8"/>
            <color indexed="81"/>
            <rFont val="Tahoma"/>
            <family val="2"/>
          </rPr>
          <t>Copy this header and order to CSV file and use for JLCPCB manufacture PCB housing. The multipart components that use "#" symbol is not allowed at JLCPCB.</t>
        </r>
      </text>
    </comment>
  </commentList>
</comments>
</file>

<file path=xl/sharedStrings.xml><?xml version="1.0" encoding="utf-8"?>
<sst xmlns="http://schemas.openxmlformats.org/spreadsheetml/2006/main" count="213" uniqueCount="178">
  <si>
    <t>Global Part Info</t>
  </si>
  <si>
    <t>Refs</t>
  </si>
  <si>
    <t>Value</t>
  </si>
  <si>
    <t>comment</t>
  </si>
  <si>
    <t>S1MN</t>
  </si>
  <si>
    <t>S1PN</t>
  </si>
  <si>
    <t>S2MN</t>
  </si>
  <si>
    <t>S2PN</t>
  </si>
  <si>
    <t>Footprint</t>
  </si>
  <si>
    <t>Manf#</t>
  </si>
  <si>
    <t>Qty</t>
  </si>
  <si>
    <t>Unit$</t>
  </si>
  <si>
    <t>Ext$</t>
  </si>
  <si>
    <t>C1,C2,C8,C9,C14,C15,C19,C20</t>
  </si>
  <si>
    <t>0.1µF</t>
  </si>
  <si>
    <t>C_0603_1608Metric_Pad1.05x0.95mm_HandSolder</t>
  </si>
  <si>
    <t>C3,C5,C10-C13,C21</t>
  </si>
  <si>
    <t>1µF</t>
  </si>
  <si>
    <t>C4,C16-C18</t>
  </si>
  <si>
    <t>10µF</t>
  </si>
  <si>
    <t>C6,C7</t>
  </si>
  <si>
    <t>22pF</t>
  </si>
  <si>
    <t>D2</t>
  </si>
  <si>
    <t>LED</t>
  </si>
  <si>
    <t>LED_0603_1608Metric_Pad1.05x0.95mm_HandSolder</t>
  </si>
  <si>
    <t>D3</t>
  </si>
  <si>
    <t>SM4007</t>
  </si>
  <si>
    <t>D_MELF</t>
  </si>
  <si>
    <t>http://cdn-reichelt.de/documents/datenblatt/A400/SMD1N400%23DIO.pdf</t>
  </si>
  <si>
    <t>D4</t>
  </si>
  <si>
    <t>D_Schottky</t>
  </si>
  <si>
    <t>D_SOD-123</t>
  </si>
  <si>
    <t>https://datasheet.lcsc.com/szlcsc/Changjiang-Electronics-Tech-CJ-B5819W_C8598.pdf</t>
  </si>
  <si>
    <t>J1</t>
  </si>
  <si>
    <t>Battery connector</t>
  </si>
  <si>
    <t>JST_EH_S2B-EH_1x02_P2.50mm_Horizontal</t>
  </si>
  <si>
    <t>https://datasheet.lcsc.com/szlcsc/1811051822_JST-Sales-America-S2B-XH-A-LF-SN_C157931.pdf</t>
  </si>
  <si>
    <t>J2</t>
  </si>
  <si>
    <t>Thermistor</t>
  </si>
  <si>
    <t>R_0603_1608Metric_Pad1.05x0.95mm_HandSolder</t>
  </si>
  <si>
    <t>https://datasheet.lcsc.com/szlcsc/TDK-NTCG163JF103FT1_C76589.pdf</t>
  </si>
  <si>
    <t>J3</t>
  </si>
  <si>
    <t>USB_B_Micro</t>
  </si>
  <si>
    <t>USB_Micro-B_Molex-105017-0001</t>
  </si>
  <si>
    <t>https://datasheet.lcsc.com/szlcsc/2002271812_XKB-Connectivity-U254-051T-4BH23-S2B_C319164.pdf</t>
  </si>
  <si>
    <t>J4</t>
  </si>
  <si>
    <t>Solar in</t>
  </si>
  <si>
    <t>J5</t>
  </si>
  <si>
    <t>main pin header fight</t>
  </si>
  <si>
    <t>PinSocket_1x21_P2.54mm_Vertical</t>
  </si>
  <si>
    <t>J6</t>
  </si>
  <si>
    <t>main pin header left</t>
  </si>
  <si>
    <t>JP1</t>
  </si>
  <si>
    <t>CHRG_Jumper</t>
  </si>
  <si>
    <t>SolderJumper-3_P1.3mm_Open_Pad1.0x1.5mm</t>
  </si>
  <si>
    <t>JP3</t>
  </si>
  <si>
    <t>MCU_EN</t>
  </si>
  <si>
    <t>SolderJumper-2_P1.3mm_Open_Pad1.0x1.5mm</t>
  </si>
  <si>
    <t>JP4</t>
  </si>
  <si>
    <t>3v3_MCU_I2C</t>
  </si>
  <si>
    <t>L1</t>
  </si>
  <si>
    <t>3.3u</t>
  </si>
  <si>
    <t>L_Bourns_SRP7028A_7.3x6.6mm</t>
  </si>
  <si>
    <t>https://datasheet.lcsc.com/szlcsc/1912111437_Chilisin-Elec-MHCI06030-3R3M-R8A_C280586.pdf</t>
  </si>
  <si>
    <t>Q1,Q2,Q7</t>
  </si>
  <si>
    <t>2N7002</t>
  </si>
  <si>
    <t>SOT-23</t>
  </si>
  <si>
    <t>https://www.fairchildsemi.com/datasheets/2N/2N7002.pdf</t>
  </si>
  <si>
    <t>Q3,Q4</t>
  </si>
  <si>
    <t>S8050</t>
  </si>
  <si>
    <t>SOT-23_Handsoldering</t>
  </si>
  <si>
    <t>http://www.unisonic.com.tw/datasheet/S8050.pdf</t>
  </si>
  <si>
    <t>Q5,Q6</t>
  </si>
  <si>
    <t>AO3401A</t>
  </si>
  <si>
    <t>http://www.aosmd.com/pdfs/datasheet/AO3401A.pdf</t>
  </si>
  <si>
    <t>R1,R10</t>
  </si>
  <si>
    <t>1k</t>
  </si>
  <si>
    <t>R2,R21</t>
  </si>
  <si>
    <t>100</t>
  </si>
  <si>
    <t>R3,R8,R9,R11,R12</t>
  </si>
  <si>
    <t>10k</t>
  </si>
  <si>
    <t>R5</t>
  </si>
  <si>
    <t>1.8k</t>
  </si>
  <si>
    <t>R6,R13,R14,R16</t>
  </si>
  <si>
    <t>180k</t>
  </si>
  <si>
    <t>R7</t>
  </si>
  <si>
    <t>1M</t>
  </si>
  <si>
    <t>R15,R17</t>
  </si>
  <si>
    <t>22k</t>
  </si>
  <si>
    <t>TP1-TP8</t>
  </si>
  <si>
    <t>TestPoint</t>
  </si>
  <si>
    <t>TestPoint_Pad_1.5x1.5mm</t>
  </si>
  <si>
    <t>U1</t>
  </si>
  <si>
    <t>FS312F-G</t>
  </si>
  <si>
    <t>SOT-23-6_Handsoldering</t>
  </si>
  <si>
    <t>https://www.ic-fortune.com/upload/Download/FS312F-G-DS-12_EN.pdf</t>
  </si>
  <si>
    <t>U2</t>
  </si>
  <si>
    <t>FS8205A</t>
  </si>
  <si>
    <t>TSSOP-8_4.4x3mm_P0.65mm</t>
  </si>
  <si>
    <t>https://www.ic-fortune.com/upload/Download/FS8205A-DS-12_EN.pdf</t>
  </si>
  <si>
    <t>U3</t>
  </si>
  <si>
    <t>LC709203FQH</t>
  </si>
  <si>
    <t>WDFN-8-1EP_4x3mm_P0.65mm_EP2.4x1.8mm</t>
  </si>
  <si>
    <t>https://www.onsemi.com/pub/Collateral/LC709203F-D.PDF</t>
  </si>
  <si>
    <t>U4</t>
  </si>
  <si>
    <t>TP4056</t>
  </si>
  <si>
    <t>SOP-8_3.9x4.9mm_P1.27mm</t>
  </si>
  <si>
    <t>https://dlnmh9ip6v2uc.cloudfront.net/datasheets/Prototyping/TP4056.pdf</t>
  </si>
  <si>
    <t>U5</t>
  </si>
  <si>
    <t>CH340G</t>
  </si>
  <si>
    <t>SOP-16_4.55x10.3mm_P1.27mm</t>
  </si>
  <si>
    <t>https://www.mpja.com/download/35227cpdata.pdf</t>
  </si>
  <si>
    <t>U6</t>
  </si>
  <si>
    <t>AMS1117-3.3</t>
  </si>
  <si>
    <t>SOT-223-3_TabPin2</t>
  </si>
  <si>
    <t>http://www.advanced-monolithic.com/pdf/ds1117.pdf</t>
  </si>
  <si>
    <t>U7</t>
  </si>
  <si>
    <t>PCF8563T</t>
  </si>
  <si>
    <t>SOIC-8_3.9x4.9mm_P1.27mm</t>
  </si>
  <si>
    <t>https://www.nxp.com/docs/en/data-sheet/PCF8563.pdf</t>
  </si>
  <si>
    <t>U8</t>
  </si>
  <si>
    <t>XC6206P332MR</t>
  </si>
  <si>
    <t>https://www.torexsemi.com/file/xc6206/XC6206.pdf</t>
  </si>
  <si>
    <t>U9</t>
  </si>
  <si>
    <t>TCA6408A</t>
  </si>
  <si>
    <t>TSSOP-16_4.4x5mm_P0.65mm</t>
  </si>
  <si>
    <t>https://www.ti.com/lit/ds/symlink/tca6408a.pdf?ts=1602171918658&amp;ref_url=https%253A%252F%252Fwww.ti.com%252Fproduct%252FTCA6408A</t>
  </si>
  <si>
    <t>U10</t>
  </si>
  <si>
    <t>FP6291LR</t>
  </si>
  <si>
    <t>U11,U12</t>
  </si>
  <si>
    <t>ME6210A33P</t>
  </si>
  <si>
    <t>SOT-89-3_Handsoldering</t>
  </si>
  <si>
    <t>https://datasheet.lcsc.com/szlcsc/1810201611_MICRONE-Nanjing-Micro-One-Elec-ME6210A33PG_C85233.pdf</t>
  </si>
  <si>
    <t>U13</t>
  </si>
  <si>
    <t>ESP32-WROOM32</t>
  </si>
  <si>
    <t>ESP32-WROOM-32</t>
  </si>
  <si>
    <t>https://www.espressif.com/sites/default/files/documentation/esp32-wroom-32_datasheet_en.pdf</t>
  </si>
  <si>
    <t>Y1</t>
  </si>
  <si>
    <t>12MHZ</t>
  </si>
  <si>
    <t>Crystal_SMD_3225-4Pin_3.2x2.5mm_HandSoldering</t>
  </si>
  <si>
    <t>https://datasheet.lcsc.com/szlcsc/Yangxing-Tech-X322512MSB4SI_C9002.pdf</t>
  </si>
  <si>
    <t>Y2</t>
  </si>
  <si>
    <t>32.768KHz</t>
  </si>
  <si>
    <t>Crystal_SMD_3215-2Pin_3.2x1.5mm</t>
  </si>
  <si>
    <t>Total Purchase:</t>
  </si>
  <si>
    <t>Purchase description:</t>
  </si>
  <si>
    <t>Used currency rates:</t>
  </si>
  <si>
    <t>EUR(€)/USD($):</t>
  </si>
  <si>
    <t>Prj:</t>
  </si>
  <si>
    <t>SuperPower-uC</t>
  </si>
  <si>
    <t>Co.:</t>
  </si>
  <si>
    <t>Prj date:</t>
  </si>
  <si>
    <t>01/07/2021 23:38:18</t>
  </si>
  <si>
    <t>Board Qty:</t>
  </si>
  <si>
    <t>Total Cost:</t>
  </si>
  <si>
    <t>Unit Cost:</t>
  </si>
  <si>
    <t>$ date:</t>
  </si>
  <si>
    <t>2021-07-01 23:39:19</t>
  </si>
  <si>
    <t>LCSC</t>
  </si>
  <si>
    <t>Avail</t>
  </si>
  <si>
    <t>Purch</t>
  </si>
  <si>
    <t>Cat#</t>
  </si>
  <si>
    <t>C14858</t>
  </si>
  <si>
    <t>C15849</t>
  </si>
  <si>
    <t>C19702</t>
  </si>
  <si>
    <t>C1653</t>
  </si>
  <si>
    <t>C157931</t>
  </si>
  <si>
    <t>C8545</t>
  </si>
  <si>
    <t>C111272</t>
  </si>
  <si>
    <t>C21190</t>
  </si>
  <si>
    <t>C22775</t>
  </si>
  <si>
    <t>C25804</t>
  </si>
  <si>
    <t>C4177</t>
  </si>
  <si>
    <t>C22827</t>
  </si>
  <si>
    <t>C22935</t>
  </si>
  <si>
    <t>C7440</t>
  </si>
  <si>
    <t>Buy here</t>
  </si>
  <si>
    <t>KiCost® v.1.1.5</t>
  </si>
</sst>
</file>

<file path=xl/styles.xml><?xml version="1.0" encoding="utf-8"?>
<styleSheet xmlns="http://schemas.openxmlformats.org/spreadsheetml/2006/main">
  <numFmts count="2">
    <numFmt numFmtId="164" formatCode="€#,##0.00"/>
    <numFmt numFmtId="164" formatCode="€#,##0.00"/>
    <numFmt numFmtId="165" formatCode="€#,##0.000"/>
    <numFmt numFmtId="164" formatCode="€#,##0.00"/>
  </numFmts>
  <fonts count="10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rgb="FF1166D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right"/>
    </xf>
    <xf numFmtId="164" fontId="3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6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top" wrapText="1"/>
    </xf>
    <xf numFmtId="0" fontId="0" fillId="0" borderId="0" xfId="0" applyAlignment="1">
      <alignment vertical="center" wrapText="1"/>
    </xf>
    <xf numFmtId="165" fontId="0" fillId="0" borderId="0" xfId="0" applyNumberFormat="1" applyAlignment="1">
      <alignment vertical="center"/>
    </xf>
    <xf numFmtId="164" fontId="0" fillId="0" borderId="0" xfId="0" applyNumberFormat="1" applyAlignment="1">
      <alignment vertical="center"/>
    </xf>
    <xf numFmtId="0" fontId="8" fillId="0" borderId="0" xfId="1" applyAlignment="1" applyProtection="1"/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4">
    <dxf>
      <fill>
        <patternFill>
          <bgColor rgb="FFAAAAAA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ill>
        <patternFill>
          <bgColor rgb="FFFFFF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octopart.com/click/track?ai=8078&amp;sig=0754d6f&amp;sid=27971&amp;ppid=9299377&amp;vpid=477194256&amp;ct=offers" TargetMode="External"/><Relationship Id="rId2" Type="http://schemas.openxmlformats.org/officeDocument/2006/relationships/hyperlink" Target="https://octopart.com/click/track?ai=8078&amp;sig=0895b24&amp;sid=27971&amp;ppid=23919125&amp;vpid=476994652&amp;ct=offers" TargetMode="External"/><Relationship Id="rId3" Type="http://schemas.openxmlformats.org/officeDocument/2006/relationships/hyperlink" Target="https://octopart.com/click/track?ai=8078&amp;sig=05234ec&amp;sid=27971&amp;ppid=19831471&amp;vpid=476994653&amp;ct=offers" TargetMode="External"/><Relationship Id="rId4" Type="http://schemas.openxmlformats.org/officeDocument/2006/relationships/hyperlink" Target="https://octopart.com/click/track?ai=8078&amp;sig=02db7fa&amp;sid=27971&amp;ppid=8294536&amp;vpid=479755921&amp;ct=offers" TargetMode="External"/><Relationship Id="rId5" Type="http://schemas.openxmlformats.org/officeDocument/2006/relationships/hyperlink" Target="http://cdn-reichelt.de/documents/datenblatt/A400/SMD1N400%23DIO.pdf" TargetMode="External"/><Relationship Id="rId6" Type="http://schemas.openxmlformats.org/officeDocument/2006/relationships/hyperlink" Target="https://datasheet.lcsc.com/szlcsc/Changjiang-Electronics-Tech-CJ-B5819W_C8598.pdf" TargetMode="External"/><Relationship Id="rId7" Type="http://schemas.openxmlformats.org/officeDocument/2006/relationships/hyperlink" Target="https://datasheet.lcsc.com/szlcsc/1811051822_JST-Sales-America-S2B-XH-A-LF-SN_C157931.pdf" TargetMode="External"/><Relationship Id="rId8" Type="http://schemas.openxmlformats.org/officeDocument/2006/relationships/hyperlink" Target="https://octopart.com/click/track?ai=8078&amp;sig=0d4c75b&amp;sid=27971&amp;ppid=3990369&amp;vpid=532307301&amp;ct=offers" TargetMode="External"/><Relationship Id="rId9" Type="http://schemas.openxmlformats.org/officeDocument/2006/relationships/hyperlink" Target="https://datasheet.lcsc.com/szlcsc/TDK-NTCG163JF103FT1_C76589.pdf" TargetMode="External"/><Relationship Id="rId10" Type="http://schemas.openxmlformats.org/officeDocument/2006/relationships/hyperlink" Target="https://datasheet.lcsc.com/szlcsc/2002271812_XKB-Connectivity-U254-051T-4BH23-S2B_C319164.pdf" TargetMode="External"/><Relationship Id="rId11" Type="http://schemas.openxmlformats.org/officeDocument/2006/relationships/hyperlink" Target="https://datasheet.lcsc.com/szlcsc/1811051822_JST-Sales-America-S2B-XH-A-LF-SN_C157931.pdf" TargetMode="External"/><Relationship Id="rId12" Type="http://schemas.openxmlformats.org/officeDocument/2006/relationships/hyperlink" Target="https://octopart.com/click/track?ai=8078&amp;sig=0d4c75b&amp;sid=27971&amp;ppid=3990369&amp;vpid=532307301&amp;ct=offers" TargetMode="External"/><Relationship Id="rId13" Type="http://schemas.openxmlformats.org/officeDocument/2006/relationships/hyperlink" Target="https://datasheet.lcsc.com/szlcsc/1912111437_Chilisin-Elec-MHCI06030-3R3M-R8A_C280586.pdf" TargetMode="External"/><Relationship Id="rId14" Type="http://schemas.openxmlformats.org/officeDocument/2006/relationships/hyperlink" Target="https://www.fairchildsemi.com/datasheets/2N/2N7002.pdf" TargetMode="External"/><Relationship Id="rId15" Type="http://schemas.openxmlformats.org/officeDocument/2006/relationships/hyperlink" Target="https://octopart.com/click/track?ai=8078&amp;sig=0a7dc7b&amp;sid=27971&amp;ppid=99350881&amp;vpid=531397954&amp;ct=offers" TargetMode="External"/><Relationship Id="rId16" Type="http://schemas.openxmlformats.org/officeDocument/2006/relationships/hyperlink" Target="http://www.unisonic.com.tw/datasheet/S8050.pdf" TargetMode="External"/><Relationship Id="rId17" Type="http://schemas.openxmlformats.org/officeDocument/2006/relationships/hyperlink" Target="https://octopart.com/click/track?ai=8078&amp;sig=07db83e&amp;sid=27971&amp;ppid=99361235&amp;vpid=531413998&amp;ct=offers" TargetMode="External"/><Relationship Id="rId18" Type="http://schemas.openxmlformats.org/officeDocument/2006/relationships/hyperlink" Target="http://www.aosmd.com/pdfs/datasheet/AO3401A.pdf" TargetMode="External"/><Relationship Id="rId19" Type="http://schemas.openxmlformats.org/officeDocument/2006/relationships/hyperlink" Target="https://octopart.com/click/track?ai=8078&amp;sig=0497334&amp;sid=27971&amp;ppid=99363827&amp;vpid=531420969&amp;ct=offers" TargetMode="External"/><Relationship Id="rId20" Type="http://schemas.openxmlformats.org/officeDocument/2006/relationships/hyperlink" Target="https://octopart.com/click/track?ai=8078&amp;sig=039a406&amp;sid=27971&amp;ppid=99363826&amp;vpid=531420968&amp;ct=offers" TargetMode="External"/><Relationship Id="rId21" Type="http://schemas.openxmlformats.org/officeDocument/2006/relationships/hyperlink" Target="https://octopart.com/click/track?ai=8078&amp;sig=0994456&amp;sid=27971&amp;ppid=99363828&amp;vpid=531420970&amp;ct=offers" TargetMode="External"/><Relationship Id="rId22" Type="http://schemas.openxmlformats.org/officeDocument/2006/relationships/hyperlink" Target="https://octopart.com/click/track?ai=8078&amp;sig=0f1934d&amp;sid=27971&amp;ppid=99363977&amp;vpid=531421357&amp;ct=offers" TargetMode="External"/><Relationship Id="rId23" Type="http://schemas.openxmlformats.org/officeDocument/2006/relationships/hyperlink" Target="https://octopart.com/click/track?ai=8078&amp;sig=0d283bf&amp;sid=27971&amp;ppid=99363979&amp;vpid=531421359&amp;ct=offers" TargetMode="External"/><Relationship Id="rId24" Type="http://schemas.openxmlformats.org/officeDocument/2006/relationships/hyperlink" Target="https://octopart.com/click/track?ai=8078&amp;sig=063d396&amp;sid=27971&amp;ppid=99363830&amp;vpid=531420972&amp;ct=offers" TargetMode="External"/><Relationship Id="rId25" Type="http://schemas.openxmlformats.org/officeDocument/2006/relationships/hyperlink" Target="https://www.ic-fortune.com/upload/Download/FS312F-G-DS-12_EN.pdf" TargetMode="External"/><Relationship Id="rId26" Type="http://schemas.openxmlformats.org/officeDocument/2006/relationships/hyperlink" Target="https://www.ic-fortune.com/upload/Download/FS8205A-DS-12_EN.pdf" TargetMode="External"/><Relationship Id="rId27" Type="http://schemas.openxmlformats.org/officeDocument/2006/relationships/hyperlink" Target="https://www.onsemi.com/pub/Collateral/LC709203F-D.PDF" TargetMode="External"/><Relationship Id="rId28" Type="http://schemas.openxmlformats.org/officeDocument/2006/relationships/hyperlink" Target="https://dlnmh9ip6v2uc.cloudfront.net/datasheets/Prototyping/TP4056.pdf" TargetMode="External"/><Relationship Id="rId29" Type="http://schemas.openxmlformats.org/officeDocument/2006/relationships/hyperlink" Target="https://www.mpja.com/download/35227cpdata.pdf" TargetMode="External"/><Relationship Id="rId30" Type="http://schemas.openxmlformats.org/officeDocument/2006/relationships/hyperlink" Target="http://www.advanced-monolithic.com/pdf/ds1117.pdf" TargetMode="External"/><Relationship Id="rId31" Type="http://schemas.openxmlformats.org/officeDocument/2006/relationships/hyperlink" Target="https://www.nxp.com/docs/en/data-sheet/PCF8563.pdf" TargetMode="External"/><Relationship Id="rId32" Type="http://schemas.openxmlformats.org/officeDocument/2006/relationships/hyperlink" Target="https://octopart.com/click/track?ai=8078&amp;sig=0b5e850&amp;sid=27971&amp;ppid=19647995&amp;vpid=445996880&amp;ct=offers" TargetMode="External"/><Relationship Id="rId33" Type="http://schemas.openxmlformats.org/officeDocument/2006/relationships/hyperlink" Target="https://www.torexsemi.com/file/xc6206/XC6206.pdf" TargetMode="External"/><Relationship Id="rId34" Type="http://schemas.openxmlformats.org/officeDocument/2006/relationships/hyperlink" Target="https://www.ti.com/lit/ds/symlink/tca6408a.pdf?ts=1602171918658&amp;ref_url=https%253A%252F%252Fwww.ti.com%252Fproduct%252FTCA6408A" TargetMode="External"/><Relationship Id="rId35" Type="http://schemas.openxmlformats.org/officeDocument/2006/relationships/hyperlink" Target="https://datasheet.lcsc.com/szlcsc/1810201611_MICRONE-Nanjing-Micro-One-Elec-ME6210A33PG_C85233.pdf" TargetMode="External"/><Relationship Id="rId36" Type="http://schemas.openxmlformats.org/officeDocument/2006/relationships/hyperlink" Target="https://www.espressif.com/sites/default/files/documentation/esp32-wroom-32_datasheet_en.pdf" TargetMode="External"/><Relationship Id="rId37" Type="http://schemas.openxmlformats.org/officeDocument/2006/relationships/hyperlink" Target="https://datasheet.lcsc.com/szlcsc/Yangxing-Tech-X322512MSB4SI_C9002.pdf" TargetMode="External"/><Relationship Id="rId38" Type="http://schemas.openxmlformats.org/officeDocument/2006/relationships/hyperlink" Target="https://lcsc.com/bom.html" TargetMode="External"/><Relationship Id="rId39" Type="http://schemas.openxmlformats.org/officeDocument/2006/relationships/vmlDrawing" Target="../drawings/vmlDrawing1.vml"/><Relationship Id="rId40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93"/>
  <sheetViews>
    <sheetView tabSelected="1" workbookViewId="0">
      <pane xSplit="12" ySplit="6" topLeftCell="M7" activePane="bottomRight" state="frozen"/>
      <selection pane="topRight" activeCell="M1" sqref="M1"/>
      <selection pane="bottomLeft" activeCell="A7" sqref="A7"/>
      <selection pane="bottomRight"/>
    </sheetView>
  </sheetViews>
  <sheetFormatPr defaultRowHeight="15" outlineLevelCol="2"/>
  <cols>
    <col min="1" max="1" width="28.7109375" customWidth="1"/>
    <col min="2" max="2" width="22.7109375" customWidth="1"/>
    <col min="3" max="3" width="10.7109375" customWidth="1"/>
    <col min="8" max="8" width="33.7109375" customWidth="1" outlineLevel="2"/>
    <col min="9" max="9" width="33.7109375" customWidth="1" outlineLevel="1"/>
    <col min="10" max="10" width="9.140625" outlineLevel="1"/>
    <col min="11" max="11" width="22.7109375" customWidth="1"/>
    <col min="12" max="12" width="16.7109375" customWidth="1"/>
    <col min="13" max="13" width="9.7109375" customWidth="1" outlineLevel="1"/>
    <col min="14" max="14" width="9.140625" outlineLevel="2"/>
    <col min="15" max="15" width="10.7109375" customWidth="1" outlineLevel="2"/>
    <col min="16" max="16" width="16.7109375" customWidth="1"/>
    <col min="17" max="17" width="16.7109375" customWidth="1" outlineLevel="2"/>
  </cols>
  <sheetData>
    <row r="1" spans="1:17">
      <c r="A1" s="1" t="s">
        <v>148</v>
      </c>
      <c r="B1" s="2" t="s">
        <v>149</v>
      </c>
      <c r="K1" s="3" t="s">
        <v>153</v>
      </c>
      <c r="L1" s="3">
        <v>100</v>
      </c>
    </row>
    <row r="2" spans="1:17">
      <c r="A2" s="1" t="s">
        <v>150</v>
      </c>
      <c r="B2" s="2"/>
      <c r="K2" s="1" t="s">
        <v>155</v>
      </c>
      <c r="L2" s="4">
        <f>TotalCost/BoardQty</f>
        <v>0</v>
      </c>
    </row>
    <row r="3" spans="1:17">
      <c r="A3" s="1" t="s">
        <v>151</v>
      </c>
      <c r="B3" s="2" t="s">
        <v>152</v>
      </c>
      <c r="K3" s="1" t="s">
        <v>154</v>
      </c>
      <c r="L3" s="5">
        <f>SUM(L7:L48)</f>
        <v>0</v>
      </c>
      <c r="P3" s="5">
        <f>SUM(P7:P48)</f>
        <v>0</v>
      </c>
      <c r="Q3" s="6">
        <f>(COUNTA(P7:P48)&amp;" of "&amp;ROWS(P7:P48)&amp;" parts found")</f>
        <v>0</v>
      </c>
    </row>
    <row r="4" spans="1:17">
      <c r="A4" s="1" t="s">
        <v>156</v>
      </c>
      <c r="B4" s="2" t="s">
        <v>157</v>
      </c>
    </row>
    <row r="5" spans="1:17">
      <c r="A5" s="7" t="s">
        <v>0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8" t="s">
        <v>158</v>
      </c>
      <c r="N5" s="8"/>
      <c r="O5" s="8"/>
      <c r="P5" s="8"/>
      <c r="Q5" s="8"/>
    </row>
    <row r="6" spans="1:17">
      <c r="A6" s="9" t="s">
        <v>1</v>
      </c>
      <c r="B6" s="9" t="s">
        <v>2</v>
      </c>
      <c r="C6" s="9" t="s">
        <v>3</v>
      </c>
      <c r="D6" s="9" t="s">
        <v>4</v>
      </c>
      <c r="E6" s="9" t="s">
        <v>5</v>
      </c>
      <c r="F6" s="9" t="s">
        <v>6</v>
      </c>
      <c r="G6" s="9" t="s">
        <v>7</v>
      </c>
      <c r="H6" s="9" t="s">
        <v>8</v>
      </c>
      <c r="I6" s="9" t="s">
        <v>9</v>
      </c>
      <c r="J6" s="9" t="s">
        <v>10</v>
      </c>
      <c r="K6" s="9" t="s">
        <v>11</v>
      </c>
      <c r="L6" s="9" t="s">
        <v>12</v>
      </c>
      <c r="M6" s="9" t="s">
        <v>159</v>
      </c>
      <c r="N6" s="9" t="s">
        <v>160</v>
      </c>
      <c r="O6" s="9" t="s">
        <v>11</v>
      </c>
      <c r="P6" s="9" t="s">
        <v>12</v>
      </c>
      <c r="Q6" s="9" t="s">
        <v>161</v>
      </c>
    </row>
    <row r="7" spans="1:17" ht="30.0" customHeight="1">
      <c r="A7" s="10" t="s">
        <v>13</v>
      </c>
      <c r="B7" s="10" t="s">
        <v>14</v>
      </c>
      <c r="H7" s="10" t="s">
        <v>15</v>
      </c>
      <c r="J7" s="10">
        <f>CEILING(BoardQty*8,1)</f>
        <v>800</v>
      </c>
      <c r="K7" s="11">
        <f>MINA(INDIRECT(ADDRESS(ROW(),COLUMN(lcsc_part_data)+2)))</f>
        <v>0</v>
      </c>
      <c r="L7" s="12">
        <f>iferror(J7*K7,"")</f>
        <v>0</v>
      </c>
      <c r="M7" s="10">
        <v>319350</v>
      </c>
      <c r="O7" s="11">
        <f>iferror(lookup(if(N7="",J7,N7),{0,1,50,500,1500,5000,25000,50000},{0.0,0.0053,0.0053,0.0039,0.0036,0.0034,0.0033,0.0032}),"")</f>
        <v>0</v>
      </c>
      <c r="P7" s="12">
        <f>iferror(if(N7="",J7,N7)*O7,"")</f>
        <v>0</v>
      </c>
      <c r="Q7" s="13" t="s">
        <v>162</v>
      </c>
    </row>
    <row r="8" spans="1:17" ht="30.0" customHeight="1">
      <c r="A8" s="10" t="s">
        <v>16</v>
      </c>
      <c r="B8" s="10" t="s">
        <v>17</v>
      </c>
      <c r="H8" s="10" t="s">
        <v>15</v>
      </c>
      <c r="J8" s="10">
        <f>CEILING(BoardQty*7,1)</f>
        <v>700</v>
      </c>
      <c r="K8" s="11">
        <f>MINA(INDIRECT(ADDRESS(ROW(),COLUMN(lcsc_part_data)+2)))</f>
        <v>0</v>
      </c>
      <c r="L8" s="12">
        <f>iferror(J8*K8,"")</f>
        <v>0</v>
      </c>
      <c r="M8" s="10">
        <v>486100</v>
      </c>
      <c r="O8" s="11">
        <f>iferror(lookup(if(N8="",J8,N8),{0,1,50,500,1500,5000,25000,50000},{0.0,0.0066,0.0066,0.0051,0.0047,0.0042,0.004,0.004}),"")</f>
        <v>0</v>
      </c>
      <c r="P8" s="12">
        <f>iferror(if(N8="",J8,N8)*O8,"")</f>
        <v>0</v>
      </c>
      <c r="Q8" s="13" t="s">
        <v>163</v>
      </c>
    </row>
    <row r="9" spans="1:17" ht="30.0" customHeight="1">
      <c r="A9" s="10" t="s">
        <v>18</v>
      </c>
      <c r="B9" s="10" t="s">
        <v>19</v>
      </c>
      <c r="H9" s="10" t="s">
        <v>15</v>
      </c>
      <c r="J9" s="10">
        <f>CEILING(BoardQty*4,1)</f>
        <v>400</v>
      </c>
      <c r="K9" s="11">
        <f>MINA(INDIRECT(ADDRESS(ROW(),COLUMN(lcsc_part_data)+2)))</f>
        <v>0</v>
      </c>
      <c r="L9" s="12">
        <f>iferror(J9*K9,"")</f>
        <v>0</v>
      </c>
      <c r="M9" s="10">
        <v>2445150</v>
      </c>
      <c r="O9" s="11">
        <f>iferror(lookup(if(N9="",J9,N9),{0,1,50,500,1500,5000,25000,50000},{0.0,0.0089,0.0089,0.0068,0.0063,0.0055,0.0053,0.0052}),"")</f>
        <v>0</v>
      </c>
      <c r="P9" s="12">
        <f>iferror(if(N9="",J9,N9)*O9,"")</f>
        <v>0</v>
      </c>
      <c r="Q9" s="13" t="s">
        <v>164</v>
      </c>
    </row>
    <row r="10" spans="1:17" ht="30.0" customHeight="1">
      <c r="A10" s="10" t="s">
        <v>20</v>
      </c>
      <c r="B10" s="10" t="s">
        <v>21</v>
      </c>
      <c r="H10" s="10" t="s">
        <v>15</v>
      </c>
      <c r="J10" s="10">
        <f>CEILING(BoardQty*2,1)</f>
        <v>200</v>
      </c>
      <c r="K10" s="11">
        <f>MINA(INDIRECT(ADDRESS(ROW(),COLUMN(lcsc_part_data)+2)))</f>
        <v>0</v>
      </c>
      <c r="L10" s="12">
        <f>iferror(J10*K10,"")</f>
        <v>0</v>
      </c>
      <c r="M10" s="10">
        <v>184200</v>
      </c>
      <c r="O10" s="11">
        <f>iferror(lookup(if(N10="",J10,N10),{0,1,50,500,1500,5000,25000,50000},{0.0,0.0045,0.0045,0.0033,0.0031,0.0029,0.0028,0.0027}),"")</f>
        <v>0</v>
      </c>
      <c r="P10" s="12">
        <f>iferror(if(N10="",J10,N10)*O10,"")</f>
        <v>0</v>
      </c>
      <c r="Q10" s="13" t="s">
        <v>165</v>
      </c>
    </row>
    <row r="11" spans="1:17" ht="30.0" customHeight="1">
      <c r="A11" s="10" t="s">
        <v>22</v>
      </c>
      <c r="B11" s="10" t="s">
        <v>23</v>
      </c>
      <c r="H11" s="10" t="s">
        <v>24</v>
      </c>
      <c r="J11" s="10">
        <f>CEILING(BoardQty*1,1)</f>
        <v>100</v>
      </c>
      <c r="K11" s="11">
        <f>MINA(INDIRECT(ADDRESS(ROW(),COLUMN(lcsc_part_data)+2)))</f>
        <v>0</v>
      </c>
      <c r="L11" s="12">
        <f>iferror(J11*K11,"")</f>
        <v>0</v>
      </c>
    </row>
    <row r="12" spans="1:17" ht="45.0" customHeight="1">
      <c r="A12" s="10" t="s">
        <v>25</v>
      </c>
      <c r="B12" s="10" t="s">
        <v>26</v>
      </c>
      <c r="H12" s="10" t="s">
        <v>27</v>
      </c>
      <c r="I12" s="10" t="s">
        <v>28</v>
      </c>
      <c r="J12" s="10">
        <f>CEILING(BoardQty*1,1)</f>
        <v>100</v>
      </c>
      <c r="K12" s="11">
        <f>MINA(INDIRECT(ADDRESS(ROW(),COLUMN(lcsc_part_data)+2)))</f>
        <v>0</v>
      </c>
      <c r="L12" s="12">
        <f>iferror(J12*K12,"")</f>
        <v>0</v>
      </c>
    </row>
    <row r="13" spans="1:17" ht="45.0" customHeight="1">
      <c r="A13" s="10" t="s">
        <v>29</v>
      </c>
      <c r="B13" s="10" t="s">
        <v>30</v>
      </c>
      <c r="H13" s="10" t="s">
        <v>31</v>
      </c>
      <c r="I13" s="10" t="s">
        <v>32</v>
      </c>
      <c r="J13" s="10">
        <f>CEILING(BoardQty*1,1)</f>
        <v>100</v>
      </c>
      <c r="K13" s="11">
        <f>MINA(INDIRECT(ADDRESS(ROW(),COLUMN(lcsc_part_data)+2)))</f>
        <v>0</v>
      </c>
      <c r="L13" s="12">
        <f>iferror(J13*K13,"")</f>
        <v>0</v>
      </c>
    </row>
    <row r="14" spans="1:17" ht="60.0" customHeight="1">
      <c r="A14" s="10" t="s">
        <v>33</v>
      </c>
      <c r="B14" s="10" t="s">
        <v>34</v>
      </c>
      <c r="H14" s="10" t="s">
        <v>35</v>
      </c>
      <c r="I14" s="10" t="s">
        <v>36</v>
      </c>
      <c r="J14" s="10">
        <f>CEILING(BoardQty*1,1)</f>
        <v>100</v>
      </c>
      <c r="K14" s="11">
        <f>MINA(INDIRECT(ADDRESS(ROW(),COLUMN(lcsc_part_data)+2)))</f>
        <v>0</v>
      </c>
      <c r="L14" s="12">
        <f>iferror(J14*K14,"")</f>
        <v>0</v>
      </c>
      <c r="M14" s="10">
        <v>77800</v>
      </c>
      <c r="O14" s="11">
        <f>iferror(lookup(if(N14="",J14,N14),{0,1,10,100,300,1000,5000,10000},{0.0,0.0456,0.0456,0.0343,0.0322,0.0302,0.0292,0.0288}),"")</f>
        <v>0</v>
      </c>
      <c r="P14" s="12">
        <f>iferror(if(N14="",J14,N14)*O14,"")</f>
        <v>0</v>
      </c>
      <c r="Q14" s="13" t="s">
        <v>166</v>
      </c>
    </row>
    <row r="15" spans="1:17" ht="30.0" customHeight="1">
      <c r="A15" s="10" t="s">
        <v>37</v>
      </c>
      <c r="B15" s="10" t="s">
        <v>38</v>
      </c>
      <c r="H15" s="10" t="s">
        <v>39</v>
      </c>
      <c r="I15" s="10" t="s">
        <v>40</v>
      </c>
      <c r="J15" s="10">
        <f>CEILING(BoardQty*1,1)</f>
        <v>100</v>
      </c>
      <c r="K15" s="11">
        <f>MINA(INDIRECT(ADDRESS(ROW(),COLUMN(lcsc_part_data)+2)))</f>
        <v>0</v>
      </c>
      <c r="L15" s="12">
        <f>iferror(J15*K15,"")</f>
        <v>0</v>
      </c>
    </row>
    <row r="16" spans="1:17" ht="45.0" customHeight="1">
      <c r="A16" s="10" t="s">
        <v>41</v>
      </c>
      <c r="B16" s="10" t="s">
        <v>42</v>
      </c>
      <c r="H16" s="10" t="s">
        <v>43</v>
      </c>
      <c r="I16" s="10" t="s">
        <v>44</v>
      </c>
      <c r="J16" s="10">
        <f>CEILING(BoardQty*1,1)</f>
        <v>100</v>
      </c>
      <c r="K16" s="11">
        <f>MINA(INDIRECT(ADDRESS(ROW(),COLUMN(lcsc_part_data)+2)))</f>
        <v>0</v>
      </c>
      <c r="L16" s="12">
        <f>iferror(J16*K16,"")</f>
        <v>0</v>
      </c>
    </row>
    <row r="17" spans="1:17" ht="60.0" customHeight="1">
      <c r="A17" s="10" t="s">
        <v>45</v>
      </c>
      <c r="B17" s="10" t="s">
        <v>46</v>
      </c>
      <c r="H17" s="10" t="s">
        <v>35</v>
      </c>
      <c r="I17" s="10" t="s">
        <v>36</v>
      </c>
      <c r="J17" s="10">
        <f>CEILING(BoardQty*1,1)</f>
        <v>100</v>
      </c>
      <c r="K17" s="11">
        <f>MINA(INDIRECT(ADDRESS(ROW(),COLUMN(lcsc_part_data)+2)))</f>
        <v>0</v>
      </c>
      <c r="L17" s="12">
        <f>iferror(J17*K17,"")</f>
        <v>0</v>
      </c>
      <c r="M17" s="10">
        <v>77800</v>
      </c>
      <c r="O17" s="11">
        <f>iferror(lookup(if(N17="",J17,N17),{0,1,10,100,300,1000,5000,10000},{0.0,0.0456,0.0456,0.0343,0.0322,0.0302,0.0292,0.0288}),"")</f>
        <v>0</v>
      </c>
      <c r="P17" s="12">
        <f>iferror(if(N17="",J17,N17)*O17,"")</f>
        <v>0</v>
      </c>
      <c r="Q17" s="13" t="s">
        <v>166</v>
      </c>
    </row>
    <row r="18" spans="1:17">
      <c r="A18" s="10" t="s">
        <v>47</v>
      </c>
      <c r="B18" s="10" t="s">
        <v>48</v>
      </c>
      <c r="H18" s="10" t="s">
        <v>49</v>
      </c>
      <c r="J18" s="10">
        <f>CEILING(BoardQty*1,1)</f>
        <v>100</v>
      </c>
      <c r="K18" s="11">
        <f>MINA(INDIRECT(ADDRESS(ROW(),COLUMN(lcsc_part_data)+2)))</f>
        <v>0</v>
      </c>
      <c r="L18" s="12">
        <f>iferror(J18*K18,"")</f>
        <v>0</v>
      </c>
    </row>
    <row r="19" spans="1:17">
      <c r="A19" s="10" t="s">
        <v>50</v>
      </c>
      <c r="B19" s="10" t="s">
        <v>51</v>
      </c>
      <c r="H19" s="10" t="s">
        <v>49</v>
      </c>
      <c r="J19" s="10">
        <f>CEILING(BoardQty*1,1)</f>
        <v>100</v>
      </c>
      <c r="K19" s="11">
        <f>MINA(INDIRECT(ADDRESS(ROW(),COLUMN(lcsc_part_data)+2)))</f>
        <v>0</v>
      </c>
      <c r="L19" s="12">
        <f>iferror(J19*K19,"")</f>
        <v>0</v>
      </c>
    </row>
    <row r="20" spans="1:17" ht="30.0" customHeight="1">
      <c r="A20" s="10" t="s">
        <v>52</v>
      </c>
      <c r="B20" s="10" t="s">
        <v>53</v>
      </c>
      <c r="H20" s="10" t="s">
        <v>54</v>
      </c>
      <c r="J20" s="10">
        <f>CEILING(BoardQty*1,1)</f>
        <v>100</v>
      </c>
      <c r="K20" s="11">
        <f>MINA(INDIRECT(ADDRESS(ROW(),COLUMN(lcsc_part_data)+2)))</f>
        <v>0</v>
      </c>
      <c r="L20" s="12">
        <f>iferror(J20*K20,"")</f>
        <v>0</v>
      </c>
    </row>
    <row r="21" spans="1:17" ht="30.0" customHeight="1">
      <c r="A21" s="10" t="s">
        <v>55</v>
      </c>
      <c r="B21" s="10" t="s">
        <v>56</v>
      </c>
      <c r="H21" s="10" t="s">
        <v>57</v>
      </c>
      <c r="J21" s="10">
        <f>CEILING(BoardQty*1,1)</f>
        <v>100</v>
      </c>
      <c r="K21" s="11">
        <f>MINA(INDIRECT(ADDRESS(ROW(),COLUMN(lcsc_part_data)+2)))</f>
        <v>0</v>
      </c>
      <c r="L21" s="12">
        <f>iferror(J21*K21,"")</f>
        <v>0</v>
      </c>
    </row>
    <row r="22" spans="1:17" ht="30.0" customHeight="1">
      <c r="A22" s="10" t="s">
        <v>58</v>
      </c>
      <c r="B22" s="10" t="s">
        <v>59</v>
      </c>
      <c r="H22" s="10" t="s">
        <v>57</v>
      </c>
      <c r="J22" s="10">
        <f>CEILING(BoardQty*1,1)</f>
        <v>100</v>
      </c>
      <c r="K22" s="11">
        <f>MINA(INDIRECT(ADDRESS(ROW(),COLUMN(lcsc_part_data)+2)))</f>
        <v>0</v>
      </c>
      <c r="L22" s="12">
        <f>iferror(J22*K22,"")</f>
        <v>0</v>
      </c>
    </row>
    <row r="23" spans="1:17" ht="45.0" customHeight="1">
      <c r="A23" s="10" t="s">
        <v>60</v>
      </c>
      <c r="B23" s="10" t="s">
        <v>61</v>
      </c>
      <c r="H23" s="10" t="s">
        <v>62</v>
      </c>
      <c r="I23" s="10" t="s">
        <v>63</v>
      </c>
      <c r="J23" s="10">
        <f>CEILING(BoardQty*1,1)</f>
        <v>100</v>
      </c>
      <c r="K23" s="11">
        <f>MINA(INDIRECT(ADDRESS(ROW(),COLUMN(lcsc_part_data)+2)))</f>
        <v>0</v>
      </c>
      <c r="L23" s="12">
        <f>iferror(J23*K23,"")</f>
        <v>0</v>
      </c>
    </row>
    <row r="24" spans="1:17" ht="30.0" customHeight="1">
      <c r="A24" s="10" t="s">
        <v>64</v>
      </c>
      <c r="B24" s="10" t="s">
        <v>65</v>
      </c>
      <c r="H24" s="10" t="s">
        <v>66</v>
      </c>
      <c r="I24" s="10" t="s">
        <v>67</v>
      </c>
      <c r="J24" s="10">
        <f>CEILING(BoardQty*3,1)</f>
        <v>300</v>
      </c>
      <c r="K24" s="11">
        <f>MINA(INDIRECT(ADDRESS(ROW(),COLUMN(lcsc_part_data)+2)))</f>
        <v>0</v>
      </c>
      <c r="L24" s="12">
        <f>iferror(J24*K24,"")</f>
        <v>0</v>
      </c>
      <c r="M24" s="10">
        <v>137420</v>
      </c>
      <c r="O24" s="11">
        <f>iferror(lookup(if(N24="",J24,N24),{0,1,20,200,600,2000,10000,20000},{0.0,0.0192,0.0192,0.0147,0.0138,0.0129,0.0125,0.0123}),"")</f>
        <v>0</v>
      </c>
      <c r="P24" s="12">
        <f>iferror(if(N24="",J24,N24)*O24,"")</f>
        <v>0</v>
      </c>
      <c r="Q24" s="13" t="s">
        <v>167</v>
      </c>
    </row>
    <row r="25" spans="1:17" ht="30.0" customHeight="1">
      <c r="A25" s="10" t="s">
        <v>68</v>
      </c>
      <c r="B25" s="10" t="s">
        <v>69</v>
      </c>
      <c r="H25" s="10" t="s">
        <v>70</v>
      </c>
      <c r="I25" s="10" t="s">
        <v>71</v>
      </c>
      <c r="J25" s="10">
        <f>CEILING(BoardQty*2,1)</f>
        <v>200</v>
      </c>
      <c r="K25" s="11">
        <f>MINA(INDIRECT(ADDRESS(ROW(),COLUMN(lcsc_part_data)+2)))</f>
        <v>0</v>
      </c>
      <c r="L25" s="12">
        <f>iferror(J25*K25,"")</f>
        <v>0</v>
      </c>
      <c r="M25" s="10">
        <v>504600</v>
      </c>
      <c r="O25" s="11">
        <f>iferror(lookup(if(N25="",J25,N25),{0,1,50,500,1500,5000,25000,50000},{0.0,0.0115,0.0115,0.0088,0.0083,0.0078,0.0075,0.0075}),"")</f>
        <v>0</v>
      </c>
      <c r="P25" s="12">
        <f>iferror(if(N25="",J25,N25)*O25,"")</f>
        <v>0</v>
      </c>
      <c r="Q25" s="13" t="s">
        <v>168</v>
      </c>
    </row>
    <row r="26" spans="1:17" ht="30.0" customHeight="1">
      <c r="A26" s="10" t="s">
        <v>72</v>
      </c>
      <c r="B26" s="10" t="s">
        <v>73</v>
      </c>
      <c r="H26" s="10" t="s">
        <v>70</v>
      </c>
      <c r="I26" s="10" t="s">
        <v>74</v>
      </c>
      <c r="J26" s="10">
        <f>CEILING(BoardQty*2,1)</f>
        <v>200</v>
      </c>
      <c r="K26" s="11">
        <f>MINA(INDIRECT(ADDRESS(ROW(),COLUMN(lcsc_part_data)+2)))</f>
        <v>0</v>
      </c>
      <c r="L26" s="12">
        <f>iferror(J26*K26,"")</f>
        <v>0</v>
      </c>
    </row>
    <row r="27" spans="1:17" ht="30.0" customHeight="1">
      <c r="A27" s="10" t="s">
        <v>75</v>
      </c>
      <c r="B27" s="10" t="s">
        <v>76</v>
      </c>
      <c r="H27" s="10" t="s">
        <v>39</v>
      </c>
      <c r="J27" s="10">
        <f>CEILING(BoardQty*2,1)</f>
        <v>200</v>
      </c>
      <c r="K27" s="11">
        <f>MINA(INDIRECT(ADDRESS(ROW(),COLUMN(lcsc_part_data)+2)))</f>
        <v>0</v>
      </c>
      <c r="L27" s="12">
        <f>iferror(J27*K27,"")</f>
        <v>0</v>
      </c>
      <c r="M27" s="10">
        <v>4992600</v>
      </c>
      <c r="O27" s="11">
        <f>iferror(lookup(if(N27="",J27,N27),{0,1,100,1000,3000,10000,50000,100000},{0.0,0.0011,0.0011,0.0008,0.0007,0.0007,0.0007,0.0007}),"")</f>
        <v>0</v>
      </c>
      <c r="P27" s="12">
        <f>iferror(if(N27="",J27,N27)*O27,"")</f>
        <v>0</v>
      </c>
      <c r="Q27" s="13" t="s">
        <v>169</v>
      </c>
    </row>
    <row r="28" spans="1:17" ht="30.0" customHeight="1">
      <c r="A28" s="10" t="s">
        <v>77</v>
      </c>
      <c r="B28" s="10" t="s">
        <v>78</v>
      </c>
      <c r="H28" s="10" t="s">
        <v>39</v>
      </c>
      <c r="J28" s="10">
        <f>CEILING(BoardQty*2,1)</f>
        <v>200</v>
      </c>
      <c r="K28" s="11">
        <f>MINA(INDIRECT(ADDRESS(ROW(),COLUMN(lcsc_part_data)+2)))</f>
        <v>0</v>
      </c>
      <c r="L28" s="12">
        <f>iferror(J28*K28,"")</f>
        <v>0</v>
      </c>
      <c r="M28" s="10">
        <v>890600</v>
      </c>
      <c r="O28" s="11">
        <f>iferror(lookup(if(N28="",J28,N28),{0,1,100,1000,3000,10000,50000,100000},{0.0,0.0014,0.0014,0.0012,0.0011,0.0011,0.001,0.001}),"")</f>
        <v>0</v>
      </c>
      <c r="P28" s="12">
        <f>iferror(if(N28="",J28,N28)*O28,"")</f>
        <v>0</v>
      </c>
      <c r="Q28" s="13" t="s">
        <v>170</v>
      </c>
    </row>
    <row r="29" spans="1:17" ht="30.0" customHeight="1">
      <c r="A29" s="10" t="s">
        <v>79</v>
      </c>
      <c r="B29" s="10" t="s">
        <v>80</v>
      </c>
      <c r="H29" s="10" t="s">
        <v>39</v>
      </c>
      <c r="J29" s="10">
        <f>CEILING(BoardQty*5,1)</f>
        <v>500</v>
      </c>
      <c r="K29" s="11">
        <f>MINA(INDIRECT(ADDRESS(ROW(),COLUMN(lcsc_part_data)+2)))</f>
        <v>0</v>
      </c>
      <c r="L29" s="12">
        <f>iferror(J29*K29,"")</f>
        <v>0</v>
      </c>
      <c r="M29" s="10">
        <v>633600</v>
      </c>
      <c r="O29" s="11">
        <f>iferror(lookup(if(N29="",J29,N29),{0,1,100,1000,3000,10000,50000,100000},{0.0,0.0012,0.0012,0.0009,0.0009,0.0008,0.0007,0.0007}),"")</f>
        <v>0</v>
      </c>
      <c r="P29" s="12">
        <f>iferror(if(N29="",J29,N29)*O29,"")</f>
        <v>0</v>
      </c>
      <c r="Q29" s="13" t="s">
        <v>171</v>
      </c>
    </row>
    <row r="30" spans="1:17" ht="30.0" customHeight="1">
      <c r="A30" s="10" t="s">
        <v>81</v>
      </c>
      <c r="B30" s="10" t="s">
        <v>82</v>
      </c>
      <c r="H30" s="10" t="s">
        <v>39</v>
      </c>
      <c r="J30" s="10">
        <f>CEILING(BoardQty*1,1)</f>
        <v>100</v>
      </c>
      <c r="K30" s="11">
        <f>MINA(INDIRECT(ADDRESS(ROW(),COLUMN(lcsc_part_data)+2)))</f>
        <v>0</v>
      </c>
      <c r="L30" s="12">
        <f>iferror(J30*K30,"")</f>
        <v>0</v>
      </c>
      <c r="M30" s="10">
        <v>74600</v>
      </c>
      <c r="O30" s="11">
        <f>iferror(lookup(if(N30="",J30,N30),{0,1,100,1000,3000,10000,50000,100000},{0.0,0.0013,0.0013,0.001,0.001,0.0009,0.0009,0.0009}),"")</f>
        <v>0</v>
      </c>
      <c r="P30" s="12">
        <f>iferror(if(N30="",J30,N30)*O30,"")</f>
        <v>0</v>
      </c>
      <c r="Q30" s="13" t="s">
        <v>172</v>
      </c>
    </row>
    <row r="31" spans="1:17" ht="30.0" customHeight="1">
      <c r="A31" s="10" t="s">
        <v>83</v>
      </c>
      <c r="B31" s="10" t="s">
        <v>84</v>
      </c>
      <c r="H31" s="10" t="s">
        <v>39</v>
      </c>
      <c r="J31" s="10">
        <f>CEILING(BoardQty*4,1)</f>
        <v>400</v>
      </c>
      <c r="K31" s="11">
        <f>MINA(INDIRECT(ADDRESS(ROW(),COLUMN(lcsc_part_data)+2)))</f>
        <v>0</v>
      </c>
      <c r="L31" s="12">
        <f>iferror(J31*K31,"")</f>
        <v>0</v>
      </c>
      <c r="M31" s="10">
        <v>97700</v>
      </c>
      <c r="O31" s="11">
        <f>iferror(lookup(if(N31="",J31,N31),{0,1,100,1000,3000,10000,50000,100000},{0.0,0.0014,0.0014,0.0012,0.0011,0.001,0.001,0.001}),"")</f>
        <v>0</v>
      </c>
      <c r="P31" s="12">
        <f>iferror(if(N31="",J31,N31)*O31,"")</f>
        <v>0</v>
      </c>
      <c r="Q31" s="13" t="s">
        <v>173</v>
      </c>
    </row>
    <row r="32" spans="1:17" ht="30.0" customHeight="1">
      <c r="A32" s="10" t="s">
        <v>85</v>
      </c>
      <c r="B32" s="10" t="s">
        <v>86</v>
      </c>
      <c r="H32" s="10" t="s">
        <v>39</v>
      </c>
      <c r="J32" s="10">
        <f>CEILING(BoardQty*1,1)</f>
        <v>100</v>
      </c>
      <c r="K32" s="11">
        <f>MINA(INDIRECT(ADDRESS(ROW(),COLUMN(lcsc_part_data)+2)))</f>
        <v>0</v>
      </c>
      <c r="L32" s="12">
        <f>iferror(J32*K32,"")</f>
        <v>0</v>
      </c>
      <c r="M32" s="10">
        <v>810200</v>
      </c>
      <c r="O32" s="11">
        <f>iferror(lookup(if(N32="",J32,N32),{0,1,100,1000,3000,10000,50000,100000},{0.0,0.0014,0.0014,0.0012,0.0011,0.001,0.001,0.001}),"")</f>
        <v>0</v>
      </c>
      <c r="P32" s="12">
        <f>iferror(if(N32="",J32,N32)*O32,"")</f>
        <v>0</v>
      </c>
      <c r="Q32" s="13" t="s">
        <v>174</v>
      </c>
    </row>
    <row r="33" spans="1:17" ht="30.0" customHeight="1">
      <c r="A33" s="10" t="s">
        <v>87</v>
      </c>
      <c r="B33" s="10" t="s">
        <v>88</v>
      </c>
      <c r="H33" s="10" t="s">
        <v>39</v>
      </c>
      <c r="J33" s="10">
        <f>CEILING(BoardQty*2,1)</f>
        <v>200</v>
      </c>
      <c r="K33" s="11">
        <f>MINA(INDIRECT(ADDRESS(ROW(),COLUMN(lcsc_part_data)+2)))</f>
        <v>0</v>
      </c>
      <c r="L33" s="12">
        <f>iferror(J33*K33,"")</f>
        <v>0</v>
      </c>
    </row>
    <row r="34" spans="1:17">
      <c r="A34" s="10" t="s">
        <v>89</v>
      </c>
      <c r="B34" s="10" t="s">
        <v>90</v>
      </c>
      <c r="H34" s="10" t="s">
        <v>91</v>
      </c>
      <c r="J34" s="10">
        <f>CEILING(BoardQty*8,1)</f>
        <v>800</v>
      </c>
      <c r="K34" s="11">
        <f>MINA(INDIRECT(ADDRESS(ROW(),COLUMN(lcsc_part_data)+2)))</f>
        <v>0</v>
      </c>
      <c r="L34" s="12">
        <f>iferror(J34*K34,"")</f>
        <v>0</v>
      </c>
    </row>
    <row r="35" spans="1:17" ht="30.0" customHeight="1">
      <c r="A35" s="10" t="s">
        <v>92</v>
      </c>
      <c r="B35" s="10" t="s">
        <v>93</v>
      </c>
      <c r="H35" s="10" t="s">
        <v>94</v>
      </c>
      <c r="I35" s="10" t="s">
        <v>95</v>
      </c>
      <c r="J35" s="10">
        <f>CEILING(BoardQty*1,1)</f>
        <v>100</v>
      </c>
      <c r="K35" s="11">
        <f>MINA(INDIRECT(ADDRESS(ROW(),COLUMN(lcsc_part_data)+2)))</f>
        <v>0</v>
      </c>
      <c r="L35" s="12">
        <f>iferror(J35*K35,"")</f>
        <v>0</v>
      </c>
    </row>
    <row r="36" spans="1:17" ht="30.0" customHeight="1">
      <c r="A36" s="10" t="s">
        <v>96</v>
      </c>
      <c r="B36" s="10" t="s">
        <v>97</v>
      </c>
      <c r="H36" s="10" t="s">
        <v>98</v>
      </c>
      <c r="I36" s="10" t="s">
        <v>99</v>
      </c>
      <c r="J36" s="10">
        <f>CEILING(BoardQty*1,1)</f>
        <v>100</v>
      </c>
      <c r="K36" s="11">
        <f>MINA(INDIRECT(ADDRESS(ROW(),COLUMN(lcsc_part_data)+2)))</f>
        <v>0</v>
      </c>
      <c r="L36" s="12">
        <f>iferror(J36*K36,"")</f>
        <v>0</v>
      </c>
    </row>
    <row r="37" spans="1:17" ht="30.0" customHeight="1">
      <c r="A37" s="10" t="s">
        <v>100</v>
      </c>
      <c r="B37" s="10" t="s">
        <v>101</v>
      </c>
      <c r="H37" s="10" t="s">
        <v>102</v>
      </c>
      <c r="I37" s="10" t="s">
        <v>103</v>
      </c>
      <c r="J37" s="10">
        <f>CEILING(BoardQty*1,1)</f>
        <v>100</v>
      </c>
      <c r="K37" s="11">
        <f>MINA(INDIRECT(ADDRESS(ROW(),COLUMN(lcsc_part_data)+2)))</f>
        <v>0</v>
      </c>
      <c r="L37" s="12">
        <f>iferror(J37*K37,"")</f>
        <v>0</v>
      </c>
    </row>
    <row r="38" spans="1:17" ht="45.0" customHeight="1">
      <c r="A38" s="10" t="s">
        <v>104</v>
      </c>
      <c r="B38" s="10" t="s">
        <v>105</v>
      </c>
      <c r="H38" s="10" t="s">
        <v>106</v>
      </c>
      <c r="I38" s="10" t="s">
        <v>107</v>
      </c>
      <c r="J38" s="10">
        <f>CEILING(BoardQty*1,1)</f>
        <v>100</v>
      </c>
      <c r="K38" s="11">
        <f>MINA(INDIRECT(ADDRESS(ROW(),COLUMN(lcsc_part_data)+2)))</f>
        <v>0</v>
      </c>
      <c r="L38" s="12">
        <f>iferror(J38*K38,"")</f>
        <v>0</v>
      </c>
    </row>
    <row r="39" spans="1:17" ht="30.0" customHeight="1">
      <c r="A39" s="10" t="s">
        <v>108</v>
      </c>
      <c r="B39" s="10" t="s">
        <v>109</v>
      </c>
      <c r="H39" s="10" t="s">
        <v>110</v>
      </c>
      <c r="I39" s="10" t="s">
        <v>111</v>
      </c>
      <c r="J39" s="10">
        <f>CEILING(BoardQty*1,1)</f>
        <v>100</v>
      </c>
      <c r="K39" s="11">
        <f>MINA(INDIRECT(ADDRESS(ROW(),COLUMN(lcsc_part_data)+2)))</f>
        <v>0</v>
      </c>
      <c r="L39" s="12">
        <f>iferror(J39*K39,"")</f>
        <v>0</v>
      </c>
    </row>
    <row r="40" spans="1:17" ht="30.0" customHeight="1">
      <c r="A40" s="10" t="s">
        <v>112</v>
      </c>
      <c r="B40" s="10" t="s">
        <v>113</v>
      </c>
      <c r="H40" s="10" t="s">
        <v>114</v>
      </c>
      <c r="I40" s="10" t="s">
        <v>115</v>
      </c>
      <c r="J40" s="10">
        <f>CEILING(BoardQty*1,1)</f>
        <v>100</v>
      </c>
      <c r="K40" s="11">
        <f>MINA(INDIRECT(ADDRESS(ROW(),COLUMN(lcsc_part_data)+2)))</f>
        <v>0</v>
      </c>
      <c r="L40" s="12">
        <f>iferror(J40*K40,"")</f>
        <v>0</v>
      </c>
    </row>
    <row r="41" spans="1:17" ht="30.0" customHeight="1">
      <c r="A41" s="10" t="s">
        <v>116</v>
      </c>
      <c r="B41" s="10" t="s">
        <v>117</v>
      </c>
      <c r="H41" s="10" t="s">
        <v>118</v>
      </c>
      <c r="I41" s="10" t="s">
        <v>119</v>
      </c>
      <c r="J41" s="10">
        <f>CEILING(BoardQty*1,1)</f>
        <v>100</v>
      </c>
      <c r="K41" s="11">
        <f>MINA(INDIRECT(ADDRESS(ROW(),COLUMN(lcsc_part_data)+2)))</f>
        <v>0</v>
      </c>
      <c r="L41" s="12">
        <f>iferror(J41*K41,"")</f>
        <v>0</v>
      </c>
      <c r="M41" s="10">
        <v>10048</v>
      </c>
      <c r="O41" s="11">
        <f>iferror(lookup(if(N41="",J41,N41),{0,1,10,30,100,500,1000},{0.0,1.2802,0.9978,0.9262,0.835,0.7917,0.7858}),"")</f>
        <v>0</v>
      </c>
      <c r="P41" s="12">
        <f>iferror(if(N41="",J41,N41)*O41,"")</f>
        <v>0</v>
      </c>
      <c r="Q41" s="13" t="s">
        <v>175</v>
      </c>
    </row>
    <row r="42" spans="1:17" ht="30.0" customHeight="1">
      <c r="A42" s="10" t="s">
        <v>120</v>
      </c>
      <c r="B42" s="10" t="s">
        <v>121</v>
      </c>
      <c r="H42" s="10" t="s">
        <v>70</v>
      </c>
      <c r="I42" s="10" t="s">
        <v>122</v>
      </c>
      <c r="J42" s="10">
        <f>CEILING(BoardQty*1,1)</f>
        <v>100</v>
      </c>
      <c r="K42" s="11">
        <f>MINA(INDIRECT(ADDRESS(ROW(),COLUMN(lcsc_part_data)+2)))</f>
        <v>0</v>
      </c>
      <c r="L42" s="12">
        <f>iferror(J42*K42,"")</f>
        <v>0</v>
      </c>
    </row>
    <row r="43" spans="1:17" ht="60.0" customHeight="1">
      <c r="A43" s="10" t="s">
        <v>123</v>
      </c>
      <c r="B43" s="10" t="s">
        <v>124</v>
      </c>
      <c r="H43" s="10" t="s">
        <v>125</v>
      </c>
      <c r="I43" s="10" t="s">
        <v>126</v>
      </c>
      <c r="J43" s="10">
        <f>CEILING(BoardQty*1,1)</f>
        <v>100</v>
      </c>
      <c r="K43" s="11">
        <f>MINA(INDIRECT(ADDRESS(ROW(),COLUMN(lcsc_part_data)+2)))</f>
        <v>0</v>
      </c>
      <c r="L43" s="12">
        <f>iferror(J43*K43,"")</f>
        <v>0</v>
      </c>
    </row>
    <row r="44" spans="1:17">
      <c r="A44" s="10" t="s">
        <v>127</v>
      </c>
      <c r="B44" s="10" t="s">
        <v>128</v>
      </c>
      <c r="H44" s="10" t="s">
        <v>94</v>
      </c>
      <c r="J44" s="10">
        <f>CEILING(BoardQty*1,1)</f>
        <v>100</v>
      </c>
      <c r="K44" s="11">
        <f>MINA(INDIRECT(ADDRESS(ROW(),COLUMN(lcsc_part_data)+2)))</f>
        <v>0</v>
      </c>
      <c r="L44" s="12">
        <f>iferror(J44*K44,"")</f>
        <v>0</v>
      </c>
    </row>
    <row r="45" spans="1:17" ht="60.0" customHeight="1">
      <c r="A45" s="10" t="s">
        <v>129</v>
      </c>
      <c r="B45" s="10" t="s">
        <v>130</v>
      </c>
      <c r="H45" s="10" t="s">
        <v>131</v>
      </c>
      <c r="I45" s="10" t="s">
        <v>132</v>
      </c>
      <c r="J45" s="10">
        <f>CEILING(BoardQty*2,1)</f>
        <v>200</v>
      </c>
      <c r="K45" s="11">
        <f>MINA(INDIRECT(ADDRESS(ROW(),COLUMN(lcsc_part_data)+2)))</f>
        <v>0</v>
      </c>
      <c r="L45" s="12">
        <f>iferror(J45*K45,"")</f>
        <v>0</v>
      </c>
    </row>
    <row r="46" spans="1:17" ht="45.0" customHeight="1">
      <c r="A46" s="10" t="s">
        <v>133</v>
      </c>
      <c r="B46" s="10" t="s">
        <v>134</v>
      </c>
      <c r="H46" s="10" t="s">
        <v>135</v>
      </c>
      <c r="I46" s="10" t="s">
        <v>136</v>
      </c>
      <c r="J46" s="10">
        <f>CEILING(BoardQty*1,1)</f>
        <v>100</v>
      </c>
      <c r="K46" s="11">
        <f>MINA(INDIRECT(ADDRESS(ROW(),COLUMN(lcsc_part_data)+2)))</f>
        <v>0</v>
      </c>
      <c r="L46" s="12">
        <f>iferror(J46*K46,"")</f>
        <v>0</v>
      </c>
    </row>
    <row r="47" spans="1:17" ht="45.0" customHeight="1">
      <c r="A47" s="10" t="s">
        <v>137</v>
      </c>
      <c r="B47" s="10" t="s">
        <v>138</v>
      </c>
      <c r="H47" s="10" t="s">
        <v>139</v>
      </c>
      <c r="I47" s="10" t="s">
        <v>140</v>
      </c>
      <c r="J47" s="10">
        <f>CEILING(BoardQty*1,1)</f>
        <v>100</v>
      </c>
      <c r="K47" s="11">
        <f>MINA(INDIRECT(ADDRESS(ROW(),COLUMN(lcsc_part_data)+2)))</f>
        <v>0</v>
      </c>
      <c r="L47" s="12">
        <f>iferror(J47*K47,"")</f>
        <v>0</v>
      </c>
    </row>
    <row r="48" spans="1:17">
      <c r="A48" s="10" t="s">
        <v>141</v>
      </c>
      <c r="B48" s="10" t="s">
        <v>142</v>
      </c>
      <c r="H48" s="10" t="s">
        <v>143</v>
      </c>
      <c r="J48" s="10">
        <f>CEILING(BoardQty*1,1)</f>
        <v>100</v>
      </c>
      <c r="K48" s="11">
        <f>MINA(INDIRECT(ADDRESS(ROW(),COLUMN(lcsc_part_data)+2)))</f>
        <v>0</v>
      </c>
      <c r="L48" s="12">
        <f>iferror(J48*K48,"")</f>
        <v>0</v>
      </c>
    </row>
    <row r="50" spans="1:16">
      <c r="B50" s="14" t="s">
        <v>146</v>
      </c>
      <c r="K50" s="1" t="s">
        <v>144</v>
      </c>
      <c r="L50" s="5">
        <f>SUM(INDIRECT(ADDRESS(ROW(),COLUMN(lcsc_part_data)+3)))</f>
        <v>0</v>
      </c>
      <c r="M50" s="13" t="s">
        <v>176</v>
      </c>
      <c r="N50" s="6">
        <f>IFERROR(IF(OR(N7:N48),COUNTIFS(N7:N48,"&gt;0",P7:P48,"&lt;&gt;")&amp;" of "&amp;(ROWS(P7:P48)-COUNTBLANK(P7:P48))&amp;" parts purchased",""),"")</f>
        <v>0</v>
      </c>
      <c r="P50" s="5">
        <f>SUMIF(N7:N48,"&gt;0",P7:P48)</f>
        <v>0</v>
      </c>
    </row>
    <row r="51" spans="1:16">
      <c r="B51" s="14" t="s">
        <v>147</v>
      </c>
      <c r="C51">
        <v>0.841467519353753</v>
      </c>
      <c r="K51" s="14" t="s">
        <v>145</v>
      </c>
      <c r="N51" s="6">
        <f>IFERROR(IF(COUNTIFS(N7:N48,"&gt;0",P7:P48,"&lt;&gt;")&gt;0,"Quantity,Comment,Designator,Footprint,LCSC Part #(optional)",""),"")</f>
        <v>0</v>
      </c>
    </row>
    <row r="52" spans="1:16">
      <c r="N52">
        <f t="array" ref="N52">IFERROR(CONCATENATE(TEXT(INDEX(N7:N48,SMALL(IF(ISNUMBER(N7:N48),IF(N7:N48&gt;0,IF(Q7:Q48&lt;&gt;"",ROW(N7:N48)-MIN(ROW(N7:N48))+1))),ROW()-ROW(A$52)+1)),"##0"),",",SUBSTITUTE(INDEX(IF(PURCHASE_DESCRIPTION&lt;&gt;"",PURCHASE_DESCRIPTION&amp;":","")&amp;A7:A48,SMALL(IF(ISNUMBER(N7:N48),IF(N7:N48&gt;0,IF(Q7:Q48&lt;&gt;"",ROW(N7:N48)-MIN(ROW(N7:N48))+1))),ROW()-ROW(A$52)+1)),",",";"),",",SUBSTITUTE(INDEX(IF(PURCHASE_DESCRIPTION&lt;&gt;"",PURCHASE_DESCRIPTION&amp;":","")&amp;H7:H48,SMALL(IF(ISNUMBER(N7:N48),IF(N7:N48&gt;0,IF(Q7:Q48&lt;&gt;"",ROW(N7:N48)-MIN(ROW(N7:N48))+1))),ROW()-ROW(A$52)+1)),",",";"),",",INDEX(Q7:Q48,SMALL(IF(ISNUMBER(N7:N48),IF(N7:N48&gt;0,IF(Q7:Q48&lt;&gt;"",ROW(N7:N48)-MIN(ROW(N7:N48))+1))),ROW()-ROW(A$52)+1))),"")</f>
        <v>0</v>
      </c>
    </row>
    <row r="53" spans="1:16">
      <c r="A53" s="2" t="s">
        <v>177</v>
      </c>
      <c r="N53">
        <f t="array" ref="N53">IFERROR(CONCATENATE(TEXT(INDEX(N7:N48,SMALL(IF(ISNUMBER(N7:N48),IF(N7:N48&gt;0,IF(Q7:Q48&lt;&gt;"",ROW(N7:N48)-MIN(ROW(N7:N48))+1))),ROW()-ROW(A$52)+1)),"##0"),",",SUBSTITUTE(INDEX(IF(PURCHASE_DESCRIPTION&lt;&gt;"",PURCHASE_DESCRIPTION&amp;":","")&amp;A7:A48,SMALL(IF(ISNUMBER(N7:N48),IF(N7:N48&gt;0,IF(Q7:Q48&lt;&gt;"",ROW(N7:N48)-MIN(ROW(N7:N48))+1))),ROW()-ROW(A$52)+1)),",",";"),",",SUBSTITUTE(INDEX(IF(PURCHASE_DESCRIPTION&lt;&gt;"",PURCHASE_DESCRIPTION&amp;":","")&amp;H7:H48,SMALL(IF(ISNUMBER(N7:N48),IF(N7:N48&gt;0,IF(Q7:Q48&lt;&gt;"",ROW(N7:N48)-MIN(ROW(N7:N48))+1))),ROW()-ROW(A$52)+1)),",",";"),",",INDEX(Q7:Q48,SMALL(IF(ISNUMBER(N7:N48),IF(N7:N48&gt;0,IF(Q7:Q48&lt;&gt;"",ROW(N7:N48)-MIN(ROW(N7:N48))+1))),ROW()-ROW(A$52)+1))),"")</f>
        <v>0</v>
      </c>
    </row>
    <row r="54" spans="1:16">
      <c r="N54">
        <f t="array" ref="N54">IFERROR(CONCATENATE(TEXT(INDEX(N7:N48,SMALL(IF(ISNUMBER(N7:N48),IF(N7:N48&gt;0,IF(Q7:Q48&lt;&gt;"",ROW(N7:N48)-MIN(ROW(N7:N48))+1))),ROW()-ROW(A$52)+1)),"##0"),",",SUBSTITUTE(INDEX(IF(PURCHASE_DESCRIPTION&lt;&gt;"",PURCHASE_DESCRIPTION&amp;":","")&amp;A7:A48,SMALL(IF(ISNUMBER(N7:N48),IF(N7:N48&gt;0,IF(Q7:Q48&lt;&gt;"",ROW(N7:N48)-MIN(ROW(N7:N48))+1))),ROW()-ROW(A$52)+1)),",",";"),",",SUBSTITUTE(INDEX(IF(PURCHASE_DESCRIPTION&lt;&gt;"",PURCHASE_DESCRIPTION&amp;":","")&amp;H7:H48,SMALL(IF(ISNUMBER(N7:N48),IF(N7:N48&gt;0,IF(Q7:Q48&lt;&gt;"",ROW(N7:N48)-MIN(ROW(N7:N48))+1))),ROW()-ROW(A$52)+1)),",",";"),",",INDEX(Q7:Q48,SMALL(IF(ISNUMBER(N7:N48),IF(N7:N48&gt;0,IF(Q7:Q48&lt;&gt;"",ROW(N7:N48)-MIN(ROW(N7:N48))+1))),ROW()-ROW(A$52)+1))),"")</f>
        <v>0</v>
      </c>
    </row>
    <row r="55" spans="1:16">
      <c r="N55">
        <f t="array" ref="N55">IFERROR(CONCATENATE(TEXT(INDEX(N7:N48,SMALL(IF(ISNUMBER(N7:N48),IF(N7:N48&gt;0,IF(Q7:Q48&lt;&gt;"",ROW(N7:N48)-MIN(ROW(N7:N48))+1))),ROW()-ROW(A$52)+1)),"##0"),",",SUBSTITUTE(INDEX(IF(PURCHASE_DESCRIPTION&lt;&gt;"",PURCHASE_DESCRIPTION&amp;":","")&amp;A7:A48,SMALL(IF(ISNUMBER(N7:N48),IF(N7:N48&gt;0,IF(Q7:Q48&lt;&gt;"",ROW(N7:N48)-MIN(ROW(N7:N48))+1))),ROW()-ROW(A$52)+1)),",",";"),",",SUBSTITUTE(INDEX(IF(PURCHASE_DESCRIPTION&lt;&gt;"",PURCHASE_DESCRIPTION&amp;":","")&amp;H7:H48,SMALL(IF(ISNUMBER(N7:N48),IF(N7:N48&gt;0,IF(Q7:Q48&lt;&gt;"",ROW(N7:N48)-MIN(ROW(N7:N48))+1))),ROW()-ROW(A$52)+1)),",",";"),",",INDEX(Q7:Q48,SMALL(IF(ISNUMBER(N7:N48),IF(N7:N48&gt;0,IF(Q7:Q48&lt;&gt;"",ROW(N7:N48)-MIN(ROW(N7:N48))+1))),ROW()-ROW(A$52)+1))),"")</f>
        <v>0</v>
      </c>
    </row>
    <row r="56" spans="1:16">
      <c r="N56">
        <f t="array" ref="N56">IFERROR(CONCATENATE(TEXT(INDEX(N7:N48,SMALL(IF(ISNUMBER(N7:N48),IF(N7:N48&gt;0,IF(Q7:Q48&lt;&gt;"",ROW(N7:N48)-MIN(ROW(N7:N48))+1))),ROW()-ROW(A$52)+1)),"##0"),",",SUBSTITUTE(INDEX(IF(PURCHASE_DESCRIPTION&lt;&gt;"",PURCHASE_DESCRIPTION&amp;":","")&amp;A7:A48,SMALL(IF(ISNUMBER(N7:N48),IF(N7:N48&gt;0,IF(Q7:Q48&lt;&gt;"",ROW(N7:N48)-MIN(ROW(N7:N48))+1))),ROW()-ROW(A$52)+1)),",",";"),",",SUBSTITUTE(INDEX(IF(PURCHASE_DESCRIPTION&lt;&gt;"",PURCHASE_DESCRIPTION&amp;":","")&amp;H7:H48,SMALL(IF(ISNUMBER(N7:N48),IF(N7:N48&gt;0,IF(Q7:Q48&lt;&gt;"",ROW(N7:N48)-MIN(ROW(N7:N48))+1))),ROW()-ROW(A$52)+1)),",",";"),",",INDEX(Q7:Q48,SMALL(IF(ISNUMBER(N7:N48),IF(N7:N48&gt;0,IF(Q7:Q48&lt;&gt;"",ROW(N7:N48)-MIN(ROW(N7:N48))+1))),ROW()-ROW(A$52)+1))),"")</f>
        <v>0</v>
      </c>
    </row>
    <row r="57" spans="1:16">
      <c r="N57">
        <f t="array" ref="N57">IFERROR(CONCATENATE(TEXT(INDEX(N7:N48,SMALL(IF(ISNUMBER(N7:N48),IF(N7:N48&gt;0,IF(Q7:Q48&lt;&gt;"",ROW(N7:N48)-MIN(ROW(N7:N48))+1))),ROW()-ROW(A$52)+1)),"##0"),",",SUBSTITUTE(INDEX(IF(PURCHASE_DESCRIPTION&lt;&gt;"",PURCHASE_DESCRIPTION&amp;":","")&amp;A7:A48,SMALL(IF(ISNUMBER(N7:N48),IF(N7:N48&gt;0,IF(Q7:Q48&lt;&gt;"",ROW(N7:N48)-MIN(ROW(N7:N48))+1))),ROW()-ROW(A$52)+1)),",",";"),",",SUBSTITUTE(INDEX(IF(PURCHASE_DESCRIPTION&lt;&gt;"",PURCHASE_DESCRIPTION&amp;":","")&amp;H7:H48,SMALL(IF(ISNUMBER(N7:N48),IF(N7:N48&gt;0,IF(Q7:Q48&lt;&gt;"",ROW(N7:N48)-MIN(ROW(N7:N48))+1))),ROW()-ROW(A$52)+1)),",",";"),",",INDEX(Q7:Q48,SMALL(IF(ISNUMBER(N7:N48),IF(N7:N48&gt;0,IF(Q7:Q48&lt;&gt;"",ROW(N7:N48)-MIN(ROW(N7:N48))+1))),ROW()-ROW(A$52)+1))),"")</f>
        <v>0</v>
      </c>
    </row>
    <row r="58" spans="1:16">
      <c r="N58">
        <f t="array" ref="N58">IFERROR(CONCATENATE(TEXT(INDEX(N7:N48,SMALL(IF(ISNUMBER(N7:N48),IF(N7:N48&gt;0,IF(Q7:Q48&lt;&gt;"",ROW(N7:N48)-MIN(ROW(N7:N48))+1))),ROW()-ROW(A$52)+1)),"##0"),",",SUBSTITUTE(INDEX(IF(PURCHASE_DESCRIPTION&lt;&gt;"",PURCHASE_DESCRIPTION&amp;":","")&amp;A7:A48,SMALL(IF(ISNUMBER(N7:N48),IF(N7:N48&gt;0,IF(Q7:Q48&lt;&gt;"",ROW(N7:N48)-MIN(ROW(N7:N48))+1))),ROW()-ROW(A$52)+1)),",",";"),",",SUBSTITUTE(INDEX(IF(PURCHASE_DESCRIPTION&lt;&gt;"",PURCHASE_DESCRIPTION&amp;":","")&amp;H7:H48,SMALL(IF(ISNUMBER(N7:N48),IF(N7:N48&gt;0,IF(Q7:Q48&lt;&gt;"",ROW(N7:N48)-MIN(ROW(N7:N48))+1))),ROW()-ROW(A$52)+1)),",",";"),",",INDEX(Q7:Q48,SMALL(IF(ISNUMBER(N7:N48),IF(N7:N48&gt;0,IF(Q7:Q48&lt;&gt;"",ROW(N7:N48)-MIN(ROW(N7:N48))+1))),ROW()-ROW(A$52)+1))),"")</f>
        <v>0</v>
      </c>
    </row>
    <row r="59" spans="1:16">
      <c r="N59">
        <f t="array" ref="N59">IFERROR(CONCATENATE(TEXT(INDEX(N7:N48,SMALL(IF(ISNUMBER(N7:N48),IF(N7:N48&gt;0,IF(Q7:Q48&lt;&gt;"",ROW(N7:N48)-MIN(ROW(N7:N48))+1))),ROW()-ROW(A$52)+1)),"##0"),",",SUBSTITUTE(INDEX(IF(PURCHASE_DESCRIPTION&lt;&gt;"",PURCHASE_DESCRIPTION&amp;":","")&amp;A7:A48,SMALL(IF(ISNUMBER(N7:N48),IF(N7:N48&gt;0,IF(Q7:Q48&lt;&gt;"",ROW(N7:N48)-MIN(ROW(N7:N48))+1))),ROW()-ROW(A$52)+1)),",",";"),",",SUBSTITUTE(INDEX(IF(PURCHASE_DESCRIPTION&lt;&gt;"",PURCHASE_DESCRIPTION&amp;":","")&amp;H7:H48,SMALL(IF(ISNUMBER(N7:N48),IF(N7:N48&gt;0,IF(Q7:Q48&lt;&gt;"",ROW(N7:N48)-MIN(ROW(N7:N48))+1))),ROW()-ROW(A$52)+1)),",",";"),",",INDEX(Q7:Q48,SMALL(IF(ISNUMBER(N7:N48),IF(N7:N48&gt;0,IF(Q7:Q48&lt;&gt;"",ROW(N7:N48)-MIN(ROW(N7:N48))+1))),ROW()-ROW(A$52)+1))),"")</f>
        <v>0</v>
      </c>
    </row>
    <row r="60" spans="1:16">
      <c r="N60">
        <f t="array" ref="N60">IFERROR(CONCATENATE(TEXT(INDEX(N7:N48,SMALL(IF(ISNUMBER(N7:N48),IF(N7:N48&gt;0,IF(Q7:Q48&lt;&gt;"",ROW(N7:N48)-MIN(ROW(N7:N48))+1))),ROW()-ROW(A$52)+1)),"##0"),",",SUBSTITUTE(INDEX(IF(PURCHASE_DESCRIPTION&lt;&gt;"",PURCHASE_DESCRIPTION&amp;":","")&amp;A7:A48,SMALL(IF(ISNUMBER(N7:N48),IF(N7:N48&gt;0,IF(Q7:Q48&lt;&gt;"",ROW(N7:N48)-MIN(ROW(N7:N48))+1))),ROW()-ROW(A$52)+1)),",",";"),",",SUBSTITUTE(INDEX(IF(PURCHASE_DESCRIPTION&lt;&gt;"",PURCHASE_DESCRIPTION&amp;":","")&amp;H7:H48,SMALL(IF(ISNUMBER(N7:N48),IF(N7:N48&gt;0,IF(Q7:Q48&lt;&gt;"",ROW(N7:N48)-MIN(ROW(N7:N48))+1))),ROW()-ROW(A$52)+1)),",",";"),",",INDEX(Q7:Q48,SMALL(IF(ISNUMBER(N7:N48),IF(N7:N48&gt;0,IF(Q7:Q48&lt;&gt;"",ROW(N7:N48)-MIN(ROW(N7:N48))+1))),ROW()-ROW(A$52)+1))),"")</f>
        <v>0</v>
      </c>
    </row>
    <row r="61" spans="1:16">
      <c r="N61">
        <f t="array" ref="N61">IFERROR(CONCATENATE(TEXT(INDEX(N7:N48,SMALL(IF(ISNUMBER(N7:N48),IF(N7:N48&gt;0,IF(Q7:Q48&lt;&gt;"",ROW(N7:N48)-MIN(ROW(N7:N48))+1))),ROW()-ROW(A$52)+1)),"##0"),",",SUBSTITUTE(INDEX(IF(PURCHASE_DESCRIPTION&lt;&gt;"",PURCHASE_DESCRIPTION&amp;":","")&amp;A7:A48,SMALL(IF(ISNUMBER(N7:N48),IF(N7:N48&gt;0,IF(Q7:Q48&lt;&gt;"",ROW(N7:N48)-MIN(ROW(N7:N48))+1))),ROW()-ROW(A$52)+1)),",",";"),",",SUBSTITUTE(INDEX(IF(PURCHASE_DESCRIPTION&lt;&gt;"",PURCHASE_DESCRIPTION&amp;":","")&amp;H7:H48,SMALL(IF(ISNUMBER(N7:N48),IF(N7:N48&gt;0,IF(Q7:Q48&lt;&gt;"",ROW(N7:N48)-MIN(ROW(N7:N48))+1))),ROW()-ROW(A$52)+1)),",",";"),",",INDEX(Q7:Q48,SMALL(IF(ISNUMBER(N7:N48),IF(N7:N48&gt;0,IF(Q7:Q48&lt;&gt;"",ROW(N7:N48)-MIN(ROW(N7:N48))+1))),ROW()-ROW(A$52)+1))),"")</f>
        <v>0</v>
      </c>
    </row>
    <row r="62" spans="1:16">
      <c r="N62">
        <f t="array" ref="N62">IFERROR(CONCATENATE(TEXT(INDEX(N7:N48,SMALL(IF(ISNUMBER(N7:N48),IF(N7:N48&gt;0,IF(Q7:Q48&lt;&gt;"",ROW(N7:N48)-MIN(ROW(N7:N48))+1))),ROW()-ROW(A$52)+1)),"##0"),",",SUBSTITUTE(INDEX(IF(PURCHASE_DESCRIPTION&lt;&gt;"",PURCHASE_DESCRIPTION&amp;":","")&amp;A7:A48,SMALL(IF(ISNUMBER(N7:N48),IF(N7:N48&gt;0,IF(Q7:Q48&lt;&gt;"",ROW(N7:N48)-MIN(ROW(N7:N48))+1))),ROW()-ROW(A$52)+1)),",",";"),",",SUBSTITUTE(INDEX(IF(PURCHASE_DESCRIPTION&lt;&gt;"",PURCHASE_DESCRIPTION&amp;":","")&amp;H7:H48,SMALL(IF(ISNUMBER(N7:N48),IF(N7:N48&gt;0,IF(Q7:Q48&lt;&gt;"",ROW(N7:N48)-MIN(ROW(N7:N48))+1))),ROW()-ROW(A$52)+1)),",",";"),",",INDEX(Q7:Q48,SMALL(IF(ISNUMBER(N7:N48),IF(N7:N48&gt;0,IF(Q7:Q48&lt;&gt;"",ROW(N7:N48)-MIN(ROW(N7:N48))+1))),ROW()-ROW(A$52)+1))),"")</f>
        <v>0</v>
      </c>
    </row>
    <row r="63" spans="1:16">
      <c r="N63">
        <f t="array" ref="N63">IFERROR(CONCATENATE(TEXT(INDEX(N7:N48,SMALL(IF(ISNUMBER(N7:N48),IF(N7:N48&gt;0,IF(Q7:Q48&lt;&gt;"",ROW(N7:N48)-MIN(ROW(N7:N48))+1))),ROW()-ROW(A$52)+1)),"##0"),",",SUBSTITUTE(INDEX(IF(PURCHASE_DESCRIPTION&lt;&gt;"",PURCHASE_DESCRIPTION&amp;":","")&amp;A7:A48,SMALL(IF(ISNUMBER(N7:N48),IF(N7:N48&gt;0,IF(Q7:Q48&lt;&gt;"",ROW(N7:N48)-MIN(ROW(N7:N48))+1))),ROW()-ROW(A$52)+1)),",",";"),",",SUBSTITUTE(INDEX(IF(PURCHASE_DESCRIPTION&lt;&gt;"",PURCHASE_DESCRIPTION&amp;":","")&amp;H7:H48,SMALL(IF(ISNUMBER(N7:N48),IF(N7:N48&gt;0,IF(Q7:Q48&lt;&gt;"",ROW(N7:N48)-MIN(ROW(N7:N48))+1))),ROW()-ROW(A$52)+1)),",",";"),",",INDEX(Q7:Q48,SMALL(IF(ISNUMBER(N7:N48),IF(N7:N48&gt;0,IF(Q7:Q48&lt;&gt;"",ROW(N7:N48)-MIN(ROW(N7:N48))+1))),ROW()-ROW(A$52)+1))),"")</f>
        <v>0</v>
      </c>
    </row>
    <row r="64" spans="1:16">
      <c r="N64">
        <f t="array" ref="N64">IFERROR(CONCATENATE(TEXT(INDEX(N7:N48,SMALL(IF(ISNUMBER(N7:N48),IF(N7:N48&gt;0,IF(Q7:Q48&lt;&gt;"",ROW(N7:N48)-MIN(ROW(N7:N48))+1))),ROW()-ROW(A$52)+1)),"##0"),",",SUBSTITUTE(INDEX(IF(PURCHASE_DESCRIPTION&lt;&gt;"",PURCHASE_DESCRIPTION&amp;":","")&amp;A7:A48,SMALL(IF(ISNUMBER(N7:N48),IF(N7:N48&gt;0,IF(Q7:Q48&lt;&gt;"",ROW(N7:N48)-MIN(ROW(N7:N48))+1))),ROW()-ROW(A$52)+1)),",",";"),",",SUBSTITUTE(INDEX(IF(PURCHASE_DESCRIPTION&lt;&gt;"",PURCHASE_DESCRIPTION&amp;":","")&amp;H7:H48,SMALL(IF(ISNUMBER(N7:N48),IF(N7:N48&gt;0,IF(Q7:Q48&lt;&gt;"",ROW(N7:N48)-MIN(ROW(N7:N48))+1))),ROW()-ROW(A$52)+1)),",",";"),",",INDEX(Q7:Q48,SMALL(IF(ISNUMBER(N7:N48),IF(N7:N48&gt;0,IF(Q7:Q48&lt;&gt;"",ROW(N7:N48)-MIN(ROW(N7:N48))+1))),ROW()-ROW(A$52)+1))),"")</f>
        <v>0</v>
      </c>
    </row>
    <row r="65" spans="14:14">
      <c r="N65">
        <f t="array" ref="N65">IFERROR(CONCATENATE(TEXT(INDEX(N7:N48,SMALL(IF(ISNUMBER(N7:N48),IF(N7:N48&gt;0,IF(Q7:Q48&lt;&gt;"",ROW(N7:N48)-MIN(ROW(N7:N48))+1))),ROW()-ROW(A$52)+1)),"##0"),",",SUBSTITUTE(INDEX(IF(PURCHASE_DESCRIPTION&lt;&gt;"",PURCHASE_DESCRIPTION&amp;":","")&amp;A7:A48,SMALL(IF(ISNUMBER(N7:N48),IF(N7:N48&gt;0,IF(Q7:Q48&lt;&gt;"",ROW(N7:N48)-MIN(ROW(N7:N48))+1))),ROW()-ROW(A$52)+1)),",",";"),",",SUBSTITUTE(INDEX(IF(PURCHASE_DESCRIPTION&lt;&gt;"",PURCHASE_DESCRIPTION&amp;":","")&amp;H7:H48,SMALL(IF(ISNUMBER(N7:N48),IF(N7:N48&gt;0,IF(Q7:Q48&lt;&gt;"",ROW(N7:N48)-MIN(ROW(N7:N48))+1))),ROW()-ROW(A$52)+1)),",",";"),",",INDEX(Q7:Q48,SMALL(IF(ISNUMBER(N7:N48),IF(N7:N48&gt;0,IF(Q7:Q48&lt;&gt;"",ROW(N7:N48)-MIN(ROW(N7:N48))+1))),ROW()-ROW(A$52)+1))),"")</f>
        <v>0</v>
      </c>
    </row>
    <row r="66" spans="14:14">
      <c r="N66">
        <f t="array" ref="N66">IFERROR(CONCATENATE(TEXT(INDEX(N7:N48,SMALL(IF(ISNUMBER(N7:N48),IF(N7:N48&gt;0,IF(Q7:Q48&lt;&gt;"",ROW(N7:N48)-MIN(ROW(N7:N48))+1))),ROW()-ROW(A$52)+1)),"##0"),",",SUBSTITUTE(INDEX(IF(PURCHASE_DESCRIPTION&lt;&gt;"",PURCHASE_DESCRIPTION&amp;":","")&amp;A7:A48,SMALL(IF(ISNUMBER(N7:N48),IF(N7:N48&gt;0,IF(Q7:Q48&lt;&gt;"",ROW(N7:N48)-MIN(ROW(N7:N48))+1))),ROW()-ROW(A$52)+1)),",",";"),",",SUBSTITUTE(INDEX(IF(PURCHASE_DESCRIPTION&lt;&gt;"",PURCHASE_DESCRIPTION&amp;":","")&amp;H7:H48,SMALL(IF(ISNUMBER(N7:N48),IF(N7:N48&gt;0,IF(Q7:Q48&lt;&gt;"",ROW(N7:N48)-MIN(ROW(N7:N48))+1))),ROW()-ROW(A$52)+1)),",",";"),",",INDEX(Q7:Q48,SMALL(IF(ISNUMBER(N7:N48),IF(N7:N48&gt;0,IF(Q7:Q48&lt;&gt;"",ROW(N7:N48)-MIN(ROW(N7:N48))+1))),ROW()-ROW(A$52)+1))),"")</f>
        <v>0</v>
      </c>
    </row>
    <row r="67" spans="14:14">
      <c r="N67">
        <f t="array" ref="N67">IFERROR(CONCATENATE(TEXT(INDEX(N7:N48,SMALL(IF(ISNUMBER(N7:N48),IF(N7:N48&gt;0,IF(Q7:Q48&lt;&gt;"",ROW(N7:N48)-MIN(ROW(N7:N48))+1))),ROW()-ROW(A$52)+1)),"##0"),",",SUBSTITUTE(INDEX(IF(PURCHASE_DESCRIPTION&lt;&gt;"",PURCHASE_DESCRIPTION&amp;":","")&amp;A7:A48,SMALL(IF(ISNUMBER(N7:N48),IF(N7:N48&gt;0,IF(Q7:Q48&lt;&gt;"",ROW(N7:N48)-MIN(ROW(N7:N48))+1))),ROW()-ROW(A$52)+1)),",",";"),",",SUBSTITUTE(INDEX(IF(PURCHASE_DESCRIPTION&lt;&gt;"",PURCHASE_DESCRIPTION&amp;":","")&amp;H7:H48,SMALL(IF(ISNUMBER(N7:N48),IF(N7:N48&gt;0,IF(Q7:Q48&lt;&gt;"",ROW(N7:N48)-MIN(ROW(N7:N48))+1))),ROW()-ROW(A$52)+1)),",",";"),",",INDEX(Q7:Q48,SMALL(IF(ISNUMBER(N7:N48),IF(N7:N48&gt;0,IF(Q7:Q48&lt;&gt;"",ROW(N7:N48)-MIN(ROW(N7:N48))+1))),ROW()-ROW(A$52)+1))),"")</f>
        <v>0</v>
      </c>
    </row>
    <row r="68" spans="14:14">
      <c r="N68">
        <f t="array" ref="N68">IFERROR(CONCATENATE(TEXT(INDEX(N7:N48,SMALL(IF(ISNUMBER(N7:N48),IF(N7:N48&gt;0,IF(Q7:Q48&lt;&gt;"",ROW(N7:N48)-MIN(ROW(N7:N48))+1))),ROW()-ROW(A$52)+1)),"##0"),",",SUBSTITUTE(INDEX(IF(PURCHASE_DESCRIPTION&lt;&gt;"",PURCHASE_DESCRIPTION&amp;":","")&amp;A7:A48,SMALL(IF(ISNUMBER(N7:N48),IF(N7:N48&gt;0,IF(Q7:Q48&lt;&gt;"",ROW(N7:N48)-MIN(ROW(N7:N48))+1))),ROW()-ROW(A$52)+1)),",",";"),",",SUBSTITUTE(INDEX(IF(PURCHASE_DESCRIPTION&lt;&gt;"",PURCHASE_DESCRIPTION&amp;":","")&amp;H7:H48,SMALL(IF(ISNUMBER(N7:N48),IF(N7:N48&gt;0,IF(Q7:Q48&lt;&gt;"",ROW(N7:N48)-MIN(ROW(N7:N48))+1))),ROW()-ROW(A$52)+1)),",",";"),",",INDEX(Q7:Q48,SMALL(IF(ISNUMBER(N7:N48),IF(N7:N48&gt;0,IF(Q7:Q48&lt;&gt;"",ROW(N7:N48)-MIN(ROW(N7:N48))+1))),ROW()-ROW(A$52)+1))),"")</f>
        <v>0</v>
      </c>
    </row>
    <row r="69" spans="14:14">
      <c r="N69">
        <f t="array" ref="N69">IFERROR(CONCATENATE(TEXT(INDEX(N7:N48,SMALL(IF(ISNUMBER(N7:N48),IF(N7:N48&gt;0,IF(Q7:Q48&lt;&gt;"",ROW(N7:N48)-MIN(ROW(N7:N48))+1))),ROW()-ROW(A$52)+1)),"##0"),",",SUBSTITUTE(INDEX(IF(PURCHASE_DESCRIPTION&lt;&gt;"",PURCHASE_DESCRIPTION&amp;":","")&amp;A7:A48,SMALL(IF(ISNUMBER(N7:N48),IF(N7:N48&gt;0,IF(Q7:Q48&lt;&gt;"",ROW(N7:N48)-MIN(ROW(N7:N48))+1))),ROW()-ROW(A$52)+1)),",",";"),",",SUBSTITUTE(INDEX(IF(PURCHASE_DESCRIPTION&lt;&gt;"",PURCHASE_DESCRIPTION&amp;":","")&amp;H7:H48,SMALL(IF(ISNUMBER(N7:N48),IF(N7:N48&gt;0,IF(Q7:Q48&lt;&gt;"",ROW(N7:N48)-MIN(ROW(N7:N48))+1))),ROW()-ROW(A$52)+1)),",",";"),",",INDEX(Q7:Q48,SMALL(IF(ISNUMBER(N7:N48),IF(N7:N48&gt;0,IF(Q7:Q48&lt;&gt;"",ROW(N7:N48)-MIN(ROW(N7:N48))+1))),ROW()-ROW(A$52)+1))),"")</f>
        <v>0</v>
      </c>
    </row>
    <row r="70" spans="14:14">
      <c r="N70">
        <f t="array" ref="N70">IFERROR(CONCATENATE(TEXT(INDEX(N7:N48,SMALL(IF(ISNUMBER(N7:N48),IF(N7:N48&gt;0,IF(Q7:Q48&lt;&gt;"",ROW(N7:N48)-MIN(ROW(N7:N48))+1))),ROW()-ROW(A$52)+1)),"##0"),",",SUBSTITUTE(INDEX(IF(PURCHASE_DESCRIPTION&lt;&gt;"",PURCHASE_DESCRIPTION&amp;":","")&amp;A7:A48,SMALL(IF(ISNUMBER(N7:N48),IF(N7:N48&gt;0,IF(Q7:Q48&lt;&gt;"",ROW(N7:N48)-MIN(ROW(N7:N48))+1))),ROW()-ROW(A$52)+1)),",",";"),",",SUBSTITUTE(INDEX(IF(PURCHASE_DESCRIPTION&lt;&gt;"",PURCHASE_DESCRIPTION&amp;":","")&amp;H7:H48,SMALL(IF(ISNUMBER(N7:N48),IF(N7:N48&gt;0,IF(Q7:Q48&lt;&gt;"",ROW(N7:N48)-MIN(ROW(N7:N48))+1))),ROW()-ROW(A$52)+1)),",",";"),",",INDEX(Q7:Q48,SMALL(IF(ISNUMBER(N7:N48),IF(N7:N48&gt;0,IF(Q7:Q48&lt;&gt;"",ROW(N7:N48)-MIN(ROW(N7:N48))+1))),ROW()-ROW(A$52)+1))),"")</f>
        <v>0</v>
      </c>
    </row>
    <row r="71" spans="14:14">
      <c r="N71">
        <f t="array" ref="N71">IFERROR(CONCATENATE(TEXT(INDEX(N7:N48,SMALL(IF(ISNUMBER(N7:N48),IF(N7:N48&gt;0,IF(Q7:Q48&lt;&gt;"",ROW(N7:N48)-MIN(ROW(N7:N48))+1))),ROW()-ROW(A$52)+1)),"##0"),",",SUBSTITUTE(INDEX(IF(PURCHASE_DESCRIPTION&lt;&gt;"",PURCHASE_DESCRIPTION&amp;":","")&amp;A7:A48,SMALL(IF(ISNUMBER(N7:N48),IF(N7:N48&gt;0,IF(Q7:Q48&lt;&gt;"",ROW(N7:N48)-MIN(ROW(N7:N48))+1))),ROW()-ROW(A$52)+1)),",",";"),",",SUBSTITUTE(INDEX(IF(PURCHASE_DESCRIPTION&lt;&gt;"",PURCHASE_DESCRIPTION&amp;":","")&amp;H7:H48,SMALL(IF(ISNUMBER(N7:N48),IF(N7:N48&gt;0,IF(Q7:Q48&lt;&gt;"",ROW(N7:N48)-MIN(ROW(N7:N48))+1))),ROW()-ROW(A$52)+1)),",",";"),",",INDEX(Q7:Q48,SMALL(IF(ISNUMBER(N7:N48),IF(N7:N48&gt;0,IF(Q7:Q48&lt;&gt;"",ROW(N7:N48)-MIN(ROW(N7:N48))+1))),ROW()-ROW(A$52)+1))),"")</f>
        <v>0</v>
      </c>
    </row>
    <row r="72" spans="14:14">
      <c r="N72">
        <f t="array" ref="N72">IFERROR(CONCATENATE(TEXT(INDEX(N7:N48,SMALL(IF(ISNUMBER(N7:N48),IF(N7:N48&gt;0,IF(Q7:Q48&lt;&gt;"",ROW(N7:N48)-MIN(ROW(N7:N48))+1))),ROW()-ROW(A$52)+1)),"##0"),",",SUBSTITUTE(INDEX(IF(PURCHASE_DESCRIPTION&lt;&gt;"",PURCHASE_DESCRIPTION&amp;":","")&amp;A7:A48,SMALL(IF(ISNUMBER(N7:N48),IF(N7:N48&gt;0,IF(Q7:Q48&lt;&gt;"",ROW(N7:N48)-MIN(ROW(N7:N48))+1))),ROW()-ROW(A$52)+1)),",",";"),",",SUBSTITUTE(INDEX(IF(PURCHASE_DESCRIPTION&lt;&gt;"",PURCHASE_DESCRIPTION&amp;":","")&amp;H7:H48,SMALL(IF(ISNUMBER(N7:N48),IF(N7:N48&gt;0,IF(Q7:Q48&lt;&gt;"",ROW(N7:N48)-MIN(ROW(N7:N48))+1))),ROW()-ROW(A$52)+1)),",",";"),",",INDEX(Q7:Q48,SMALL(IF(ISNUMBER(N7:N48),IF(N7:N48&gt;0,IF(Q7:Q48&lt;&gt;"",ROW(N7:N48)-MIN(ROW(N7:N48))+1))),ROW()-ROW(A$52)+1))),"")</f>
        <v>0</v>
      </c>
    </row>
    <row r="73" spans="14:14">
      <c r="N73">
        <f t="array" ref="N73">IFERROR(CONCATENATE(TEXT(INDEX(N7:N48,SMALL(IF(ISNUMBER(N7:N48),IF(N7:N48&gt;0,IF(Q7:Q48&lt;&gt;"",ROW(N7:N48)-MIN(ROW(N7:N48))+1))),ROW()-ROW(A$52)+1)),"##0"),",",SUBSTITUTE(INDEX(IF(PURCHASE_DESCRIPTION&lt;&gt;"",PURCHASE_DESCRIPTION&amp;":","")&amp;A7:A48,SMALL(IF(ISNUMBER(N7:N48),IF(N7:N48&gt;0,IF(Q7:Q48&lt;&gt;"",ROW(N7:N48)-MIN(ROW(N7:N48))+1))),ROW()-ROW(A$52)+1)),",",";"),",",SUBSTITUTE(INDEX(IF(PURCHASE_DESCRIPTION&lt;&gt;"",PURCHASE_DESCRIPTION&amp;":","")&amp;H7:H48,SMALL(IF(ISNUMBER(N7:N48),IF(N7:N48&gt;0,IF(Q7:Q48&lt;&gt;"",ROW(N7:N48)-MIN(ROW(N7:N48))+1))),ROW()-ROW(A$52)+1)),",",";"),",",INDEX(Q7:Q48,SMALL(IF(ISNUMBER(N7:N48),IF(N7:N48&gt;0,IF(Q7:Q48&lt;&gt;"",ROW(N7:N48)-MIN(ROW(N7:N48))+1))),ROW()-ROW(A$52)+1))),"")</f>
        <v>0</v>
      </c>
    </row>
    <row r="74" spans="14:14">
      <c r="N74">
        <f t="array" ref="N74">IFERROR(CONCATENATE(TEXT(INDEX(N7:N48,SMALL(IF(ISNUMBER(N7:N48),IF(N7:N48&gt;0,IF(Q7:Q48&lt;&gt;"",ROW(N7:N48)-MIN(ROW(N7:N48))+1))),ROW()-ROW(A$52)+1)),"##0"),",",SUBSTITUTE(INDEX(IF(PURCHASE_DESCRIPTION&lt;&gt;"",PURCHASE_DESCRIPTION&amp;":","")&amp;A7:A48,SMALL(IF(ISNUMBER(N7:N48),IF(N7:N48&gt;0,IF(Q7:Q48&lt;&gt;"",ROW(N7:N48)-MIN(ROW(N7:N48))+1))),ROW()-ROW(A$52)+1)),",",";"),",",SUBSTITUTE(INDEX(IF(PURCHASE_DESCRIPTION&lt;&gt;"",PURCHASE_DESCRIPTION&amp;":","")&amp;H7:H48,SMALL(IF(ISNUMBER(N7:N48),IF(N7:N48&gt;0,IF(Q7:Q48&lt;&gt;"",ROW(N7:N48)-MIN(ROW(N7:N48))+1))),ROW()-ROW(A$52)+1)),",",";"),",",INDEX(Q7:Q48,SMALL(IF(ISNUMBER(N7:N48),IF(N7:N48&gt;0,IF(Q7:Q48&lt;&gt;"",ROW(N7:N48)-MIN(ROW(N7:N48))+1))),ROW()-ROW(A$52)+1))),"")</f>
        <v>0</v>
      </c>
    </row>
    <row r="75" spans="14:14">
      <c r="N75">
        <f t="array" ref="N75">IFERROR(CONCATENATE(TEXT(INDEX(N7:N48,SMALL(IF(ISNUMBER(N7:N48),IF(N7:N48&gt;0,IF(Q7:Q48&lt;&gt;"",ROW(N7:N48)-MIN(ROW(N7:N48))+1))),ROW()-ROW(A$52)+1)),"##0"),",",SUBSTITUTE(INDEX(IF(PURCHASE_DESCRIPTION&lt;&gt;"",PURCHASE_DESCRIPTION&amp;":","")&amp;A7:A48,SMALL(IF(ISNUMBER(N7:N48),IF(N7:N48&gt;0,IF(Q7:Q48&lt;&gt;"",ROW(N7:N48)-MIN(ROW(N7:N48))+1))),ROW()-ROW(A$52)+1)),",",";"),",",SUBSTITUTE(INDEX(IF(PURCHASE_DESCRIPTION&lt;&gt;"",PURCHASE_DESCRIPTION&amp;":","")&amp;H7:H48,SMALL(IF(ISNUMBER(N7:N48),IF(N7:N48&gt;0,IF(Q7:Q48&lt;&gt;"",ROW(N7:N48)-MIN(ROW(N7:N48))+1))),ROW()-ROW(A$52)+1)),",",";"),",",INDEX(Q7:Q48,SMALL(IF(ISNUMBER(N7:N48),IF(N7:N48&gt;0,IF(Q7:Q48&lt;&gt;"",ROW(N7:N48)-MIN(ROW(N7:N48))+1))),ROW()-ROW(A$52)+1))),"")</f>
        <v>0</v>
      </c>
    </row>
    <row r="76" spans="14:14">
      <c r="N76">
        <f t="array" ref="N76">IFERROR(CONCATENATE(TEXT(INDEX(N7:N48,SMALL(IF(ISNUMBER(N7:N48),IF(N7:N48&gt;0,IF(Q7:Q48&lt;&gt;"",ROW(N7:N48)-MIN(ROW(N7:N48))+1))),ROW()-ROW(A$52)+1)),"##0"),",",SUBSTITUTE(INDEX(IF(PURCHASE_DESCRIPTION&lt;&gt;"",PURCHASE_DESCRIPTION&amp;":","")&amp;A7:A48,SMALL(IF(ISNUMBER(N7:N48),IF(N7:N48&gt;0,IF(Q7:Q48&lt;&gt;"",ROW(N7:N48)-MIN(ROW(N7:N48))+1))),ROW()-ROW(A$52)+1)),",",";"),",",SUBSTITUTE(INDEX(IF(PURCHASE_DESCRIPTION&lt;&gt;"",PURCHASE_DESCRIPTION&amp;":","")&amp;H7:H48,SMALL(IF(ISNUMBER(N7:N48),IF(N7:N48&gt;0,IF(Q7:Q48&lt;&gt;"",ROW(N7:N48)-MIN(ROW(N7:N48))+1))),ROW()-ROW(A$52)+1)),",",";"),",",INDEX(Q7:Q48,SMALL(IF(ISNUMBER(N7:N48),IF(N7:N48&gt;0,IF(Q7:Q48&lt;&gt;"",ROW(N7:N48)-MIN(ROW(N7:N48))+1))),ROW()-ROW(A$52)+1))),"")</f>
        <v>0</v>
      </c>
    </row>
    <row r="77" spans="14:14">
      <c r="N77">
        <f t="array" ref="N77">IFERROR(CONCATENATE(TEXT(INDEX(N7:N48,SMALL(IF(ISNUMBER(N7:N48),IF(N7:N48&gt;0,IF(Q7:Q48&lt;&gt;"",ROW(N7:N48)-MIN(ROW(N7:N48))+1))),ROW()-ROW(A$52)+1)),"##0"),",",SUBSTITUTE(INDEX(IF(PURCHASE_DESCRIPTION&lt;&gt;"",PURCHASE_DESCRIPTION&amp;":","")&amp;A7:A48,SMALL(IF(ISNUMBER(N7:N48),IF(N7:N48&gt;0,IF(Q7:Q48&lt;&gt;"",ROW(N7:N48)-MIN(ROW(N7:N48))+1))),ROW()-ROW(A$52)+1)),",",";"),",",SUBSTITUTE(INDEX(IF(PURCHASE_DESCRIPTION&lt;&gt;"",PURCHASE_DESCRIPTION&amp;":","")&amp;H7:H48,SMALL(IF(ISNUMBER(N7:N48),IF(N7:N48&gt;0,IF(Q7:Q48&lt;&gt;"",ROW(N7:N48)-MIN(ROW(N7:N48))+1))),ROW()-ROW(A$52)+1)),",",";"),",",INDEX(Q7:Q48,SMALL(IF(ISNUMBER(N7:N48),IF(N7:N48&gt;0,IF(Q7:Q48&lt;&gt;"",ROW(N7:N48)-MIN(ROW(N7:N48))+1))),ROW()-ROW(A$52)+1))),"")</f>
        <v>0</v>
      </c>
    </row>
    <row r="78" spans="14:14">
      <c r="N78">
        <f t="array" ref="N78">IFERROR(CONCATENATE(TEXT(INDEX(N7:N48,SMALL(IF(ISNUMBER(N7:N48),IF(N7:N48&gt;0,IF(Q7:Q48&lt;&gt;"",ROW(N7:N48)-MIN(ROW(N7:N48))+1))),ROW()-ROW(A$52)+1)),"##0"),",",SUBSTITUTE(INDEX(IF(PURCHASE_DESCRIPTION&lt;&gt;"",PURCHASE_DESCRIPTION&amp;":","")&amp;A7:A48,SMALL(IF(ISNUMBER(N7:N48),IF(N7:N48&gt;0,IF(Q7:Q48&lt;&gt;"",ROW(N7:N48)-MIN(ROW(N7:N48))+1))),ROW()-ROW(A$52)+1)),",",";"),",",SUBSTITUTE(INDEX(IF(PURCHASE_DESCRIPTION&lt;&gt;"",PURCHASE_DESCRIPTION&amp;":","")&amp;H7:H48,SMALL(IF(ISNUMBER(N7:N48),IF(N7:N48&gt;0,IF(Q7:Q48&lt;&gt;"",ROW(N7:N48)-MIN(ROW(N7:N48))+1))),ROW()-ROW(A$52)+1)),",",";"),",",INDEX(Q7:Q48,SMALL(IF(ISNUMBER(N7:N48),IF(N7:N48&gt;0,IF(Q7:Q48&lt;&gt;"",ROW(N7:N48)-MIN(ROW(N7:N48))+1))),ROW()-ROW(A$52)+1))),"")</f>
        <v>0</v>
      </c>
    </row>
    <row r="79" spans="14:14">
      <c r="N79">
        <f t="array" ref="N79">IFERROR(CONCATENATE(TEXT(INDEX(N7:N48,SMALL(IF(ISNUMBER(N7:N48),IF(N7:N48&gt;0,IF(Q7:Q48&lt;&gt;"",ROW(N7:N48)-MIN(ROW(N7:N48))+1))),ROW()-ROW(A$52)+1)),"##0"),",",SUBSTITUTE(INDEX(IF(PURCHASE_DESCRIPTION&lt;&gt;"",PURCHASE_DESCRIPTION&amp;":","")&amp;A7:A48,SMALL(IF(ISNUMBER(N7:N48),IF(N7:N48&gt;0,IF(Q7:Q48&lt;&gt;"",ROW(N7:N48)-MIN(ROW(N7:N48))+1))),ROW()-ROW(A$52)+1)),",",";"),",",SUBSTITUTE(INDEX(IF(PURCHASE_DESCRIPTION&lt;&gt;"",PURCHASE_DESCRIPTION&amp;":","")&amp;H7:H48,SMALL(IF(ISNUMBER(N7:N48),IF(N7:N48&gt;0,IF(Q7:Q48&lt;&gt;"",ROW(N7:N48)-MIN(ROW(N7:N48))+1))),ROW()-ROW(A$52)+1)),",",";"),",",INDEX(Q7:Q48,SMALL(IF(ISNUMBER(N7:N48),IF(N7:N48&gt;0,IF(Q7:Q48&lt;&gt;"",ROW(N7:N48)-MIN(ROW(N7:N48))+1))),ROW()-ROW(A$52)+1))),"")</f>
        <v>0</v>
      </c>
    </row>
    <row r="80" spans="14:14">
      <c r="N80">
        <f t="array" ref="N80">IFERROR(CONCATENATE(TEXT(INDEX(N7:N48,SMALL(IF(ISNUMBER(N7:N48),IF(N7:N48&gt;0,IF(Q7:Q48&lt;&gt;"",ROW(N7:N48)-MIN(ROW(N7:N48))+1))),ROW()-ROW(A$52)+1)),"##0"),",",SUBSTITUTE(INDEX(IF(PURCHASE_DESCRIPTION&lt;&gt;"",PURCHASE_DESCRIPTION&amp;":","")&amp;A7:A48,SMALL(IF(ISNUMBER(N7:N48),IF(N7:N48&gt;0,IF(Q7:Q48&lt;&gt;"",ROW(N7:N48)-MIN(ROW(N7:N48))+1))),ROW()-ROW(A$52)+1)),",",";"),",",SUBSTITUTE(INDEX(IF(PURCHASE_DESCRIPTION&lt;&gt;"",PURCHASE_DESCRIPTION&amp;":","")&amp;H7:H48,SMALL(IF(ISNUMBER(N7:N48),IF(N7:N48&gt;0,IF(Q7:Q48&lt;&gt;"",ROW(N7:N48)-MIN(ROW(N7:N48))+1))),ROW()-ROW(A$52)+1)),",",";"),",",INDEX(Q7:Q48,SMALL(IF(ISNUMBER(N7:N48),IF(N7:N48&gt;0,IF(Q7:Q48&lt;&gt;"",ROW(N7:N48)-MIN(ROW(N7:N48))+1))),ROW()-ROW(A$52)+1))),"")</f>
        <v>0</v>
      </c>
    </row>
    <row r="81" spans="14:14">
      <c r="N81">
        <f t="array" ref="N81">IFERROR(CONCATENATE(TEXT(INDEX(N7:N48,SMALL(IF(ISNUMBER(N7:N48),IF(N7:N48&gt;0,IF(Q7:Q48&lt;&gt;"",ROW(N7:N48)-MIN(ROW(N7:N48))+1))),ROW()-ROW(A$52)+1)),"##0"),",",SUBSTITUTE(INDEX(IF(PURCHASE_DESCRIPTION&lt;&gt;"",PURCHASE_DESCRIPTION&amp;":","")&amp;A7:A48,SMALL(IF(ISNUMBER(N7:N48),IF(N7:N48&gt;0,IF(Q7:Q48&lt;&gt;"",ROW(N7:N48)-MIN(ROW(N7:N48))+1))),ROW()-ROW(A$52)+1)),",",";"),",",SUBSTITUTE(INDEX(IF(PURCHASE_DESCRIPTION&lt;&gt;"",PURCHASE_DESCRIPTION&amp;":","")&amp;H7:H48,SMALL(IF(ISNUMBER(N7:N48),IF(N7:N48&gt;0,IF(Q7:Q48&lt;&gt;"",ROW(N7:N48)-MIN(ROW(N7:N48))+1))),ROW()-ROW(A$52)+1)),",",";"),",",INDEX(Q7:Q48,SMALL(IF(ISNUMBER(N7:N48),IF(N7:N48&gt;0,IF(Q7:Q48&lt;&gt;"",ROW(N7:N48)-MIN(ROW(N7:N48))+1))),ROW()-ROW(A$52)+1))),"")</f>
        <v>0</v>
      </c>
    </row>
    <row r="82" spans="14:14">
      <c r="N82">
        <f t="array" ref="N82">IFERROR(CONCATENATE(TEXT(INDEX(N7:N48,SMALL(IF(ISNUMBER(N7:N48),IF(N7:N48&gt;0,IF(Q7:Q48&lt;&gt;"",ROW(N7:N48)-MIN(ROW(N7:N48))+1))),ROW()-ROW(A$52)+1)),"##0"),",",SUBSTITUTE(INDEX(IF(PURCHASE_DESCRIPTION&lt;&gt;"",PURCHASE_DESCRIPTION&amp;":","")&amp;A7:A48,SMALL(IF(ISNUMBER(N7:N48),IF(N7:N48&gt;0,IF(Q7:Q48&lt;&gt;"",ROW(N7:N48)-MIN(ROW(N7:N48))+1))),ROW()-ROW(A$52)+1)),",",";"),",",SUBSTITUTE(INDEX(IF(PURCHASE_DESCRIPTION&lt;&gt;"",PURCHASE_DESCRIPTION&amp;":","")&amp;H7:H48,SMALL(IF(ISNUMBER(N7:N48),IF(N7:N48&gt;0,IF(Q7:Q48&lt;&gt;"",ROW(N7:N48)-MIN(ROW(N7:N48))+1))),ROW()-ROW(A$52)+1)),",",";"),",",INDEX(Q7:Q48,SMALL(IF(ISNUMBER(N7:N48),IF(N7:N48&gt;0,IF(Q7:Q48&lt;&gt;"",ROW(N7:N48)-MIN(ROW(N7:N48))+1))),ROW()-ROW(A$52)+1))),"")</f>
        <v>0</v>
      </c>
    </row>
    <row r="83" spans="14:14">
      <c r="N83">
        <f t="array" ref="N83">IFERROR(CONCATENATE(TEXT(INDEX(N7:N48,SMALL(IF(ISNUMBER(N7:N48),IF(N7:N48&gt;0,IF(Q7:Q48&lt;&gt;"",ROW(N7:N48)-MIN(ROW(N7:N48))+1))),ROW()-ROW(A$52)+1)),"##0"),",",SUBSTITUTE(INDEX(IF(PURCHASE_DESCRIPTION&lt;&gt;"",PURCHASE_DESCRIPTION&amp;":","")&amp;A7:A48,SMALL(IF(ISNUMBER(N7:N48),IF(N7:N48&gt;0,IF(Q7:Q48&lt;&gt;"",ROW(N7:N48)-MIN(ROW(N7:N48))+1))),ROW()-ROW(A$52)+1)),",",";"),",",SUBSTITUTE(INDEX(IF(PURCHASE_DESCRIPTION&lt;&gt;"",PURCHASE_DESCRIPTION&amp;":","")&amp;H7:H48,SMALL(IF(ISNUMBER(N7:N48),IF(N7:N48&gt;0,IF(Q7:Q48&lt;&gt;"",ROW(N7:N48)-MIN(ROW(N7:N48))+1))),ROW()-ROW(A$52)+1)),",",";"),",",INDEX(Q7:Q48,SMALL(IF(ISNUMBER(N7:N48),IF(N7:N48&gt;0,IF(Q7:Q48&lt;&gt;"",ROW(N7:N48)-MIN(ROW(N7:N48))+1))),ROW()-ROW(A$52)+1))),"")</f>
        <v>0</v>
      </c>
    </row>
    <row r="84" spans="14:14">
      <c r="N84">
        <f t="array" ref="N84">IFERROR(CONCATENATE(TEXT(INDEX(N7:N48,SMALL(IF(ISNUMBER(N7:N48),IF(N7:N48&gt;0,IF(Q7:Q48&lt;&gt;"",ROW(N7:N48)-MIN(ROW(N7:N48))+1))),ROW()-ROW(A$52)+1)),"##0"),",",SUBSTITUTE(INDEX(IF(PURCHASE_DESCRIPTION&lt;&gt;"",PURCHASE_DESCRIPTION&amp;":","")&amp;A7:A48,SMALL(IF(ISNUMBER(N7:N48),IF(N7:N48&gt;0,IF(Q7:Q48&lt;&gt;"",ROW(N7:N48)-MIN(ROW(N7:N48))+1))),ROW()-ROW(A$52)+1)),",",";"),",",SUBSTITUTE(INDEX(IF(PURCHASE_DESCRIPTION&lt;&gt;"",PURCHASE_DESCRIPTION&amp;":","")&amp;H7:H48,SMALL(IF(ISNUMBER(N7:N48),IF(N7:N48&gt;0,IF(Q7:Q48&lt;&gt;"",ROW(N7:N48)-MIN(ROW(N7:N48))+1))),ROW()-ROW(A$52)+1)),",",";"),",",INDEX(Q7:Q48,SMALL(IF(ISNUMBER(N7:N48),IF(N7:N48&gt;0,IF(Q7:Q48&lt;&gt;"",ROW(N7:N48)-MIN(ROW(N7:N48))+1))),ROW()-ROW(A$52)+1))),"")</f>
        <v>0</v>
      </c>
    </row>
    <row r="85" spans="14:14">
      <c r="N85">
        <f t="array" ref="N85">IFERROR(CONCATENATE(TEXT(INDEX(N7:N48,SMALL(IF(ISNUMBER(N7:N48),IF(N7:N48&gt;0,IF(Q7:Q48&lt;&gt;"",ROW(N7:N48)-MIN(ROW(N7:N48))+1))),ROW()-ROW(A$52)+1)),"##0"),",",SUBSTITUTE(INDEX(IF(PURCHASE_DESCRIPTION&lt;&gt;"",PURCHASE_DESCRIPTION&amp;":","")&amp;A7:A48,SMALL(IF(ISNUMBER(N7:N48),IF(N7:N48&gt;0,IF(Q7:Q48&lt;&gt;"",ROW(N7:N48)-MIN(ROW(N7:N48))+1))),ROW()-ROW(A$52)+1)),",",";"),",",SUBSTITUTE(INDEX(IF(PURCHASE_DESCRIPTION&lt;&gt;"",PURCHASE_DESCRIPTION&amp;":","")&amp;H7:H48,SMALL(IF(ISNUMBER(N7:N48),IF(N7:N48&gt;0,IF(Q7:Q48&lt;&gt;"",ROW(N7:N48)-MIN(ROW(N7:N48))+1))),ROW()-ROW(A$52)+1)),",",";"),",",INDEX(Q7:Q48,SMALL(IF(ISNUMBER(N7:N48),IF(N7:N48&gt;0,IF(Q7:Q48&lt;&gt;"",ROW(N7:N48)-MIN(ROW(N7:N48))+1))),ROW()-ROW(A$52)+1))),"")</f>
        <v>0</v>
      </c>
    </row>
    <row r="86" spans="14:14">
      <c r="N86">
        <f t="array" ref="N86">IFERROR(CONCATENATE(TEXT(INDEX(N7:N48,SMALL(IF(ISNUMBER(N7:N48),IF(N7:N48&gt;0,IF(Q7:Q48&lt;&gt;"",ROW(N7:N48)-MIN(ROW(N7:N48))+1))),ROW()-ROW(A$52)+1)),"##0"),",",SUBSTITUTE(INDEX(IF(PURCHASE_DESCRIPTION&lt;&gt;"",PURCHASE_DESCRIPTION&amp;":","")&amp;A7:A48,SMALL(IF(ISNUMBER(N7:N48),IF(N7:N48&gt;0,IF(Q7:Q48&lt;&gt;"",ROW(N7:N48)-MIN(ROW(N7:N48))+1))),ROW()-ROW(A$52)+1)),",",";"),",",SUBSTITUTE(INDEX(IF(PURCHASE_DESCRIPTION&lt;&gt;"",PURCHASE_DESCRIPTION&amp;":","")&amp;H7:H48,SMALL(IF(ISNUMBER(N7:N48),IF(N7:N48&gt;0,IF(Q7:Q48&lt;&gt;"",ROW(N7:N48)-MIN(ROW(N7:N48))+1))),ROW()-ROW(A$52)+1)),",",";"),",",INDEX(Q7:Q48,SMALL(IF(ISNUMBER(N7:N48),IF(N7:N48&gt;0,IF(Q7:Q48&lt;&gt;"",ROW(N7:N48)-MIN(ROW(N7:N48))+1))),ROW()-ROW(A$52)+1))),"")</f>
        <v>0</v>
      </c>
    </row>
    <row r="87" spans="14:14">
      <c r="N87">
        <f t="array" ref="N87">IFERROR(CONCATENATE(TEXT(INDEX(N7:N48,SMALL(IF(ISNUMBER(N7:N48),IF(N7:N48&gt;0,IF(Q7:Q48&lt;&gt;"",ROW(N7:N48)-MIN(ROW(N7:N48))+1))),ROW()-ROW(A$52)+1)),"##0"),",",SUBSTITUTE(INDEX(IF(PURCHASE_DESCRIPTION&lt;&gt;"",PURCHASE_DESCRIPTION&amp;":","")&amp;A7:A48,SMALL(IF(ISNUMBER(N7:N48),IF(N7:N48&gt;0,IF(Q7:Q48&lt;&gt;"",ROW(N7:N48)-MIN(ROW(N7:N48))+1))),ROW()-ROW(A$52)+1)),",",";"),",",SUBSTITUTE(INDEX(IF(PURCHASE_DESCRIPTION&lt;&gt;"",PURCHASE_DESCRIPTION&amp;":","")&amp;H7:H48,SMALL(IF(ISNUMBER(N7:N48),IF(N7:N48&gt;0,IF(Q7:Q48&lt;&gt;"",ROW(N7:N48)-MIN(ROW(N7:N48))+1))),ROW()-ROW(A$52)+1)),",",";"),",",INDEX(Q7:Q48,SMALL(IF(ISNUMBER(N7:N48),IF(N7:N48&gt;0,IF(Q7:Q48&lt;&gt;"",ROW(N7:N48)-MIN(ROW(N7:N48))+1))),ROW()-ROW(A$52)+1))),"")</f>
        <v>0</v>
      </c>
    </row>
    <row r="88" spans="14:14">
      <c r="N88">
        <f t="array" ref="N88">IFERROR(CONCATENATE(TEXT(INDEX(N7:N48,SMALL(IF(ISNUMBER(N7:N48),IF(N7:N48&gt;0,IF(Q7:Q48&lt;&gt;"",ROW(N7:N48)-MIN(ROW(N7:N48))+1))),ROW()-ROW(A$52)+1)),"##0"),",",SUBSTITUTE(INDEX(IF(PURCHASE_DESCRIPTION&lt;&gt;"",PURCHASE_DESCRIPTION&amp;":","")&amp;A7:A48,SMALL(IF(ISNUMBER(N7:N48),IF(N7:N48&gt;0,IF(Q7:Q48&lt;&gt;"",ROW(N7:N48)-MIN(ROW(N7:N48))+1))),ROW()-ROW(A$52)+1)),",",";"),",",SUBSTITUTE(INDEX(IF(PURCHASE_DESCRIPTION&lt;&gt;"",PURCHASE_DESCRIPTION&amp;":","")&amp;H7:H48,SMALL(IF(ISNUMBER(N7:N48),IF(N7:N48&gt;0,IF(Q7:Q48&lt;&gt;"",ROW(N7:N48)-MIN(ROW(N7:N48))+1))),ROW()-ROW(A$52)+1)),",",";"),",",INDEX(Q7:Q48,SMALL(IF(ISNUMBER(N7:N48),IF(N7:N48&gt;0,IF(Q7:Q48&lt;&gt;"",ROW(N7:N48)-MIN(ROW(N7:N48))+1))),ROW()-ROW(A$52)+1))),"")</f>
        <v>0</v>
      </c>
    </row>
    <row r="89" spans="14:14">
      <c r="N89">
        <f t="array" ref="N89">IFERROR(CONCATENATE(TEXT(INDEX(N7:N48,SMALL(IF(ISNUMBER(N7:N48),IF(N7:N48&gt;0,IF(Q7:Q48&lt;&gt;"",ROW(N7:N48)-MIN(ROW(N7:N48))+1))),ROW()-ROW(A$52)+1)),"##0"),",",SUBSTITUTE(INDEX(IF(PURCHASE_DESCRIPTION&lt;&gt;"",PURCHASE_DESCRIPTION&amp;":","")&amp;A7:A48,SMALL(IF(ISNUMBER(N7:N48),IF(N7:N48&gt;0,IF(Q7:Q48&lt;&gt;"",ROW(N7:N48)-MIN(ROW(N7:N48))+1))),ROW()-ROW(A$52)+1)),",",";"),",",SUBSTITUTE(INDEX(IF(PURCHASE_DESCRIPTION&lt;&gt;"",PURCHASE_DESCRIPTION&amp;":","")&amp;H7:H48,SMALL(IF(ISNUMBER(N7:N48),IF(N7:N48&gt;0,IF(Q7:Q48&lt;&gt;"",ROW(N7:N48)-MIN(ROW(N7:N48))+1))),ROW()-ROW(A$52)+1)),",",";"),",",INDEX(Q7:Q48,SMALL(IF(ISNUMBER(N7:N48),IF(N7:N48&gt;0,IF(Q7:Q48&lt;&gt;"",ROW(N7:N48)-MIN(ROW(N7:N48))+1))),ROW()-ROW(A$52)+1))),"")</f>
        <v>0</v>
      </c>
    </row>
    <row r="90" spans="14:14">
      <c r="N90">
        <f t="array" ref="N90">IFERROR(CONCATENATE(TEXT(INDEX(N7:N48,SMALL(IF(ISNUMBER(N7:N48),IF(N7:N48&gt;0,IF(Q7:Q48&lt;&gt;"",ROW(N7:N48)-MIN(ROW(N7:N48))+1))),ROW()-ROW(A$52)+1)),"##0"),",",SUBSTITUTE(INDEX(IF(PURCHASE_DESCRIPTION&lt;&gt;"",PURCHASE_DESCRIPTION&amp;":","")&amp;A7:A48,SMALL(IF(ISNUMBER(N7:N48),IF(N7:N48&gt;0,IF(Q7:Q48&lt;&gt;"",ROW(N7:N48)-MIN(ROW(N7:N48))+1))),ROW()-ROW(A$52)+1)),",",";"),",",SUBSTITUTE(INDEX(IF(PURCHASE_DESCRIPTION&lt;&gt;"",PURCHASE_DESCRIPTION&amp;":","")&amp;H7:H48,SMALL(IF(ISNUMBER(N7:N48),IF(N7:N48&gt;0,IF(Q7:Q48&lt;&gt;"",ROW(N7:N48)-MIN(ROW(N7:N48))+1))),ROW()-ROW(A$52)+1)),",",";"),",",INDEX(Q7:Q48,SMALL(IF(ISNUMBER(N7:N48),IF(N7:N48&gt;0,IF(Q7:Q48&lt;&gt;"",ROW(N7:N48)-MIN(ROW(N7:N48))+1))),ROW()-ROW(A$52)+1))),"")</f>
        <v>0</v>
      </c>
    </row>
    <row r="91" spans="14:14">
      <c r="N91">
        <f t="array" ref="N91">IFERROR(CONCATENATE(TEXT(INDEX(N7:N48,SMALL(IF(ISNUMBER(N7:N48),IF(N7:N48&gt;0,IF(Q7:Q48&lt;&gt;"",ROW(N7:N48)-MIN(ROW(N7:N48))+1))),ROW()-ROW(A$52)+1)),"##0"),",",SUBSTITUTE(INDEX(IF(PURCHASE_DESCRIPTION&lt;&gt;"",PURCHASE_DESCRIPTION&amp;":","")&amp;A7:A48,SMALL(IF(ISNUMBER(N7:N48),IF(N7:N48&gt;0,IF(Q7:Q48&lt;&gt;"",ROW(N7:N48)-MIN(ROW(N7:N48))+1))),ROW()-ROW(A$52)+1)),",",";"),",",SUBSTITUTE(INDEX(IF(PURCHASE_DESCRIPTION&lt;&gt;"",PURCHASE_DESCRIPTION&amp;":","")&amp;H7:H48,SMALL(IF(ISNUMBER(N7:N48),IF(N7:N48&gt;0,IF(Q7:Q48&lt;&gt;"",ROW(N7:N48)-MIN(ROW(N7:N48))+1))),ROW()-ROW(A$52)+1)),",",";"),",",INDEX(Q7:Q48,SMALL(IF(ISNUMBER(N7:N48),IF(N7:N48&gt;0,IF(Q7:Q48&lt;&gt;"",ROW(N7:N48)-MIN(ROW(N7:N48))+1))),ROW()-ROW(A$52)+1))),"")</f>
        <v>0</v>
      </c>
    </row>
    <row r="92" spans="14:14">
      <c r="N92">
        <f t="array" ref="N92">IFERROR(CONCATENATE(TEXT(INDEX(N7:N48,SMALL(IF(ISNUMBER(N7:N48),IF(N7:N48&gt;0,IF(Q7:Q48&lt;&gt;"",ROW(N7:N48)-MIN(ROW(N7:N48))+1))),ROW()-ROW(A$52)+1)),"##0"),",",SUBSTITUTE(INDEX(IF(PURCHASE_DESCRIPTION&lt;&gt;"",PURCHASE_DESCRIPTION&amp;":","")&amp;A7:A48,SMALL(IF(ISNUMBER(N7:N48),IF(N7:N48&gt;0,IF(Q7:Q48&lt;&gt;"",ROW(N7:N48)-MIN(ROW(N7:N48))+1))),ROW()-ROW(A$52)+1)),",",";"),",",SUBSTITUTE(INDEX(IF(PURCHASE_DESCRIPTION&lt;&gt;"",PURCHASE_DESCRIPTION&amp;":","")&amp;H7:H48,SMALL(IF(ISNUMBER(N7:N48),IF(N7:N48&gt;0,IF(Q7:Q48&lt;&gt;"",ROW(N7:N48)-MIN(ROW(N7:N48))+1))),ROW()-ROW(A$52)+1)),",",";"),",",INDEX(Q7:Q48,SMALL(IF(ISNUMBER(N7:N48),IF(N7:N48&gt;0,IF(Q7:Q48&lt;&gt;"",ROW(N7:N48)-MIN(ROW(N7:N48))+1))),ROW()-ROW(A$52)+1))),"")</f>
        <v>0</v>
      </c>
    </row>
    <row r="93" spans="14:14">
      <c r="N93">
        <f t="array" ref="N93">IFERROR(CONCATENATE(TEXT(INDEX(N7:N48,SMALL(IF(ISNUMBER(N7:N48),IF(N7:N48&gt;0,IF(Q7:Q48&lt;&gt;"",ROW(N7:N48)-MIN(ROW(N7:N48))+1))),ROW()-ROW(A$52)+1)),"##0"),",",SUBSTITUTE(INDEX(IF(PURCHASE_DESCRIPTION&lt;&gt;"",PURCHASE_DESCRIPTION&amp;":","")&amp;A7:A48,SMALL(IF(ISNUMBER(N7:N48),IF(N7:N48&gt;0,IF(Q7:Q48&lt;&gt;"",ROW(N7:N48)-MIN(ROW(N7:N48))+1))),ROW()-ROW(A$52)+1)),",",";"),",",SUBSTITUTE(INDEX(IF(PURCHASE_DESCRIPTION&lt;&gt;"",PURCHASE_DESCRIPTION&amp;":","")&amp;H7:H48,SMALL(IF(ISNUMBER(N7:N48),IF(N7:N48&gt;0,IF(Q7:Q48&lt;&gt;"",ROW(N7:N48)-MIN(ROW(N7:N48))+1))),ROW()-ROW(A$52)+1)),",",";"),",",INDEX(Q7:Q48,SMALL(IF(ISNUMBER(N7:N48),IF(N7:N48&gt;0,IF(Q7:Q48&lt;&gt;"",ROW(N7:N48)-MIN(ROW(N7:N48))+1))),ROW()-ROW(A$52)+1))),"")</f>
        <v>0</v>
      </c>
    </row>
  </sheetData>
  <mergeCells count="2">
    <mergeCell ref="A5:L5"/>
    <mergeCell ref="M5:Q5"/>
  </mergeCells>
  <conditionalFormatting sqref="J10">
    <cfRule type="expression" dxfId="0" priority="13">
      <formula>AND(ISBLANK(I10),ISBLANK(INDIRECT(ADDRESS(ROW(),COLUMN(lcsc_part_data)+4))))</formula>
    </cfRule>
    <cfRule type="expression" dxfId="1" priority="14">
      <formula>IF(SUM(INDIRECT(ADDRESS(ROW(),COLUMN(lcsc_part_data)+0)))=0,1,0)</formula>
    </cfRule>
    <cfRule type="cellIs" dxfId="2" priority="15" operator="greaterThan">
      <formula>SUM(INDIRECT(ADDRESS(ROW(),COLUMN(lcsc_part_data)+0)))</formula>
    </cfRule>
    <cfRule type="cellIs" dxfId="3" priority="16" operator="greaterThan">
      <formula>SUM(IF(ISNUMBER(INDIRECT(ADDRESS(ROW(),COLUMN(lcsc_part_data)+2))),INDIRECT(ADDRESS(ROW(),COLUMN(lcsc_part_data)+1)),0))</formula>
    </cfRule>
  </conditionalFormatting>
  <conditionalFormatting sqref="J11">
    <cfRule type="expression" dxfId="0" priority="17">
      <formula>AND(ISBLANK(I11),ISBLANK(INDIRECT(ADDRESS(ROW(),COLUMN(lcsc_part_data)+4))))</formula>
    </cfRule>
    <cfRule type="expression" dxfId="1" priority="18">
      <formula>IF(SUM(INDIRECT(ADDRESS(ROW(),COLUMN(lcsc_part_data)+0)))=0,1,0)</formula>
    </cfRule>
    <cfRule type="cellIs" dxfId="2" priority="19" operator="greaterThan">
      <formula>SUM(INDIRECT(ADDRESS(ROW(),COLUMN(lcsc_part_data)+0)))</formula>
    </cfRule>
    <cfRule type="cellIs" dxfId="3" priority="20" operator="greaterThan">
      <formula>SUM(IF(ISNUMBER(INDIRECT(ADDRESS(ROW(),COLUMN(lcsc_part_data)+2))),INDIRECT(ADDRESS(ROW(),COLUMN(lcsc_part_data)+1)),0))</formula>
    </cfRule>
  </conditionalFormatting>
  <conditionalFormatting sqref="J12">
    <cfRule type="expression" dxfId="0" priority="21">
      <formula>AND(ISBLANK(I12),ISBLANK(INDIRECT(ADDRESS(ROW(),COLUMN(lcsc_part_data)+4))))</formula>
    </cfRule>
    <cfRule type="expression" dxfId="1" priority="22">
      <formula>IF(SUM(INDIRECT(ADDRESS(ROW(),COLUMN(lcsc_part_data)+0)))=0,1,0)</formula>
    </cfRule>
    <cfRule type="cellIs" dxfId="2" priority="23" operator="greaterThan">
      <formula>SUM(INDIRECT(ADDRESS(ROW(),COLUMN(lcsc_part_data)+0)))</formula>
    </cfRule>
    <cfRule type="cellIs" dxfId="3" priority="24" operator="greaterThan">
      <formula>SUM(IF(ISNUMBER(INDIRECT(ADDRESS(ROW(),COLUMN(lcsc_part_data)+2))),INDIRECT(ADDRESS(ROW(),COLUMN(lcsc_part_data)+1)),0))</formula>
    </cfRule>
  </conditionalFormatting>
  <conditionalFormatting sqref="J13">
    <cfRule type="expression" dxfId="0" priority="25">
      <formula>AND(ISBLANK(I13),ISBLANK(INDIRECT(ADDRESS(ROW(),COLUMN(lcsc_part_data)+4))))</formula>
    </cfRule>
    <cfRule type="expression" dxfId="1" priority="26">
      <formula>IF(SUM(INDIRECT(ADDRESS(ROW(),COLUMN(lcsc_part_data)+0)))=0,1,0)</formula>
    </cfRule>
    <cfRule type="cellIs" dxfId="2" priority="27" operator="greaterThan">
      <formula>SUM(INDIRECT(ADDRESS(ROW(),COLUMN(lcsc_part_data)+0)))</formula>
    </cfRule>
    <cfRule type="cellIs" dxfId="3" priority="28" operator="greaterThan">
      <formula>SUM(IF(ISNUMBER(INDIRECT(ADDRESS(ROW(),COLUMN(lcsc_part_data)+2))),INDIRECT(ADDRESS(ROW(),COLUMN(lcsc_part_data)+1)),0))</formula>
    </cfRule>
  </conditionalFormatting>
  <conditionalFormatting sqref="J14">
    <cfRule type="expression" dxfId="0" priority="29">
      <formula>AND(ISBLANK(I14),ISBLANK(INDIRECT(ADDRESS(ROW(),COLUMN(lcsc_part_data)+4))))</formula>
    </cfRule>
    <cfRule type="expression" dxfId="1" priority="30">
      <formula>IF(SUM(INDIRECT(ADDRESS(ROW(),COLUMN(lcsc_part_data)+0)))=0,1,0)</formula>
    </cfRule>
    <cfRule type="cellIs" dxfId="2" priority="31" operator="greaterThan">
      <formula>SUM(INDIRECT(ADDRESS(ROW(),COLUMN(lcsc_part_data)+0)))</formula>
    </cfRule>
    <cfRule type="cellIs" dxfId="3" priority="32" operator="greaterThan">
      <formula>SUM(IF(ISNUMBER(INDIRECT(ADDRESS(ROW(),COLUMN(lcsc_part_data)+2))),INDIRECT(ADDRESS(ROW(),COLUMN(lcsc_part_data)+1)),0))</formula>
    </cfRule>
  </conditionalFormatting>
  <conditionalFormatting sqref="J15">
    <cfRule type="expression" dxfId="0" priority="33">
      <formula>AND(ISBLANK(I15),ISBLANK(INDIRECT(ADDRESS(ROW(),COLUMN(lcsc_part_data)+4))))</formula>
    </cfRule>
    <cfRule type="expression" dxfId="1" priority="34">
      <formula>IF(SUM(INDIRECT(ADDRESS(ROW(),COLUMN(lcsc_part_data)+0)))=0,1,0)</formula>
    </cfRule>
    <cfRule type="cellIs" dxfId="2" priority="35" operator="greaterThan">
      <formula>SUM(INDIRECT(ADDRESS(ROW(),COLUMN(lcsc_part_data)+0)))</formula>
    </cfRule>
    <cfRule type="cellIs" dxfId="3" priority="36" operator="greaterThan">
      <formula>SUM(IF(ISNUMBER(INDIRECT(ADDRESS(ROW(),COLUMN(lcsc_part_data)+2))),INDIRECT(ADDRESS(ROW(),COLUMN(lcsc_part_data)+1)),0))</formula>
    </cfRule>
  </conditionalFormatting>
  <conditionalFormatting sqref="J16">
    <cfRule type="expression" dxfId="0" priority="37">
      <formula>AND(ISBLANK(I16),ISBLANK(INDIRECT(ADDRESS(ROW(),COLUMN(lcsc_part_data)+4))))</formula>
    </cfRule>
    <cfRule type="expression" dxfId="1" priority="38">
      <formula>IF(SUM(INDIRECT(ADDRESS(ROW(),COLUMN(lcsc_part_data)+0)))=0,1,0)</formula>
    </cfRule>
    <cfRule type="cellIs" dxfId="2" priority="39" operator="greaterThan">
      <formula>SUM(INDIRECT(ADDRESS(ROW(),COLUMN(lcsc_part_data)+0)))</formula>
    </cfRule>
    <cfRule type="cellIs" dxfId="3" priority="40" operator="greaterThan">
      <formula>SUM(IF(ISNUMBER(INDIRECT(ADDRESS(ROW(),COLUMN(lcsc_part_data)+2))),INDIRECT(ADDRESS(ROW(),COLUMN(lcsc_part_data)+1)),0))</formula>
    </cfRule>
  </conditionalFormatting>
  <conditionalFormatting sqref="J17">
    <cfRule type="expression" dxfId="0" priority="41">
      <formula>AND(ISBLANK(I17),ISBLANK(INDIRECT(ADDRESS(ROW(),COLUMN(lcsc_part_data)+4))))</formula>
    </cfRule>
    <cfRule type="expression" dxfId="1" priority="42">
      <formula>IF(SUM(INDIRECT(ADDRESS(ROW(),COLUMN(lcsc_part_data)+0)))=0,1,0)</formula>
    </cfRule>
    <cfRule type="cellIs" dxfId="2" priority="43" operator="greaterThan">
      <formula>SUM(INDIRECT(ADDRESS(ROW(),COLUMN(lcsc_part_data)+0)))</formula>
    </cfRule>
    <cfRule type="cellIs" dxfId="3" priority="44" operator="greaterThan">
      <formula>SUM(IF(ISNUMBER(INDIRECT(ADDRESS(ROW(),COLUMN(lcsc_part_data)+2))),INDIRECT(ADDRESS(ROW(),COLUMN(lcsc_part_data)+1)),0))</formula>
    </cfRule>
  </conditionalFormatting>
  <conditionalFormatting sqref="J18">
    <cfRule type="expression" dxfId="0" priority="45">
      <formula>AND(ISBLANK(I18),ISBLANK(INDIRECT(ADDRESS(ROW(),COLUMN(lcsc_part_data)+4))))</formula>
    </cfRule>
    <cfRule type="expression" dxfId="1" priority="46">
      <formula>IF(SUM(INDIRECT(ADDRESS(ROW(),COLUMN(lcsc_part_data)+0)))=0,1,0)</formula>
    </cfRule>
    <cfRule type="cellIs" dxfId="2" priority="47" operator="greaterThan">
      <formula>SUM(INDIRECT(ADDRESS(ROW(),COLUMN(lcsc_part_data)+0)))</formula>
    </cfRule>
    <cfRule type="cellIs" dxfId="3" priority="48" operator="greaterThan">
      <formula>SUM(IF(ISNUMBER(INDIRECT(ADDRESS(ROW(),COLUMN(lcsc_part_data)+2))),INDIRECT(ADDRESS(ROW(),COLUMN(lcsc_part_data)+1)),0))</formula>
    </cfRule>
  </conditionalFormatting>
  <conditionalFormatting sqref="J19">
    <cfRule type="expression" dxfId="0" priority="49">
      <formula>AND(ISBLANK(I19),ISBLANK(INDIRECT(ADDRESS(ROW(),COLUMN(lcsc_part_data)+4))))</formula>
    </cfRule>
    <cfRule type="expression" dxfId="1" priority="50">
      <formula>IF(SUM(INDIRECT(ADDRESS(ROW(),COLUMN(lcsc_part_data)+0)))=0,1,0)</formula>
    </cfRule>
    <cfRule type="cellIs" dxfId="2" priority="51" operator="greaterThan">
      <formula>SUM(INDIRECT(ADDRESS(ROW(),COLUMN(lcsc_part_data)+0)))</formula>
    </cfRule>
    <cfRule type="cellIs" dxfId="3" priority="52" operator="greaterThan">
      <formula>SUM(IF(ISNUMBER(INDIRECT(ADDRESS(ROW(),COLUMN(lcsc_part_data)+2))),INDIRECT(ADDRESS(ROW(),COLUMN(lcsc_part_data)+1)),0))</formula>
    </cfRule>
  </conditionalFormatting>
  <conditionalFormatting sqref="J20">
    <cfRule type="expression" dxfId="0" priority="53">
      <formula>AND(ISBLANK(I20),ISBLANK(INDIRECT(ADDRESS(ROW(),COLUMN(lcsc_part_data)+4))))</formula>
    </cfRule>
    <cfRule type="expression" dxfId="1" priority="54">
      <formula>IF(SUM(INDIRECT(ADDRESS(ROW(),COLUMN(lcsc_part_data)+0)))=0,1,0)</formula>
    </cfRule>
    <cfRule type="cellIs" dxfId="2" priority="55" operator="greaterThan">
      <formula>SUM(INDIRECT(ADDRESS(ROW(),COLUMN(lcsc_part_data)+0)))</formula>
    </cfRule>
    <cfRule type="cellIs" dxfId="3" priority="56" operator="greaterThan">
      <formula>SUM(IF(ISNUMBER(INDIRECT(ADDRESS(ROW(),COLUMN(lcsc_part_data)+2))),INDIRECT(ADDRESS(ROW(),COLUMN(lcsc_part_data)+1)),0))</formula>
    </cfRule>
  </conditionalFormatting>
  <conditionalFormatting sqref="J21">
    <cfRule type="expression" dxfId="0" priority="57">
      <formula>AND(ISBLANK(I21),ISBLANK(INDIRECT(ADDRESS(ROW(),COLUMN(lcsc_part_data)+4))))</formula>
    </cfRule>
    <cfRule type="expression" dxfId="1" priority="58">
      <formula>IF(SUM(INDIRECT(ADDRESS(ROW(),COLUMN(lcsc_part_data)+0)))=0,1,0)</formula>
    </cfRule>
    <cfRule type="cellIs" dxfId="2" priority="59" operator="greaterThan">
      <formula>SUM(INDIRECT(ADDRESS(ROW(),COLUMN(lcsc_part_data)+0)))</formula>
    </cfRule>
    <cfRule type="cellIs" dxfId="3" priority="60" operator="greaterThan">
      <formula>SUM(IF(ISNUMBER(INDIRECT(ADDRESS(ROW(),COLUMN(lcsc_part_data)+2))),INDIRECT(ADDRESS(ROW(),COLUMN(lcsc_part_data)+1)),0))</formula>
    </cfRule>
  </conditionalFormatting>
  <conditionalFormatting sqref="J22">
    <cfRule type="expression" dxfId="0" priority="61">
      <formula>AND(ISBLANK(I22),ISBLANK(INDIRECT(ADDRESS(ROW(),COLUMN(lcsc_part_data)+4))))</formula>
    </cfRule>
    <cfRule type="expression" dxfId="1" priority="62">
      <formula>IF(SUM(INDIRECT(ADDRESS(ROW(),COLUMN(lcsc_part_data)+0)))=0,1,0)</formula>
    </cfRule>
    <cfRule type="cellIs" dxfId="2" priority="63" operator="greaterThan">
      <formula>SUM(INDIRECT(ADDRESS(ROW(),COLUMN(lcsc_part_data)+0)))</formula>
    </cfRule>
    <cfRule type="cellIs" dxfId="3" priority="64" operator="greaterThan">
      <formula>SUM(IF(ISNUMBER(INDIRECT(ADDRESS(ROW(),COLUMN(lcsc_part_data)+2))),INDIRECT(ADDRESS(ROW(),COLUMN(lcsc_part_data)+1)),0))</formula>
    </cfRule>
  </conditionalFormatting>
  <conditionalFormatting sqref="J23">
    <cfRule type="expression" dxfId="0" priority="65">
      <formula>AND(ISBLANK(I23),ISBLANK(INDIRECT(ADDRESS(ROW(),COLUMN(lcsc_part_data)+4))))</formula>
    </cfRule>
    <cfRule type="expression" dxfId="1" priority="66">
      <formula>IF(SUM(INDIRECT(ADDRESS(ROW(),COLUMN(lcsc_part_data)+0)))=0,1,0)</formula>
    </cfRule>
    <cfRule type="cellIs" dxfId="2" priority="67" operator="greaterThan">
      <formula>SUM(INDIRECT(ADDRESS(ROW(),COLUMN(lcsc_part_data)+0)))</formula>
    </cfRule>
    <cfRule type="cellIs" dxfId="3" priority="68" operator="greaterThan">
      <formula>SUM(IF(ISNUMBER(INDIRECT(ADDRESS(ROW(),COLUMN(lcsc_part_data)+2))),INDIRECT(ADDRESS(ROW(),COLUMN(lcsc_part_data)+1)),0))</formula>
    </cfRule>
  </conditionalFormatting>
  <conditionalFormatting sqref="J24">
    <cfRule type="expression" dxfId="0" priority="69">
      <formula>AND(ISBLANK(I24),ISBLANK(INDIRECT(ADDRESS(ROW(),COLUMN(lcsc_part_data)+4))))</formula>
    </cfRule>
    <cfRule type="expression" dxfId="1" priority="70">
      <formula>IF(SUM(INDIRECT(ADDRESS(ROW(),COLUMN(lcsc_part_data)+0)))=0,1,0)</formula>
    </cfRule>
    <cfRule type="cellIs" dxfId="2" priority="71" operator="greaterThan">
      <formula>SUM(INDIRECT(ADDRESS(ROW(),COLUMN(lcsc_part_data)+0)))</formula>
    </cfRule>
    <cfRule type="cellIs" dxfId="3" priority="72" operator="greaterThan">
      <formula>SUM(IF(ISNUMBER(INDIRECT(ADDRESS(ROW(),COLUMN(lcsc_part_data)+2))),INDIRECT(ADDRESS(ROW(),COLUMN(lcsc_part_data)+1)),0))</formula>
    </cfRule>
  </conditionalFormatting>
  <conditionalFormatting sqref="J25">
    <cfRule type="expression" dxfId="0" priority="73">
      <formula>AND(ISBLANK(I25),ISBLANK(INDIRECT(ADDRESS(ROW(),COLUMN(lcsc_part_data)+4))))</formula>
    </cfRule>
    <cfRule type="expression" dxfId="1" priority="74">
      <formula>IF(SUM(INDIRECT(ADDRESS(ROW(),COLUMN(lcsc_part_data)+0)))=0,1,0)</formula>
    </cfRule>
    <cfRule type="cellIs" dxfId="2" priority="75" operator="greaterThan">
      <formula>SUM(INDIRECT(ADDRESS(ROW(),COLUMN(lcsc_part_data)+0)))</formula>
    </cfRule>
    <cfRule type="cellIs" dxfId="3" priority="76" operator="greaterThan">
      <formula>SUM(IF(ISNUMBER(INDIRECT(ADDRESS(ROW(),COLUMN(lcsc_part_data)+2))),INDIRECT(ADDRESS(ROW(),COLUMN(lcsc_part_data)+1)),0))</formula>
    </cfRule>
  </conditionalFormatting>
  <conditionalFormatting sqref="J26">
    <cfRule type="expression" dxfId="0" priority="77">
      <formula>AND(ISBLANK(I26),ISBLANK(INDIRECT(ADDRESS(ROW(),COLUMN(lcsc_part_data)+4))))</formula>
    </cfRule>
    <cfRule type="expression" dxfId="1" priority="78">
      <formula>IF(SUM(INDIRECT(ADDRESS(ROW(),COLUMN(lcsc_part_data)+0)))=0,1,0)</formula>
    </cfRule>
    <cfRule type="cellIs" dxfId="2" priority="79" operator="greaterThan">
      <formula>SUM(INDIRECT(ADDRESS(ROW(),COLUMN(lcsc_part_data)+0)))</formula>
    </cfRule>
    <cfRule type="cellIs" dxfId="3" priority="80" operator="greaterThan">
      <formula>SUM(IF(ISNUMBER(INDIRECT(ADDRESS(ROW(),COLUMN(lcsc_part_data)+2))),INDIRECT(ADDRESS(ROW(),COLUMN(lcsc_part_data)+1)),0))</formula>
    </cfRule>
  </conditionalFormatting>
  <conditionalFormatting sqref="J27">
    <cfRule type="expression" dxfId="0" priority="81">
      <formula>AND(ISBLANK(I27),ISBLANK(INDIRECT(ADDRESS(ROW(),COLUMN(lcsc_part_data)+4))))</formula>
    </cfRule>
    <cfRule type="expression" dxfId="1" priority="82">
      <formula>IF(SUM(INDIRECT(ADDRESS(ROW(),COLUMN(lcsc_part_data)+0)))=0,1,0)</formula>
    </cfRule>
    <cfRule type="cellIs" dxfId="2" priority="83" operator="greaterThan">
      <formula>SUM(INDIRECT(ADDRESS(ROW(),COLUMN(lcsc_part_data)+0)))</formula>
    </cfRule>
    <cfRule type="cellIs" dxfId="3" priority="84" operator="greaterThan">
      <formula>SUM(IF(ISNUMBER(INDIRECT(ADDRESS(ROW(),COLUMN(lcsc_part_data)+2))),INDIRECT(ADDRESS(ROW(),COLUMN(lcsc_part_data)+1)),0))</formula>
    </cfRule>
  </conditionalFormatting>
  <conditionalFormatting sqref="J28">
    <cfRule type="expression" dxfId="0" priority="85">
      <formula>AND(ISBLANK(I28),ISBLANK(INDIRECT(ADDRESS(ROW(),COLUMN(lcsc_part_data)+4))))</formula>
    </cfRule>
    <cfRule type="expression" dxfId="1" priority="86">
      <formula>IF(SUM(INDIRECT(ADDRESS(ROW(),COLUMN(lcsc_part_data)+0)))=0,1,0)</formula>
    </cfRule>
    <cfRule type="cellIs" dxfId="2" priority="87" operator="greaterThan">
      <formula>SUM(INDIRECT(ADDRESS(ROW(),COLUMN(lcsc_part_data)+0)))</formula>
    </cfRule>
    <cfRule type="cellIs" dxfId="3" priority="88" operator="greaterThan">
      <formula>SUM(IF(ISNUMBER(INDIRECT(ADDRESS(ROW(),COLUMN(lcsc_part_data)+2))),INDIRECT(ADDRESS(ROW(),COLUMN(lcsc_part_data)+1)),0))</formula>
    </cfRule>
  </conditionalFormatting>
  <conditionalFormatting sqref="J29">
    <cfRule type="expression" dxfId="0" priority="89">
      <formula>AND(ISBLANK(I29),ISBLANK(INDIRECT(ADDRESS(ROW(),COLUMN(lcsc_part_data)+4))))</formula>
    </cfRule>
    <cfRule type="expression" dxfId="1" priority="90">
      <formula>IF(SUM(INDIRECT(ADDRESS(ROW(),COLUMN(lcsc_part_data)+0)))=0,1,0)</formula>
    </cfRule>
    <cfRule type="cellIs" dxfId="2" priority="91" operator="greaterThan">
      <formula>SUM(INDIRECT(ADDRESS(ROW(),COLUMN(lcsc_part_data)+0)))</formula>
    </cfRule>
    <cfRule type="cellIs" dxfId="3" priority="92" operator="greaterThan">
      <formula>SUM(IF(ISNUMBER(INDIRECT(ADDRESS(ROW(),COLUMN(lcsc_part_data)+2))),INDIRECT(ADDRESS(ROW(),COLUMN(lcsc_part_data)+1)),0))</formula>
    </cfRule>
  </conditionalFormatting>
  <conditionalFormatting sqref="J30">
    <cfRule type="expression" dxfId="0" priority="93">
      <formula>AND(ISBLANK(I30),ISBLANK(INDIRECT(ADDRESS(ROW(),COLUMN(lcsc_part_data)+4))))</formula>
    </cfRule>
    <cfRule type="expression" dxfId="1" priority="94">
      <formula>IF(SUM(INDIRECT(ADDRESS(ROW(),COLUMN(lcsc_part_data)+0)))=0,1,0)</formula>
    </cfRule>
    <cfRule type="cellIs" dxfId="2" priority="95" operator="greaterThan">
      <formula>SUM(INDIRECT(ADDRESS(ROW(),COLUMN(lcsc_part_data)+0)))</formula>
    </cfRule>
    <cfRule type="cellIs" dxfId="3" priority="96" operator="greaterThan">
      <formula>SUM(IF(ISNUMBER(INDIRECT(ADDRESS(ROW(),COLUMN(lcsc_part_data)+2))),INDIRECT(ADDRESS(ROW(),COLUMN(lcsc_part_data)+1)),0))</formula>
    </cfRule>
  </conditionalFormatting>
  <conditionalFormatting sqref="J31">
    <cfRule type="expression" dxfId="0" priority="97">
      <formula>AND(ISBLANK(I31),ISBLANK(INDIRECT(ADDRESS(ROW(),COLUMN(lcsc_part_data)+4))))</formula>
    </cfRule>
    <cfRule type="expression" dxfId="1" priority="98">
      <formula>IF(SUM(INDIRECT(ADDRESS(ROW(),COLUMN(lcsc_part_data)+0)))=0,1,0)</formula>
    </cfRule>
    <cfRule type="cellIs" dxfId="2" priority="99" operator="greaterThan">
      <formula>SUM(INDIRECT(ADDRESS(ROW(),COLUMN(lcsc_part_data)+0)))</formula>
    </cfRule>
    <cfRule type="cellIs" dxfId="3" priority="100" operator="greaterThan">
      <formula>SUM(IF(ISNUMBER(INDIRECT(ADDRESS(ROW(),COLUMN(lcsc_part_data)+2))),INDIRECT(ADDRESS(ROW(),COLUMN(lcsc_part_data)+1)),0))</formula>
    </cfRule>
  </conditionalFormatting>
  <conditionalFormatting sqref="J32">
    <cfRule type="expression" dxfId="0" priority="101">
      <formula>AND(ISBLANK(I32),ISBLANK(INDIRECT(ADDRESS(ROW(),COLUMN(lcsc_part_data)+4))))</formula>
    </cfRule>
    <cfRule type="expression" dxfId="1" priority="102">
      <formula>IF(SUM(INDIRECT(ADDRESS(ROW(),COLUMN(lcsc_part_data)+0)))=0,1,0)</formula>
    </cfRule>
    <cfRule type="cellIs" dxfId="2" priority="103" operator="greaterThan">
      <formula>SUM(INDIRECT(ADDRESS(ROW(),COLUMN(lcsc_part_data)+0)))</formula>
    </cfRule>
    <cfRule type="cellIs" dxfId="3" priority="104" operator="greaterThan">
      <formula>SUM(IF(ISNUMBER(INDIRECT(ADDRESS(ROW(),COLUMN(lcsc_part_data)+2))),INDIRECT(ADDRESS(ROW(),COLUMN(lcsc_part_data)+1)),0))</formula>
    </cfRule>
  </conditionalFormatting>
  <conditionalFormatting sqref="J33">
    <cfRule type="expression" dxfId="0" priority="105">
      <formula>AND(ISBLANK(I33),ISBLANK(INDIRECT(ADDRESS(ROW(),COLUMN(lcsc_part_data)+4))))</formula>
    </cfRule>
    <cfRule type="expression" dxfId="1" priority="106">
      <formula>IF(SUM(INDIRECT(ADDRESS(ROW(),COLUMN(lcsc_part_data)+0)))=0,1,0)</formula>
    </cfRule>
    <cfRule type="cellIs" dxfId="2" priority="107" operator="greaterThan">
      <formula>SUM(INDIRECT(ADDRESS(ROW(),COLUMN(lcsc_part_data)+0)))</formula>
    </cfRule>
    <cfRule type="cellIs" dxfId="3" priority="108" operator="greaterThan">
      <formula>SUM(IF(ISNUMBER(INDIRECT(ADDRESS(ROW(),COLUMN(lcsc_part_data)+2))),INDIRECT(ADDRESS(ROW(),COLUMN(lcsc_part_data)+1)),0))</formula>
    </cfRule>
  </conditionalFormatting>
  <conditionalFormatting sqref="J34">
    <cfRule type="expression" dxfId="0" priority="109">
      <formula>AND(ISBLANK(I34),ISBLANK(INDIRECT(ADDRESS(ROW(),COLUMN(lcsc_part_data)+4))))</formula>
    </cfRule>
    <cfRule type="expression" dxfId="1" priority="110">
      <formula>IF(SUM(INDIRECT(ADDRESS(ROW(),COLUMN(lcsc_part_data)+0)))=0,1,0)</formula>
    </cfRule>
    <cfRule type="cellIs" dxfId="2" priority="111" operator="greaterThan">
      <formula>SUM(INDIRECT(ADDRESS(ROW(),COLUMN(lcsc_part_data)+0)))</formula>
    </cfRule>
    <cfRule type="cellIs" dxfId="3" priority="112" operator="greaterThan">
      <formula>SUM(IF(ISNUMBER(INDIRECT(ADDRESS(ROW(),COLUMN(lcsc_part_data)+2))),INDIRECT(ADDRESS(ROW(),COLUMN(lcsc_part_data)+1)),0))</formula>
    </cfRule>
  </conditionalFormatting>
  <conditionalFormatting sqref="J35">
    <cfRule type="expression" dxfId="0" priority="113">
      <formula>AND(ISBLANK(I35),ISBLANK(INDIRECT(ADDRESS(ROW(),COLUMN(lcsc_part_data)+4))))</formula>
    </cfRule>
    <cfRule type="expression" dxfId="1" priority="114">
      <formula>IF(SUM(INDIRECT(ADDRESS(ROW(),COLUMN(lcsc_part_data)+0)))=0,1,0)</formula>
    </cfRule>
    <cfRule type="cellIs" dxfId="2" priority="115" operator="greaterThan">
      <formula>SUM(INDIRECT(ADDRESS(ROW(),COLUMN(lcsc_part_data)+0)))</formula>
    </cfRule>
    <cfRule type="cellIs" dxfId="3" priority="116" operator="greaterThan">
      <formula>SUM(IF(ISNUMBER(INDIRECT(ADDRESS(ROW(),COLUMN(lcsc_part_data)+2))),INDIRECT(ADDRESS(ROW(),COLUMN(lcsc_part_data)+1)),0))</formula>
    </cfRule>
  </conditionalFormatting>
  <conditionalFormatting sqref="J36">
    <cfRule type="expression" dxfId="0" priority="117">
      <formula>AND(ISBLANK(I36),ISBLANK(INDIRECT(ADDRESS(ROW(),COLUMN(lcsc_part_data)+4))))</formula>
    </cfRule>
    <cfRule type="expression" dxfId="1" priority="118">
      <formula>IF(SUM(INDIRECT(ADDRESS(ROW(),COLUMN(lcsc_part_data)+0)))=0,1,0)</formula>
    </cfRule>
    <cfRule type="cellIs" dxfId="2" priority="119" operator="greaterThan">
      <formula>SUM(INDIRECT(ADDRESS(ROW(),COLUMN(lcsc_part_data)+0)))</formula>
    </cfRule>
    <cfRule type="cellIs" dxfId="3" priority="120" operator="greaterThan">
      <formula>SUM(IF(ISNUMBER(INDIRECT(ADDRESS(ROW(),COLUMN(lcsc_part_data)+2))),INDIRECT(ADDRESS(ROW(),COLUMN(lcsc_part_data)+1)),0))</formula>
    </cfRule>
  </conditionalFormatting>
  <conditionalFormatting sqref="J37">
    <cfRule type="expression" dxfId="0" priority="121">
      <formula>AND(ISBLANK(I37),ISBLANK(INDIRECT(ADDRESS(ROW(),COLUMN(lcsc_part_data)+4))))</formula>
    </cfRule>
    <cfRule type="expression" dxfId="1" priority="122">
      <formula>IF(SUM(INDIRECT(ADDRESS(ROW(),COLUMN(lcsc_part_data)+0)))=0,1,0)</formula>
    </cfRule>
    <cfRule type="cellIs" dxfId="2" priority="123" operator="greaterThan">
      <formula>SUM(INDIRECT(ADDRESS(ROW(),COLUMN(lcsc_part_data)+0)))</formula>
    </cfRule>
    <cfRule type="cellIs" dxfId="3" priority="124" operator="greaterThan">
      <formula>SUM(IF(ISNUMBER(INDIRECT(ADDRESS(ROW(),COLUMN(lcsc_part_data)+2))),INDIRECT(ADDRESS(ROW(),COLUMN(lcsc_part_data)+1)),0))</formula>
    </cfRule>
  </conditionalFormatting>
  <conditionalFormatting sqref="J38">
    <cfRule type="expression" dxfId="0" priority="125">
      <formula>AND(ISBLANK(I38),ISBLANK(INDIRECT(ADDRESS(ROW(),COLUMN(lcsc_part_data)+4))))</formula>
    </cfRule>
    <cfRule type="expression" dxfId="1" priority="126">
      <formula>IF(SUM(INDIRECT(ADDRESS(ROW(),COLUMN(lcsc_part_data)+0)))=0,1,0)</formula>
    </cfRule>
    <cfRule type="cellIs" dxfId="2" priority="127" operator="greaterThan">
      <formula>SUM(INDIRECT(ADDRESS(ROW(),COLUMN(lcsc_part_data)+0)))</formula>
    </cfRule>
    <cfRule type="cellIs" dxfId="3" priority="128" operator="greaterThan">
      <formula>SUM(IF(ISNUMBER(INDIRECT(ADDRESS(ROW(),COLUMN(lcsc_part_data)+2))),INDIRECT(ADDRESS(ROW(),COLUMN(lcsc_part_data)+1)),0))</formula>
    </cfRule>
  </conditionalFormatting>
  <conditionalFormatting sqref="J39">
    <cfRule type="expression" dxfId="0" priority="129">
      <formula>AND(ISBLANK(I39),ISBLANK(INDIRECT(ADDRESS(ROW(),COLUMN(lcsc_part_data)+4))))</formula>
    </cfRule>
    <cfRule type="expression" dxfId="1" priority="130">
      <formula>IF(SUM(INDIRECT(ADDRESS(ROW(),COLUMN(lcsc_part_data)+0)))=0,1,0)</formula>
    </cfRule>
    <cfRule type="cellIs" dxfId="2" priority="131" operator="greaterThan">
      <formula>SUM(INDIRECT(ADDRESS(ROW(),COLUMN(lcsc_part_data)+0)))</formula>
    </cfRule>
    <cfRule type="cellIs" dxfId="3" priority="132" operator="greaterThan">
      <formula>SUM(IF(ISNUMBER(INDIRECT(ADDRESS(ROW(),COLUMN(lcsc_part_data)+2))),INDIRECT(ADDRESS(ROW(),COLUMN(lcsc_part_data)+1)),0))</formula>
    </cfRule>
  </conditionalFormatting>
  <conditionalFormatting sqref="J40">
    <cfRule type="expression" dxfId="0" priority="133">
      <formula>AND(ISBLANK(I40),ISBLANK(INDIRECT(ADDRESS(ROW(),COLUMN(lcsc_part_data)+4))))</formula>
    </cfRule>
    <cfRule type="expression" dxfId="1" priority="134">
      <formula>IF(SUM(INDIRECT(ADDRESS(ROW(),COLUMN(lcsc_part_data)+0)))=0,1,0)</formula>
    </cfRule>
    <cfRule type="cellIs" dxfId="2" priority="135" operator="greaterThan">
      <formula>SUM(INDIRECT(ADDRESS(ROW(),COLUMN(lcsc_part_data)+0)))</formula>
    </cfRule>
    <cfRule type="cellIs" dxfId="3" priority="136" operator="greaterThan">
      <formula>SUM(IF(ISNUMBER(INDIRECT(ADDRESS(ROW(),COLUMN(lcsc_part_data)+2))),INDIRECT(ADDRESS(ROW(),COLUMN(lcsc_part_data)+1)),0))</formula>
    </cfRule>
  </conditionalFormatting>
  <conditionalFormatting sqref="J41">
    <cfRule type="expression" dxfId="0" priority="137">
      <formula>AND(ISBLANK(I41),ISBLANK(INDIRECT(ADDRESS(ROW(),COLUMN(lcsc_part_data)+4))))</formula>
    </cfRule>
    <cfRule type="expression" dxfId="1" priority="138">
      <formula>IF(SUM(INDIRECT(ADDRESS(ROW(),COLUMN(lcsc_part_data)+0)))=0,1,0)</formula>
    </cfRule>
    <cfRule type="cellIs" dxfId="2" priority="139" operator="greaterThan">
      <formula>SUM(INDIRECT(ADDRESS(ROW(),COLUMN(lcsc_part_data)+0)))</formula>
    </cfRule>
    <cfRule type="cellIs" dxfId="3" priority="140" operator="greaterThan">
      <formula>SUM(IF(ISNUMBER(INDIRECT(ADDRESS(ROW(),COLUMN(lcsc_part_data)+2))),INDIRECT(ADDRESS(ROW(),COLUMN(lcsc_part_data)+1)),0))</formula>
    </cfRule>
  </conditionalFormatting>
  <conditionalFormatting sqref="J42">
    <cfRule type="expression" dxfId="0" priority="141">
      <formula>AND(ISBLANK(I42),ISBLANK(INDIRECT(ADDRESS(ROW(),COLUMN(lcsc_part_data)+4))))</formula>
    </cfRule>
    <cfRule type="expression" dxfId="1" priority="142">
      <formula>IF(SUM(INDIRECT(ADDRESS(ROW(),COLUMN(lcsc_part_data)+0)))=0,1,0)</formula>
    </cfRule>
    <cfRule type="cellIs" dxfId="2" priority="143" operator="greaterThan">
      <formula>SUM(INDIRECT(ADDRESS(ROW(),COLUMN(lcsc_part_data)+0)))</formula>
    </cfRule>
    <cfRule type="cellIs" dxfId="3" priority="144" operator="greaterThan">
      <formula>SUM(IF(ISNUMBER(INDIRECT(ADDRESS(ROW(),COLUMN(lcsc_part_data)+2))),INDIRECT(ADDRESS(ROW(),COLUMN(lcsc_part_data)+1)),0))</formula>
    </cfRule>
  </conditionalFormatting>
  <conditionalFormatting sqref="J43">
    <cfRule type="expression" dxfId="0" priority="145">
      <formula>AND(ISBLANK(I43),ISBLANK(INDIRECT(ADDRESS(ROW(),COLUMN(lcsc_part_data)+4))))</formula>
    </cfRule>
    <cfRule type="expression" dxfId="1" priority="146">
      <formula>IF(SUM(INDIRECT(ADDRESS(ROW(),COLUMN(lcsc_part_data)+0)))=0,1,0)</formula>
    </cfRule>
    <cfRule type="cellIs" dxfId="2" priority="147" operator="greaterThan">
      <formula>SUM(INDIRECT(ADDRESS(ROW(),COLUMN(lcsc_part_data)+0)))</formula>
    </cfRule>
    <cfRule type="cellIs" dxfId="3" priority="148" operator="greaterThan">
      <formula>SUM(IF(ISNUMBER(INDIRECT(ADDRESS(ROW(),COLUMN(lcsc_part_data)+2))),INDIRECT(ADDRESS(ROW(),COLUMN(lcsc_part_data)+1)),0))</formula>
    </cfRule>
  </conditionalFormatting>
  <conditionalFormatting sqref="J44">
    <cfRule type="expression" dxfId="0" priority="149">
      <formula>AND(ISBLANK(I44),ISBLANK(INDIRECT(ADDRESS(ROW(),COLUMN(lcsc_part_data)+4))))</formula>
    </cfRule>
    <cfRule type="expression" dxfId="1" priority="150">
      <formula>IF(SUM(INDIRECT(ADDRESS(ROW(),COLUMN(lcsc_part_data)+0)))=0,1,0)</formula>
    </cfRule>
    <cfRule type="cellIs" dxfId="2" priority="151" operator="greaterThan">
      <formula>SUM(INDIRECT(ADDRESS(ROW(),COLUMN(lcsc_part_data)+0)))</formula>
    </cfRule>
    <cfRule type="cellIs" dxfId="3" priority="152" operator="greaterThan">
      <formula>SUM(IF(ISNUMBER(INDIRECT(ADDRESS(ROW(),COLUMN(lcsc_part_data)+2))),INDIRECT(ADDRESS(ROW(),COLUMN(lcsc_part_data)+1)),0))</formula>
    </cfRule>
  </conditionalFormatting>
  <conditionalFormatting sqref="J45">
    <cfRule type="expression" dxfId="0" priority="153">
      <formula>AND(ISBLANK(I45),ISBLANK(INDIRECT(ADDRESS(ROW(),COLUMN(lcsc_part_data)+4))))</formula>
    </cfRule>
    <cfRule type="expression" dxfId="1" priority="154">
      <formula>IF(SUM(INDIRECT(ADDRESS(ROW(),COLUMN(lcsc_part_data)+0)))=0,1,0)</formula>
    </cfRule>
    <cfRule type="cellIs" dxfId="2" priority="155" operator="greaterThan">
      <formula>SUM(INDIRECT(ADDRESS(ROW(),COLUMN(lcsc_part_data)+0)))</formula>
    </cfRule>
    <cfRule type="cellIs" dxfId="3" priority="156" operator="greaterThan">
      <formula>SUM(IF(ISNUMBER(INDIRECT(ADDRESS(ROW(),COLUMN(lcsc_part_data)+2))),INDIRECT(ADDRESS(ROW(),COLUMN(lcsc_part_data)+1)),0))</formula>
    </cfRule>
  </conditionalFormatting>
  <conditionalFormatting sqref="J46">
    <cfRule type="expression" dxfId="0" priority="157">
      <formula>AND(ISBLANK(I46),ISBLANK(INDIRECT(ADDRESS(ROW(),COLUMN(lcsc_part_data)+4))))</formula>
    </cfRule>
    <cfRule type="expression" dxfId="1" priority="158">
      <formula>IF(SUM(INDIRECT(ADDRESS(ROW(),COLUMN(lcsc_part_data)+0)))=0,1,0)</formula>
    </cfRule>
    <cfRule type="cellIs" dxfId="2" priority="159" operator="greaterThan">
      <formula>SUM(INDIRECT(ADDRESS(ROW(),COLUMN(lcsc_part_data)+0)))</formula>
    </cfRule>
    <cfRule type="cellIs" dxfId="3" priority="160" operator="greaterThan">
      <formula>SUM(IF(ISNUMBER(INDIRECT(ADDRESS(ROW(),COLUMN(lcsc_part_data)+2))),INDIRECT(ADDRESS(ROW(),COLUMN(lcsc_part_data)+1)),0))</formula>
    </cfRule>
  </conditionalFormatting>
  <conditionalFormatting sqref="J47">
    <cfRule type="expression" dxfId="0" priority="161">
      <formula>AND(ISBLANK(I47),ISBLANK(INDIRECT(ADDRESS(ROW(),COLUMN(lcsc_part_data)+4))))</formula>
    </cfRule>
    <cfRule type="expression" dxfId="1" priority="162">
      <formula>IF(SUM(INDIRECT(ADDRESS(ROW(),COLUMN(lcsc_part_data)+0)))=0,1,0)</formula>
    </cfRule>
    <cfRule type="cellIs" dxfId="2" priority="163" operator="greaterThan">
      <formula>SUM(INDIRECT(ADDRESS(ROW(),COLUMN(lcsc_part_data)+0)))</formula>
    </cfRule>
    <cfRule type="cellIs" dxfId="3" priority="164" operator="greaterThan">
      <formula>SUM(IF(ISNUMBER(INDIRECT(ADDRESS(ROW(),COLUMN(lcsc_part_data)+2))),INDIRECT(ADDRESS(ROW(),COLUMN(lcsc_part_data)+1)),0))</formula>
    </cfRule>
  </conditionalFormatting>
  <conditionalFormatting sqref="J48">
    <cfRule type="expression" dxfId="0" priority="165">
      <formula>AND(ISBLANK(I48),ISBLANK(INDIRECT(ADDRESS(ROW(),COLUMN(lcsc_part_data)+4))))</formula>
    </cfRule>
    <cfRule type="expression" dxfId="1" priority="166">
      <formula>IF(SUM(INDIRECT(ADDRESS(ROW(),COLUMN(lcsc_part_data)+0)))=0,1,0)</formula>
    </cfRule>
    <cfRule type="cellIs" dxfId="2" priority="167" operator="greaterThan">
      <formula>SUM(INDIRECT(ADDRESS(ROW(),COLUMN(lcsc_part_data)+0)))</formula>
    </cfRule>
    <cfRule type="cellIs" dxfId="3" priority="168" operator="greaterThan">
      <formula>SUM(IF(ISNUMBER(INDIRECT(ADDRESS(ROW(),COLUMN(lcsc_part_data)+2))),INDIRECT(ADDRESS(ROW(),COLUMN(lcsc_part_data)+1)),0))</formula>
    </cfRule>
  </conditionalFormatting>
  <conditionalFormatting sqref="J7">
    <cfRule type="expression" dxfId="0" priority="1">
      <formula>AND(ISBLANK(I7),ISBLANK(INDIRECT(ADDRESS(ROW(),COLUMN(lcsc_part_data)+4))))</formula>
    </cfRule>
    <cfRule type="expression" dxfId="1" priority="2">
      <formula>IF(SUM(INDIRECT(ADDRESS(ROW(),COLUMN(lcsc_part_data)+0)))=0,1,0)</formula>
    </cfRule>
    <cfRule type="cellIs" dxfId="2" priority="3" operator="greaterThan">
      <formula>SUM(INDIRECT(ADDRESS(ROW(),COLUMN(lcsc_part_data)+0)))</formula>
    </cfRule>
    <cfRule type="cellIs" dxfId="3" priority="4" operator="greaterThan">
      <formula>SUM(IF(ISNUMBER(INDIRECT(ADDRESS(ROW(),COLUMN(lcsc_part_data)+2))),INDIRECT(ADDRESS(ROW(),COLUMN(lcsc_part_data)+1)),0))</formula>
    </cfRule>
  </conditionalFormatting>
  <conditionalFormatting sqref="J8">
    <cfRule type="expression" dxfId="0" priority="5">
      <formula>AND(ISBLANK(I8),ISBLANK(INDIRECT(ADDRESS(ROW(),COLUMN(lcsc_part_data)+4))))</formula>
    </cfRule>
    <cfRule type="expression" dxfId="1" priority="6">
      <formula>IF(SUM(INDIRECT(ADDRESS(ROW(),COLUMN(lcsc_part_data)+0)))=0,1,0)</formula>
    </cfRule>
    <cfRule type="cellIs" dxfId="2" priority="7" operator="greaterThan">
      <formula>SUM(INDIRECT(ADDRESS(ROW(),COLUMN(lcsc_part_data)+0)))</formula>
    </cfRule>
    <cfRule type="cellIs" dxfId="3" priority="8" operator="greaterThan">
      <formula>SUM(IF(ISNUMBER(INDIRECT(ADDRESS(ROW(),COLUMN(lcsc_part_data)+2))),INDIRECT(ADDRESS(ROW(),COLUMN(lcsc_part_data)+1)),0))</formula>
    </cfRule>
  </conditionalFormatting>
  <conditionalFormatting sqref="J9">
    <cfRule type="expression" dxfId="0" priority="9">
      <formula>AND(ISBLANK(I9),ISBLANK(INDIRECT(ADDRESS(ROW(),COLUMN(lcsc_part_data)+4))))</formula>
    </cfRule>
    <cfRule type="expression" dxfId="1" priority="10">
      <formula>IF(SUM(INDIRECT(ADDRESS(ROW(),COLUMN(lcsc_part_data)+0)))=0,1,0)</formula>
    </cfRule>
    <cfRule type="cellIs" dxfId="2" priority="11" operator="greaterThan">
      <formula>SUM(INDIRECT(ADDRESS(ROW(),COLUMN(lcsc_part_data)+0)))</formula>
    </cfRule>
    <cfRule type="cellIs" dxfId="3" priority="12" operator="greaterThan">
      <formula>SUM(IF(ISNUMBER(INDIRECT(ADDRESS(ROW(),COLUMN(lcsc_part_data)+2))),INDIRECT(ADDRESS(ROW(),COLUMN(lcsc_part_data)+1)),0))</formula>
    </cfRule>
  </conditionalFormatting>
  <conditionalFormatting sqref="M10">
    <cfRule type="cellIs" dxfId="1" priority="181" operator="equal">
      <formula>0</formula>
    </cfRule>
    <cfRule type="cellIs" dxfId="2" priority="182" operator="lessThan">
      <formula>J10</formula>
    </cfRule>
  </conditionalFormatting>
  <conditionalFormatting sqref="M14">
    <cfRule type="cellIs" dxfId="1" priority="185" operator="equal">
      <formula>0</formula>
    </cfRule>
    <cfRule type="cellIs" dxfId="2" priority="186" operator="lessThan">
      <formula>J14</formula>
    </cfRule>
  </conditionalFormatting>
  <conditionalFormatting sqref="M17">
    <cfRule type="cellIs" dxfId="1" priority="189" operator="equal">
      <formula>0</formula>
    </cfRule>
    <cfRule type="cellIs" dxfId="2" priority="190" operator="lessThan">
      <formula>J17</formula>
    </cfRule>
  </conditionalFormatting>
  <conditionalFormatting sqref="M24">
    <cfRule type="cellIs" dxfId="1" priority="193" operator="equal">
      <formula>0</formula>
    </cfRule>
    <cfRule type="cellIs" dxfId="2" priority="194" operator="lessThan">
      <formula>J24</formula>
    </cfRule>
  </conditionalFormatting>
  <conditionalFormatting sqref="M25">
    <cfRule type="cellIs" dxfId="1" priority="197" operator="equal">
      <formula>0</formula>
    </cfRule>
    <cfRule type="cellIs" dxfId="2" priority="198" operator="lessThan">
      <formula>J25</formula>
    </cfRule>
  </conditionalFormatting>
  <conditionalFormatting sqref="M27">
    <cfRule type="cellIs" dxfId="1" priority="201" operator="equal">
      <formula>0</formula>
    </cfRule>
    <cfRule type="cellIs" dxfId="2" priority="202" operator="lessThan">
      <formula>J27</formula>
    </cfRule>
  </conditionalFormatting>
  <conditionalFormatting sqref="M28">
    <cfRule type="cellIs" dxfId="1" priority="205" operator="equal">
      <formula>0</formula>
    </cfRule>
    <cfRule type="cellIs" dxfId="2" priority="206" operator="lessThan">
      <formula>J28</formula>
    </cfRule>
  </conditionalFormatting>
  <conditionalFormatting sqref="M29">
    <cfRule type="cellIs" dxfId="1" priority="209" operator="equal">
      <formula>0</formula>
    </cfRule>
    <cfRule type="cellIs" dxfId="2" priority="210" operator="lessThan">
      <formula>J29</formula>
    </cfRule>
  </conditionalFormatting>
  <conditionalFormatting sqref="M30">
    <cfRule type="cellIs" dxfId="1" priority="213" operator="equal">
      <formula>0</formula>
    </cfRule>
    <cfRule type="cellIs" dxfId="2" priority="214" operator="lessThan">
      <formula>J30</formula>
    </cfRule>
  </conditionalFormatting>
  <conditionalFormatting sqref="M31">
    <cfRule type="cellIs" dxfId="1" priority="217" operator="equal">
      <formula>0</formula>
    </cfRule>
    <cfRule type="cellIs" dxfId="2" priority="218" operator="lessThan">
      <formula>J31</formula>
    </cfRule>
  </conditionalFormatting>
  <conditionalFormatting sqref="M32">
    <cfRule type="cellIs" dxfId="1" priority="221" operator="equal">
      <formula>0</formula>
    </cfRule>
    <cfRule type="cellIs" dxfId="2" priority="222" operator="lessThan">
      <formula>J32</formula>
    </cfRule>
  </conditionalFormatting>
  <conditionalFormatting sqref="M41">
    <cfRule type="cellIs" dxfId="1" priority="225" operator="equal">
      <formula>0</formula>
    </cfRule>
    <cfRule type="cellIs" dxfId="2" priority="226" operator="lessThan">
      <formula>J41</formula>
    </cfRule>
  </conditionalFormatting>
  <conditionalFormatting sqref="M7">
    <cfRule type="cellIs" dxfId="1" priority="169" operator="equal">
      <formula>0</formula>
    </cfRule>
    <cfRule type="cellIs" dxfId="2" priority="170" operator="lessThan">
      <formula>J7</formula>
    </cfRule>
  </conditionalFormatting>
  <conditionalFormatting sqref="M8">
    <cfRule type="cellIs" dxfId="1" priority="173" operator="equal">
      <formula>0</formula>
    </cfRule>
    <cfRule type="cellIs" dxfId="2" priority="174" operator="lessThan">
      <formula>J8</formula>
    </cfRule>
  </conditionalFormatting>
  <conditionalFormatting sqref="M9">
    <cfRule type="cellIs" dxfId="1" priority="177" operator="equal">
      <formula>0</formula>
    </cfRule>
    <cfRule type="cellIs" dxfId="2" priority="178" operator="lessThan">
      <formula>J9</formula>
    </cfRule>
  </conditionalFormatting>
  <conditionalFormatting sqref="N10">
    <cfRule type="expression" dxfId="3" priority="183">
      <formula>AND(N10&gt;0,N10&lt;50)</formula>
    </cfRule>
    <cfRule type="cellIs" dxfId="1" priority="184" operator="greaterThan">
      <formula>M10</formula>
    </cfRule>
  </conditionalFormatting>
  <conditionalFormatting sqref="N14">
    <cfRule type="expression" dxfId="3" priority="187">
      <formula>AND(N14&gt;0,N14&lt;10)</formula>
    </cfRule>
    <cfRule type="cellIs" dxfId="1" priority="188" operator="greaterThan">
      <formula>M14</formula>
    </cfRule>
  </conditionalFormatting>
  <conditionalFormatting sqref="N17">
    <cfRule type="expression" dxfId="3" priority="191">
      <formula>AND(N17&gt;0,N17&lt;10)</formula>
    </cfRule>
    <cfRule type="cellIs" dxfId="1" priority="192" operator="greaterThan">
      <formula>M17</formula>
    </cfRule>
  </conditionalFormatting>
  <conditionalFormatting sqref="N24">
    <cfRule type="expression" dxfId="3" priority="195">
      <formula>AND(N24&gt;0,N24&lt;20)</formula>
    </cfRule>
    <cfRule type="cellIs" dxfId="1" priority="196" operator="greaterThan">
      <formula>M24</formula>
    </cfRule>
  </conditionalFormatting>
  <conditionalFormatting sqref="N25">
    <cfRule type="expression" dxfId="3" priority="199">
      <formula>AND(N25&gt;0,N25&lt;50)</formula>
    </cfRule>
    <cfRule type="cellIs" dxfId="1" priority="200" operator="greaterThan">
      <formula>M25</formula>
    </cfRule>
  </conditionalFormatting>
  <conditionalFormatting sqref="N27">
    <cfRule type="expression" dxfId="3" priority="203">
      <formula>AND(N27&gt;0,N27&lt;100)</formula>
    </cfRule>
    <cfRule type="cellIs" dxfId="1" priority="204" operator="greaterThan">
      <formula>M27</formula>
    </cfRule>
  </conditionalFormatting>
  <conditionalFormatting sqref="N28">
    <cfRule type="expression" dxfId="3" priority="207">
      <formula>AND(N28&gt;0,N28&lt;100)</formula>
    </cfRule>
    <cfRule type="cellIs" dxfId="1" priority="208" operator="greaterThan">
      <formula>M28</formula>
    </cfRule>
  </conditionalFormatting>
  <conditionalFormatting sqref="N29">
    <cfRule type="expression" dxfId="3" priority="211">
      <formula>AND(N29&gt;0,N29&lt;100)</formula>
    </cfRule>
    <cfRule type="cellIs" dxfId="1" priority="212" operator="greaterThan">
      <formula>M29</formula>
    </cfRule>
  </conditionalFormatting>
  <conditionalFormatting sqref="N30">
    <cfRule type="expression" dxfId="3" priority="215">
      <formula>AND(N30&gt;0,N30&lt;100)</formula>
    </cfRule>
    <cfRule type="cellIs" dxfId="1" priority="216" operator="greaterThan">
      <formula>M30</formula>
    </cfRule>
  </conditionalFormatting>
  <conditionalFormatting sqref="N31">
    <cfRule type="expression" dxfId="3" priority="219">
      <formula>AND(N31&gt;0,N31&lt;100)</formula>
    </cfRule>
    <cfRule type="cellIs" dxfId="1" priority="220" operator="greaterThan">
      <formula>M31</formula>
    </cfRule>
  </conditionalFormatting>
  <conditionalFormatting sqref="N32">
    <cfRule type="expression" dxfId="3" priority="223">
      <formula>AND(N32&gt;0,N32&lt;100)</formula>
    </cfRule>
    <cfRule type="cellIs" dxfId="1" priority="224" operator="greaterThan">
      <formula>M32</formula>
    </cfRule>
  </conditionalFormatting>
  <conditionalFormatting sqref="N41">
    <cfRule type="cellIs" dxfId="1" priority="227" operator="greaterThan">
      <formula>M41</formula>
    </cfRule>
  </conditionalFormatting>
  <conditionalFormatting sqref="N7">
    <cfRule type="expression" dxfId="3" priority="171">
      <formula>AND(N7&gt;0,N7&lt;50)</formula>
    </cfRule>
    <cfRule type="cellIs" dxfId="1" priority="172" operator="greaterThan">
      <formula>M7</formula>
    </cfRule>
  </conditionalFormatting>
  <conditionalFormatting sqref="N8">
    <cfRule type="expression" dxfId="3" priority="175">
      <formula>AND(N8&gt;0,N8&lt;50)</formula>
    </cfRule>
    <cfRule type="cellIs" dxfId="1" priority="176" operator="greaterThan">
      <formula>M8</formula>
    </cfRule>
  </conditionalFormatting>
  <conditionalFormatting sqref="N9">
    <cfRule type="expression" dxfId="3" priority="179">
      <formula>AND(N9&gt;0,N9&lt;50)</formula>
    </cfRule>
    <cfRule type="cellIs" dxfId="1" priority="180" operator="greaterThan">
      <formula>M9</formula>
    </cfRule>
  </conditionalFormatting>
  <hyperlinks>
    <hyperlink ref="Q7" r:id="rId1"/>
    <hyperlink ref="Q8" r:id="rId2"/>
    <hyperlink ref="Q9" r:id="rId3"/>
    <hyperlink ref="Q10" r:id="rId4"/>
    <hyperlink ref="I12" r:id="rId5"/>
    <hyperlink ref="I13" r:id="rId6"/>
    <hyperlink ref="I14" r:id="rId7"/>
    <hyperlink ref="Q14" r:id="rId8"/>
    <hyperlink ref="I15" r:id="rId9"/>
    <hyperlink ref="I16" r:id="rId10"/>
    <hyperlink ref="I17" r:id="rId11"/>
    <hyperlink ref="Q17" r:id="rId12"/>
    <hyperlink ref="I23" r:id="rId13"/>
    <hyperlink ref="I24" r:id="rId14"/>
    <hyperlink ref="Q24" r:id="rId15"/>
    <hyperlink ref="I25" r:id="rId16"/>
    <hyperlink ref="Q25" r:id="rId17"/>
    <hyperlink ref="I26" r:id="rId18"/>
    <hyperlink ref="Q27" r:id="rId19"/>
    <hyperlink ref="Q28" r:id="rId20"/>
    <hyperlink ref="Q29" r:id="rId21"/>
    <hyperlink ref="Q30" r:id="rId22"/>
    <hyperlink ref="Q31" r:id="rId23"/>
    <hyperlink ref="Q32" r:id="rId24"/>
    <hyperlink ref="I35" r:id="rId25"/>
    <hyperlink ref="I36" r:id="rId26"/>
    <hyperlink ref="I37" r:id="rId27"/>
    <hyperlink ref="I38" r:id="rId28"/>
    <hyperlink ref="I39" r:id="rId29"/>
    <hyperlink ref="I40" r:id="rId30"/>
    <hyperlink ref="I41" r:id="rId31"/>
    <hyperlink ref="Q41" r:id="rId32"/>
    <hyperlink ref="I42" r:id="rId33"/>
    <hyperlink ref="I43" r:id="rId34"/>
    <hyperlink ref="I45" r:id="rId35"/>
    <hyperlink ref="I46" r:id="rId36"/>
    <hyperlink ref="I47" r:id="rId37"/>
    <hyperlink ref="M50" r:id="rId38"/>
  </hyperlinks>
  <pageMargins left="0.7" right="0.7" top="0.75" bottom="0.75" header="0.3" footer="0.3"/>
  <legacyDrawing r:id="rId3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SuperPower-uC-KiCad.^_.__$</vt:lpstr>
      <vt:lpstr>'SuperPower-uC-KiCad.^_.__$'!BoardQty</vt:lpstr>
      <vt:lpstr>'SuperPower-uC-KiCad.^_.__$'!EUR_USD</vt:lpstr>
      <vt:lpstr>'SuperPower-uC-KiCad.^_.__$'!global_part_data</vt:lpstr>
      <vt:lpstr>'SuperPower-uC-KiCad.^_.__$'!lcsc_part_data</vt:lpstr>
      <vt:lpstr>'SuperPower-uC-KiCad.^_.__$'!PURCHASE_DESCRIPTION</vt:lpstr>
      <vt:lpstr>'SuperPower-uC-KiCad.^_.__$'!TotalCost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2021-07-01T21:39:19Z</dcterms:created>
  <dcterms:modified xsi:type="dcterms:W3CDTF">2021-07-01T21:39:19Z</dcterms:modified>
</cp:coreProperties>
</file>