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niversity\Semester 3\EN2031\"/>
    </mc:Choice>
  </mc:AlternateContent>
  <xr:revisionPtr revIDLastSave="0" documentId="13_ncr:1_{236E7962-FCDC-4494-9ADA-237BEFE6B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A35" i="1"/>
  <c r="A36" i="1"/>
  <c r="A37" i="1"/>
  <c r="A38" i="1"/>
  <c r="A27" i="1"/>
  <c r="A28" i="1"/>
  <c r="A29" i="1"/>
  <c r="A30" i="1"/>
  <c r="C3" i="1"/>
  <c r="J24" i="1" s="1"/>
  <c r="C4" i="1"/>
  <c r="C5" i="1"/>
  <c r="J26" i="1" s="1"/>
  <c r="C6" i="1"/>
  <c r="J27" i="1" s="1"/>
  <c r="C2" i="1"/>
  <c r="D11" i="1"/>
  <c r="J23" i="1"/>
  <c r="K23" i="1" s="1"/>
  <c r="J25" i="1"/>
  <c r="K2" i="1"/>
  <c r="K6" i="1"/>
  <c r="K3" i="1"/>
  <c r="K4" i="1"/>
  <c r="K5" i="1"/>
  <c r="J3" i="1"/>
  <c r="J4" i="1"/>
  <c r="J5" i="1"/>
  <c r="J6" i="1"/>
  <c r="J2" i="1"/>
  <c r="I4" i="1"/>
  <c r="L4" i="1" s="1"/>
  <c r="I3" i="1"/>
  <c r="L3" i="1" s="1"/>
  <c r="I2" i="1"/>
  <c r="T3" i="1"/>
  <c r="T4" i="1"/>
  <c r="T5" i="1"/>
  <c r="T6" i="1"/>
  <c r="T2" i="1"/>
  <c r="S3" i="1"/>
  <c r="S4" i="1"/>
  <c r="S5" i="1"/>
  <c r="S6" i="1"/>
  <c r="S2" i="1"/>
  <c r="R3" i="1"/>
  <c r="U3" i="1" s="1"/>
  <c r="R4" i="1"/>
  <c r="U4" i="1" s="1"/>
  <c r="R5" i="1"/>
  <c r="U5" i="1" s="1"/>
  <c r="R6" i="1"/>
  <c r="U6" i="1" s="1"/>
  <c r="R2" i="1"/>
  <c r="U2" i="1" s="1"/>
  <c r="H22" i="1"/>
  <c r="P25" i="1" s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BK16" i="1"/>
  <c r="BK17" i="1"/>
  <c r="BK18" i="1"/>
  <c r="BK19" i="1"/>
  <c r="BK15" i="1"/>
  <c r="BG19" i="1"/>
  <c r="BG18" i="1"/>
  <c r="BG17" i="1"/>
  <c r="BG16" i="1"/>
  <c r="BG15" i="1"/>
  <c r="I5" i="1"/>
  <c r="L5" i="1" s="1"/>
  <c r="I6" i="1"/>
  <c r="L6" i="1" s="1"/>
  <c r="D3" i="1"/>
  <c r="D4" i="1"/>
  <c r="D5" i="1"/>
  <c r="D6" i="1"/>
  <c r="D2" i="1"/>
  <c r="D14" i="1" l="1"/>
  <c r="D15" i="1"/>
  <c r="D13" i="1"/>
  <c r="D12" i="1"/>
  <c r="BN16" i="1" s="1"/>
  <c r="BL16" i="1" s="1"/>
  <c r="BM16" i="1" s="1"/>
  <c r="L2" i="1"/>
  <c r="P15" i="1"/>
  <c r="BN15" i="1"/>
  <c r="BL15" i="1" s="1"/>
  <c r="BM15" i="1" s="1"/>
  <c r="BN19" i="1"/>
  <c r="BL19" i="1" s="1"/>
  <c r="BM19" i="1" s="1"/>
  <c r="K27" i="1"/>
  <c r="P19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T24" i="1" s="1"/>
  <c r="K24" i="1" l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S27" i="1" s="1"/>
  <c r="R15" i="1"/>
  <c r="S15" i="1" s="1"/>
  <c r="S26" i="1" s="1"/>
  <c r="K25" i="1"/>
  <c r="P17" i="1" s="1"/>
  <c r="BN17" i="1"/>
  <c r="BL17" i="1" s="1"/>
  <c r="BM17" i="1" s="1"/>
  <c r="BN18" i="1"/>
  <c r="BL18" i="1" s="1"/>
  <c r="BM18" i="1" s="1"/>
  <c r="K26" i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S30" i="1" s="1"/>
  <c r="A34" i="1" l="1"/>
  <c r="A26" i="1"/>
  <c r="B26" i="1"/>
  <c r="B27" i="1"/>
  <c r="H27" i="1" s="1"/>
  <c r="B30" i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S29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S28" i="1" s="1"/>
  <c r="D27" i="1" l="1"/>
  <c r="B35" i="1"/>
  <c r="H35" i="1" s="1"/>
  <c r="H30" i="1"/>
  <c r="B34" i="1"/>
  <c r="H26" i="1"/>
  <c r="D35" i="1"/>
  <c r="F35" i="1" s="1"/>
  <c r="G35" i="1" s="1"/>
  <c r="F27" i="1"/>
  <c r="G27" i="1" s="1"/>
  <c r="H34" i="1"/>
  <c r="D26" i="1"/>
  <c r="D34" i="1" s="1"/>
  <c r="B28" i="1"/>
  <c r="H28" i="1" s="1"/>
  <c r="B29" i="1"/>
  <c r="H29" i="1" s="1"/>
  <c r="B38" i="1"/>
  <c r="H38" i="1" s="1"/>
  <c r="D30" i="1"/>
  <c r="F30" i="1" l="1"/>
  <c r="D38" i="1"/>
  <c r="F38" i="1" s="1"/>
  <c r="G38" i="1" s="1"/>
  <c r="G30" i="1"/>
  <c r="F34" i="1"/>
  <c r="G34" i="1" s="1"/>
  <c r="B36" i="1"/>
  <c r="H36" i="1" s="1"/>
  <c r="F26" i="1"/>
  <c r="G26" i="1" s="1"/>
  <c r="B37" i="1"/>
  <c r="H37" i="1" s="1"/>
  <c r="D29" i="1"/>
  <c r="F29" i="1" s="1"/>
  <c r="D28" i="1"/>
  <c r="D36" i="1" l="1"/>
  <c r="G29" i="1"/>
  <c r="D37" i="1"/>
  <c r="F36" i="1"/>
  <c r="G36" i="1" s="1"/>
  <c r="F28" i="1"/>
  <c r="G28" i="1" s="1"/>
  <c r="F37" i="1"/>
  <c r="G37" i="1" s="1"/>
</calcChain>
</file>

<file path=xl/sharedStrings.xml><?xml version="1.0" encoding="utf-8"?>
<sst xmlns="http://schemas.openxmlformats.org/spreadsheetml/2006/main" count="94" uniqueCount="29">
  <si>
    <t>Lower (Hz)</t>
  </si>
  <si>
    <t>Upper(Hz)</t>
  </si>
  <si>
    <t>Mid</t>
  </si>
  <si>
    <t>Bandwith</t>
  </si>
  <si>
    <t>R1</t>
  </si>
  <si>
    <t>R3</t>
  </si>
  <si>
    <t>R2</t>
  </si>
  <si>
    <t>C1</t>
  </si>
  <si>
    <t>BW</t>
  </si>
  <si>
    <t>Am</t>
  </si>
  <si>
    <t>Q</t>
  </si>
  <si>
    <t>R4</t>
  </si>
  <si>
    <t>R6</t>
  </si>
  <si>
    <t>R5</t>
  </si>
  <si>
    <t>C2</t>
  </si>
  <si>
    <t>USE ABOVE TABLES TO RECALCULATE IF THE CHOSEN VALUES ARE CORRECT</t>
  </si>
  <si>
    <t>GAIN  OF 4TH ORDER FILTER TO CALCULATE THE0RETICAL  VALUES</t>
  </si>
  <si>
    <t>fm</t>
  </si>
  <si>
    <t>Lower</t>
  </si>
  <si>
    <t>Upper</t>
  </si>
  <si>
    <t>Alpha</t>
  </si>
  <si>
    <t>BW for ALPha</t>
  </si>
  <si>
    <t>Qneeded</t>
  </si>
  <si>
    <t>Omega</t>
  </si>
  <si>
    <t>First 2nd order filter THEORETICAL</t>
  </si>
  <si>
    <t>alpha correct</t>
  </si>
  <si>
    <r>
      <rPr>
        <b/>
        <sz val="11"/>
        <color rgb="FF000000"/>
        <rFont val="Calibri"/>
        <family val="2"/>
        <scheme val="minor"/>
      </rPr>
      <t>ABOVE TABLE CALCULATES OMEGA TO GET ALPHA</t>
    </r>
    <r>
      <rPr>
        <sz val="11"/>
        <color rgb="FF000000"/>
        <rFont val="Calibri"/>
        <family val="2"/>
        <scheme val="minor"/>
      </rPr>
      <t xml:space="preserve"> </t>
    </r>
  </si>
  <si>
    <t>VALUES OF ALPHA</t>
  </si>
  <si>
    <t>Second second order filter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</si>
</sst>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2" fillId="0" borderId="0" xfId="0" applyNumberFormat="1" applyFont="1"/>
    <xf numFmtId="9" fontId="2" fillId="0" borderId="0" xfId="1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11" fontId="0" fillId="0" borderId="1" xfId="0" applyNumberFormat="1" applyBorder="1"/>
    <xf numFmtId="2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1" fontId="5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79"/>
  <sheetViews>
    <sheetView tabSelected="1" zoomScaleNormal="100" workbookViewId="0">
      <selection activeCell="P22" sqref="P22"/>
    </sheetView>
  </sheetViews>
  <sheetFormatPr defaultColWidth="8.77734375" defaultRowHeight="14.4" x14ac:dyDescent="0.3"/>
  <cols>
    <col min="5" max="8" width="9.33203125" bestFit="1" customWidth="1"/>
    <col min="9" max="10" width="9.44140625" bestFit="1" customWidth="1"/>
    <col min="14" max="15" width="9.33203125" bestFit="1" customWidth="1"/>
    <col min="16" max="16" width="14.33203125" customWidth="1"/>
    <col min="19" max="19" width="9.44140625" bestFit="1" customWidth="1"/>
  </cols>
  <sheetData>
    <row r="1" spans="1:6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2</v>
      </c>
      <c r="J1" s="11" t="s">
        <v>8</v>
      </c>
      <c r="K1" s="11" t="s">
        <v>9</v>
      </c>
      <c r="L1" s="11" t="s">
        <v>10</v>
      </c>
      <c r="M1" s="16"/>
      <c r="N1" s="11" t="s">
        <v>11</v>
      </c>
      <c r="O1" s="11" t="s">
        <v>12</v>
      </c>
      <c r="P1" s="11" t="s">
        <v>13</v>
      </c>
      <c r="Q1" s="11" t="s">
        <v>14</v>
      </c>
      <c r="R1" s="11" t="s">
        <v>2</v>
      </c>
      <c r="S1" s="11" t="s">
        <v>8</v>
      </c>
      <c r="T1" s="11" t="s">
        <v>9</v>
      </c>
      <c r="U1" s="11" t="s">
        <v>10</v>
      </c>
    </row>
    <row r="2" spans="1:66" x14ac:dyDescent="0.3">
      <c r="A2" s="6">
        <v>20</v>
      </c>
      <c r="B2" s="6">
        <v>300</v>
      </c>
      <c r="C2" s="6">
        <f>(A2*B2)^(1/2)</f>
        <v>77.459666924148337</v>
      </c>
      <c r="D2" s="6">
        <f>B2-A2</f>
        <v>280</v>
      </c>
      <c r="E2" s="9">
        <v>10000</v>
      </c>
      <c r="F2" s="9">
        <v>82000</v>
      </c>
      <c r="G2" s="9">
        <v>39000</v>
      </c>
      <c r="H2" s="9">
        <v>9.9999999999999995E-8</v>
      </c>
      <c r="I2" s="15">
        <f>1/(2*PI()*H2)*SQRT((E2+F2)/(E2*F2*G2))</f>
        <v>85.364011493892932</v>
      </c>
      <c r="J2" s="10">
        <f>1/(PI()*G2*H2)</f>
        <v>81.617919534305301</v>
      </c>
      <c r="K2" s="10">
        <f>-G2/2/E2</f>
        <v>-1.95</v>
      </c>
      <c r="L2" s="10">
        <f>PI()*I2*G2*H2</f>
        <v>1.0458979104216579</v>
      </c>
      <c r="N2" s="9">
        <v>2700</v>
      </c>
      <c r="O2" s="9">
        <v>22000</v>
      </c>
      <c r="P2" s="9">
        <v>10000</v>
      </c>
      <c r="Q2" s="9">
        <v>9.9999999999999995E-8</v>
      </c>
      <c r="R2" s="15">
        <f>1/(2*PI()*Q2)*SQRT((N2+O2)/(N2*O2*P2))</f>
        <v>324.54534605874397</v>
      </c>
      <c r="S2" s="10">
        <f>1/(PI()*P2*Q2)</f>
        <v>318.3098861837907</v>
      </c>
      <c r="T2" s="10">
        <f>-P2/(2*N2)</f>
        <v>-1.8518518518518519</v>
      </c>
      <c r="U2" s="10">
        <f>PI()*R2*P2*Q2</f>
        <v>1.0195892749349071</v>
      </c>
    </row>
    <row r="3" spans="1:66" x14ac:dyDescent="0.3">
      <c r="A3" s="6">
        <v>300</v>
      </c>
      <c r="B3" s="10">
        <v>1000</v>
      </c>
      <c r="C3" s="6">
        <f t="shared" ref="C3:C6" si="0">(A3*B3)^(1/2)</f>
        <v>547.72255750516615</v>
      </c>
      <c r="D3" s="6">
        <f t="shared" ref="D3:D6" si="1">B3-A3</f>
        <v>700</v>
      </c>
      <c r="E3" s="9">
        <v>3600</v>
      </c>
      <c r="F3" s="9">
        <v>3900</v>
      </c>
      <c r="G3" s="9">
        <v>11000</v>
      </c>
      <c r="H3" s="9">
        <v>9.9999999999999995E-8</v>
      </c>
      <c r="I3" s="15">
        <f>1/(2*PI()*H3)*SQRT((E3+F3)/(E3*F3*G3))</f>
        <v>350.72834576941204</v>
      </c>
      <c r="J3" s="10">
        <f t="shared" ref="J3:J6" si="2">1/(PI()*G3*H3)</f>
        <v>289.37262380344612</v>
      </c>
      <c r="K3" s="10">
        <f t="shared" ref="K3:K5" si="3">-G3/2/E3</f>
        <v>-1.5277777777777777</v>
      </c>
      <c r="L3" s="10">
        <f t="shared" ref="L3:L6" si="4">PI()*I3*G3*H3</f>
        <v>1.2120301539223743</v>
      </c>
      <c r="N3" s="9">
        <v>15000</v>
      </c>
      <c r="O3" s="9">
        <v>15000</v>
      </c>
      <c r="P3" s="9">
        <v>47000</v>
      </c>
      <c r="Q3" s="9">
        <v>1E-8</v>
      </c>
      <c r="R3" s="15">
        <f t="shared" ref="R3:R6" si="5">1/(2*PI()*Q3)*SQRT((N3+O3)/(N3*O3*P3))</f>
        <v>847.69685319116115</v>
      </c>
      <c r="S3" s="10">
        <f t="shared" ref="S3:S6" si="6">1/(PI()*P3*Q3)</f>
        <v>677.25507698678871</v>
      </c>
      <c r="T3" s="10">
        <f t="shared" ref="T3:T6" si="7">-P3/(2*N3)</f>
        <v>-1.5666666666666667</v>
      </c>
      <c r="U3" s="10">
        <f t="shared" ref="U3:U6" si="8">PI()*R3*P3*Q3</f>
        <v>1.2516655570345725</v>
      </c>
    </row>
    <row r="4" spans="1:66" x14ac:dyDescent="0.3">
      <c r="A4" s="10">
        <v>1000</v>
      </c>
      <c r="B4" s="10">
        <v>4000</v>
      </c>
      <c r="C4" s="6">
        <f t="shared" si="0"/>
        <v>2000</v>
      </c>
      <c r="D4" s="6">
        <f t="shared" si="1"/>
        <v>3000</v>
      </c>
      <c r="E4" s="9">
        <v>2700</v>
      </c>
      <c r="F4" s="9">
        <v>6200</v>
      </c>
      <c r="G4" s="9">
        <v>9100</v>
      </c>
      <c r="H4" s="9">
        <v>3.2999999999999998E-8</v>
      </c>
      <c r="I4" s="15">
        <f>1/(2*PI()*H4)*SQRT((E4+F4)/(E4*F4*G4))</f>
        <v>1165.7428813425463</v>
      </c>
      <c r="J4" s="10">
        <f t="shared" si="2"/>
        <v>1059.9729809650039</v>
      </c>
      <c r="K4" s="10">
        <f t="shared" si="3"/>
        <v>-1.6851851851851851</v>
      </c>
      <c r="L4" s="10">
        <f t="shared" si="4"/>
        <v>1.0997854683817025</v>
      </c>
      <c r="N4" s="9">
        <v>3000</v>
      </c>
      <c r="O4" s="9">
        <v>6500</v>
      </c>
      <c r="P4" s="9">
        <v>10000</v>
      </c>
      <c r="Q4" s="9">
        <v>1E-8</v>
      </c>
      <c r="R4" s="15">
        <f t="shared" si="5"/>
        <v>3512.8906290721879</v>
      </c>
      <c r="S4" s="10">
        <f t="shared" si="6"/>
        <v>3183.098861837907</v>
      </c>
      <c r="T4" s="10">
        <f t="shared" si="7"/>
        <v>-1.6666666666666667</v>
      </c>
      <c r="U4" s="10">
        <f t="shared" si="8"/>
        <v>1.1036071393157612</v>
      </c>
    </row>
    <row r="5" spans="1:66" x14ac:dyDescent="0.3">
      <c r="A5" s="10">
        <v>4000</v>
      </c>
      <c r="B5" s="10">
        <v>10000</v>
      </c>
      <c r="C5" s="6">
        <f t="shared" si="0"/>
        <v>6324.555320336759</v>
      </c>
      <c r="D5" s="6">
        <f t="shared" si="1"/>
        <v>6000</v>
      </c>
      <c r="E5" s="9">
        <v>2400</v>
      </c>
      <c r="F5" s="9">
        <v>1000</v>
      </c>
      <c r="G5" s="9">
        <v>7500</v>
      </c>
      <c r="H5" s="9">
        <v>1.4999999999999999E-8</v>
      </c>
      <c r="I5" s="15">
        <f t="shared" ref="I5:I6" si="9">1/(2*PI()*H5)*SQRT((E5+F5)/(E5*F5*G5))</f>
        <v>4611.3923902425549</v>
      </c>
      <c r="J5" s="10">
        <f t="shared" si="2"/>
        <v>2829.4212105225838</v>
      </c>
      <c r="K5" s="10">
        <f t="shared" si="3"/>
        <v>-1.5625</v>
      </c>
      <c r="L5" s="10">
        <f t="shared" si="4"/>
        <v>1.6298006013006621</v>
      </c>
      <c r="N5" s="9">
        <v>2700</v>
      </c>
      <c r="O5" s="9">
        <v>1000</v>
      </c>
      <c r="P5" s="9">
        <v>8200</v>
      </c>
      <c r="Q5" s="9">
        <v>6.7999999999999997E-9</v>
      </c>
      <c r="R5" s="15">
        <f t="shared" si="5"/>
        <v>9568.0463988588181</v>
      </c>
      <c r="S5" s="10">
        <f t="shared" si="6"/>
        <v>5708.5704121913686</v>
      </c>
      <c r="T5" s="10">
        <f t="shared" si="7"/>
        <v>-1.5185185185185186</v>
      </c>
      <c r="U5" s="10">
        <f t="shared" si="8"/>
        <v>1.676084502422017</v>
      </c>
    </row>
    <row r="6" spans="1:66" x14ac:dyDescent="0.3">
      <c r="A6" s="10">
        <v>10000</v>
      </c>
      <c r="B6" s="10">
        <v>20000</v>
      </c>
      <c r="C6" s="6">
        <f t="shared" si="0"/>
        <v>14142.13562373095</v>
      </c>
      <c r="D6" s="6">
        <f t="shared" si="1"/>
        <v>10000</v>
      </c>
      <c r="E6" s="9">
        <v>2200</v>
      </c>
      <c r="F6" s="9">
        <v>390</v>
      </c>
      <c r="G6" s="9">
        <v>5600</v>
      </c>
      <c r="H6" s="9">
        <v>1E-8</v>
      </c>
      <c r="I6" s="15">
        <f t="shared" si="9"/>
        <v>11685.097924451662</v>
      </c>
      <c r="J6" s="10">
        <f t="shared" si="2"/>
        <v>5684.1051104248345</v>
      </c>
      <c r="K6" s="10">
        <f>-G6/2/E6</f>
        <v>-1.2727272727272727</v>
      </c>
      <c r="L6" s="10">
        <f t="shared" si="4"/>
        <v>2.0557497965723419</v>
      </c>
      <c r="N6" s="9">
        <v>1800</v>
      </c>
      <c r="O6" s="9">
        <v>330</v>
      </c>
      <c r="P6" s="9">
        <v>5600</v>
      </c>
      <c r="Q6" s="9">
        <v>6.7999999999999997E-9</v>
      </c>
      <c r="R6" s="15">
        <f t="shared" si="5"/>
        <v>18728.965284760783</v>
      </c>
      <c r="S6" s="10">
        <f t="shared" si="6"/>
        <v>8358.9781035659325</v>
      </c>
      <c r="T6" s="10">
        <f t="shared" si="7"/>
        <v>-1.5555555555555556</v>
      </c>
      <c r="U6" s="10">
        <f t="shared" si="8"/>
        <v>2.2405807328016598</v>
      </c>
    </row>
    <row r="7" spans="1:66" x14ac:dyDescent="0.3">
      <c r="A7" s="2"/>
      <c r="D7" s="17" t="s">
        <v>15</v>
      </c>
    </row>
    <row r="8" spans="1:66" x14ac:dyDescent="0.3">
      <c r="A8" s="12" t="s">
        <v>16</v>
      </c>
      <c r="I8" s="4"/>
      <c r="J8" s="4"/>
      <c r="K8" s="3"/>
      <c r="L8" s="3"/>
      <c r="R8" s="5"/>
      <c r="S8" s="5"/>
    </row>
    <row r="9" spans="1:66" x14ac:dyDescent="0.3">
      <c r="A9" s="6">
        <v>1</v>
      </c>
      <c r="I9" s="4"/>
      <c r="J9" s="4"/>
      <c r="K9" s="3"/>
      <c r="L9" s="3"/>
      <c r="R9" s="5"/>
      <c r="S9" s="5"/>
    </row>
    <row r="10" spans="1:66" x14ac:dyDescent="0.3">
      <c r="A10" s="6">
        <v>1</v>
      </c>
      <c r="D10" t="s">
        <v>17</v>
      </c>
      <c r="I10" s="4"/>
      <c r="J10" s="4"/>
      <c r="K10" s="3"/>
      <c r="L10" s="3"/>
      <c r="R10" s="5"/>
      <c r="S10" s="5"/>
    </row>
    <row r="11" spans="1:66" x14ac:dyDescent="0.3">
      <c r="A11" s="6">
        <v>1</v>
      </c>
      <c r="D11">
        <f>SQRT(I2*R2)</f>
        <v>166.4466660863115</v>
      </c>
      <c r="I11" s="4"/>
      <c r="J11" s="4"/>
      <c r="K11" s="3"/>
      <c r="L11" s="3"/>
      <c r="R11" s="5"/>
      <c r="S11" s="5"/>
    </row>
    <row r="12" spans="1:66" x14ac:dyDescent="0.3">
      <c r="A12" s="6">
        <v>1</v>
      </c>
      <c r="D12">
        <f t="shared" ref="D12:D15" si="10">SQRT(I3*R3)</f>
        <v>545.26261107256573</v>
      </c>
      <c r="I12" s="4"/>
      <c r="J12" s="4"/>
      <c r="K12" s="3"/>
      <c r="L12" s="3"/>
      <c r="R12" s="5"/>
      <c r="S12" s="5"/>
    </row>
    <row r="13" spans="1:66" x14ac:dyDescent="0.3">
      <c r="A13" s="6">
        <v>1</v>
      </c>
      <c r="D13">
        <f t="shared" si="10"/>
        <v>2023.6420740278757</v>
      </c>
    </row>
    <row r="14" spans="1:66" x14ac:dyDescent="0.3">
      <c r="D14">
        <f t="shared" si="10"/>
        <v>6642.4405419382747</v>
      </c>
      <c r="BE14" t="s">
        <v>18</v>
      </c>
      <c r="BF14" t="s">
        <v>19</v>
      </c>
      <c r="BG14" t="s">
        <v>2</v>
      </c>
      <c r="BI14" t="s">
        <v>7</v>
      </c>
      <c r="BJ14" t="s">
        <v>9</v>
      </c>
      <c r="BK14" t="s">
        <v>8</v>
      </c>
      <c r="BL14" t="s">
        <v>4</v>
      </c>
      <c r="BM14" t="s">
        <v>6</v>
      </c>
      <c r="BN14" t="s">
        <v>5</v>
      </c>
    </row>
    <row r="15" spans="1:66" x14ac:dyDescent="0.3">
      <c r="D15">
        <f t="shared" si="10"/>
        <v>14793.572704931201</v>
      </c>
      <c r="N15" t="s">
        <v>20</v>
      </c>
      <c r="O15">
        <v>1</v>
      </c>
      <c r="P15" s="8">
        <f t="shared" ref="P15:AL15" si="11">2+$K23^2-(1/O15)-O15*(1.4142*$K23/(1+O15))^2</f>
        <v>7.5334586426666679</v>
      </c>
      <c r="Q15" s="8">
        <f>2+$K23^2-(1/P15)-P15*(1.4142*$K23/(1+P15))^2</f>
        <v>12.230398516389798</v>
      </c>
      <c r="R15" s="8">
        <f t="shared" si="11"/>
        <v>13.158985330282263</v>
      </c>
      <c r="S15" s="8">
        <f t="shared" si="11"/>
        <v>13.275355074793314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BE15">
        <v>20</v>
      </c>
      <c r="BF15">
        <v>300</v>
      </c>
      <c r="BG15">
        <f>(BE15+BF15)/2</f>
        <v>160</v>
      </c>
      <c r="BI15" s="1">
        <v>6.7999999999999997E-9</v>
      </c>
      <c r="BJ15" s="2">
        <v>-0.5</v>
      </c>
      <c r="BK15" s="2">
        <f>BF15-BE15</f>
        <v>280</v>
      </c>
      <c r="BL15" s="1">
        <f>BN15/(-2*BJ15)</f>
        <v>80935.457466058273</v>
      </c>
      <c r="BM15" s="1">
        <f>-BJ15*BL15/(2*J23*J23+BJ15)</f>
        <v>-116642.27693637808</v>
      </c>
      <c r="BN15" s="1">
        <f>J23/(PI()*BG15*BI15)</f>
        <v>80935.457466058273</v>
      </c>
    </row>
    <row r="16" spans="1:66" x14ac:dyDescent="0.3">
      <c r="O16">
        <v>1</v>
      </c>
      <c r="P16" s="8">
        <f t="shared" ref="P16:AL16" si="12">2+$K24^2-(1/O16)-O16*(1.4142*$K24/(1+O16))^2</f>
        <v>1.8166823303333333</v>
      </c>
      <c r="Q16" s="8">
        <f t="shared" si="12"/>
        <v>2.3348825559434374</v>
      </c>
      <c r="R16" s="8">
        <f t="shared" si="12"/>
        <v>2.5192415884270138</v>
      </c>
      <c r="S16" s="8">
        <f t="shared" si="12"/>
        <v>2.5719295381602807</v>
      </c>
      <c r="T16" s="8">
        <f t="shared" si="12"/>
        <v>2.586029272797246</v>
      </c>
      <c r="U16" s="8">
        <f t="shared" si="12"/>
        <v>2.5897355627091558</v>
      </c>
      <c r="V16" s="8">
        <f t="shared" si="12"/>
        <v>2.5907052131503381</v>
      </c>
      <c r="W16" s="8">
        <f t="shared" si="12"/>
        <v>2.5909585820486725</v>
      </c>
      <c r="X16" s="8">
        <f t="shared" si="12"/>
        <v>2.5910247657203027</v>
      </c>
      <c r="Y16" s="8">
        <f t="shared" si="12"/>
        <v>2.5910420524042972</v>
      </c>
      <c r="Z16" s="8">
        <f t="shared" si="12"/>
        <v>2.5910465674581959</v>
      </c>
      <c r="AA16" s="8">
        <f t="shared" si="12"/>
        <v>2.5910477467239321</v>
      </c>
      <c r="AB16" s="8">
        <f t="shared" si="12"/>
        <v>2.5910480547303507</v>
      </c>
      <c r="AC16" s="8">
        <f t="shared" si="12"/>
        <v>2.5910481351769485</v>
      </c>
      <c r="AD16" s="8">
        <f t="shared" si="12"/>
        <v>2.5910481561883763</v>
      </c>
      <c r="AE16" s="8">
        <f t="shared" si="12"/>
        <v>2.5910481616762411</v>
      </c>
      <c r="AF16" s="8">
        <f t="shared" si="12"/>
        <v>2.5910481631095879</v>
      </c>
      <c r="AG16" s="8">
        <f t="shared" si="12"/>
        <v>2.5910481634839564</v>
      </c>
      <c r="AH16" s="8">
        <f t="shared" si="12"/>
        <v>2.5910481635817355</v>
      </c>
      <c r="AI16" s="8">
        <f t="shared" si="12"/>
        <v>2.5910481636072742</v>
      </c>
      <c r="AJ16" s="8">
        <f t="shared" si="12"/>
        <v>2.5910481636139444</v>
      </c>
      <c r="AK16" s="8">
        <f t="shared" si="12"/>
        <v>2.5910481636156861</v>
      </c>
      <c r="AL16" s="8">
        <f t="shared" si="12"/>
        <v>2.5910481636161413</v>
      </c>
      <c r="BE16">
        <v>300</v>
      </c>
      <c r="BF16" s="2">
        <v>1000</v>
      </c>
      <c r="BG16">
        <f t="shared" ref="BG16:BG19" si="13">(BE16+BF16)/2</f>
        <v>650</v>
      </c>
      <c r="BI16" s="1">
        <v>9.9999999999999995E-8</v>
      </c>
      <c r="BJ16" s="2">
        <v>-0.5</v>
      </c>
      <c r="BK16" s="2">
        <f t="shared" ref="BK16:BK19" si="14">BF16-BE16</f>
        <v>700</v>
      </c>
      <c r="BL16" s="1">
        <f>BN16/(-2*BJ16)</f>
        <v>3831.7693393354771</v>
      </c>
      <c r="BM16" s="1">
        <f>-BJ16*BL16/(2*J24*J24+BJ16)</f>
        <v>2644.4605299639197</v>
      </c>
      <c r="BN16" s="1">
        <f>J24/(PI()*BG16*BI16)</f>
        <v>3831.7693393354771</v>
      </c>
    </row>
    <row r="17" spans="1:66" x14ac:dyDescent="0.3">
      <c r="O17">
        <v>1</v>
      </c>
      <c r="P17" s="8">
        <f t="shared" ref="P17:AL17" si="15">2+$K25^2-(1/O17)-O17*(1.4142*$K25/(1+O17))^2</f>
        <v>2.1250215775000001</v>
      </c>
      <c r="Q17" s="8">
        <f t="shared" si="15"/>
        <v>2.8002389034985873</v>
      </c>
      <c r="R17" s="8">
        <f t="shared" si="15"/>
        <v>3.0203634357498572</v>
      </c>
      <c r="S17" s="8">
        <f t="shared" si="15"/>
        <v>3.0780364636214665</v>
      </c>
      <c r="T17" s="8">
        <f t="shared" si="15"/>
        <v>3.0922504051981585</v>
      </c>
      <c r="U17" s="8">
        <f t="shared" si="15"/>
        <v>3.0957000585890584</v>
      </c>
      <c r="V17" s="8">
        <f t="shared" si="15"/>
        <v>3.0965341363058654</v>
      </c>
      <c r="W17" s="8">
        <f t="shared" si="15"/>
        <v>3.0967356214320731</v>
      </c>
      <c r="X17" s="8">
        <f t="shared" si="15"/>
        <v>3.0967842827779712</v>
      </c>
      <c r="Y17" s="8">
        <f t="shared" si="15"/>
        <v>3.0967960345189924</v>
      </c>
      <c r="Z17" s="8">
        <f t="shared" si="15"/>
        <v>3.0967988725343805</v>
      </c>
      <c r="AA17" s="8">
        <f t="shared" si="15"/>
        <v>3.0967995579057157</v>
      </c>
      <c r="AB17" s="8">
        <f t="shared" si="15"/>
        <v>3.0967997234205034</v>
      </c>
      <c r="AC17" s="8">
        <f t="shared" si="15"/>
        <v>3.0967997633917408</v>
      </c>
      <c r="AD17" s="8">
        <f t="shared" si="15"/>
        <v>3.096799773044653</v>
      </c>
      <c r="AE17" s="8">
        <f t="shared" si="15"/>
        <v>3.0967997753757972</v>
      </c>
      <c r="AF17" s="8">
        <f t="shared" si="15"/>
        <v>3.0967997759387602</v>
      </c>
      <c r="AG17" s="8">
        <f t="shared" si="15"/>
        <v>3.0967997760747137</v>
      </c>
      <c r="AH17" s="8">
        <f t="shared" si="15"/>
        <v>3.0967997761075456</v>
      </c>
      <c r="AI17" s="8">
        <f t="shared" si="15"/>
        <v>3.0967997761154749</v>
      </c>
      <c r="AJ17" s="8">
        <f t="shared" si="15"/>
        <v>3.0967997761173893</v>
      </c>
      <c r="AK17" s="8">
        <f t="shared" si="15"/>
        <v>3.0967997761178521</v>
      </c>
      <c r="AL17" s="8">
        <f t="shared" si="15"/>
        <v>3.096799776117964</v>
      </c>
      <c r="BE17" s="2">
        <v>1000</v>
      </c>
      <c r="BF17" s="2">
        <v>4000</v>
      </c>
      <c r="BG17">
        <f t="shared" si="13"/>
        <v>2500</v>
      </c>
      <c r="BI17" s="1">
        <v>3.2999999999999998E-8</v>
      </c>
      <c r="BJ17" s="2">
        <v>-0.5</v>
      </c>
      <c r="BK17" s="2">
        <f t="shared" si="14"/>
        <v>3000</v>
      </c>
      <c r="BL17" s="1">
        <f>BN17/(-2*BJ17)</f>
        <v>2572.2011004750761</v>
      </c>
      <c r="BM17" s="1">
        <f>-BJ17*BL17/(2*J25*J25+BJ17)</f>
        <v>3307.1157006108124</v>
      </c>
      <c r="BN17" s="1">
        <f>J25/(PI()*BG17*BI17)</f>
        <v>2572.2011004750761</v>
      </c>
    </row>
    <row r="18" spans="1:66" x14ac:dyDescent="0.3">
      <c r="O18">
        <v>1</v>
      </c>
      <c r="P18" s="8">
        <f t="shared" ref="P18:AL18" si="16">2+$K26^2-(1/O18)-O18*(1.4142*$K26/(1+O18))^2</f>
        <v>1.450008631</v>
      </c>
      <c r="Q18" s="8">
        <f t="shared" si="16"/>
        <v>1.7755389223909908</v>
      </c>
      <c r="R18" s="8">
        <f t="shared" si="16"/>
        <v>1.9219324714330208</v>
      </c>
      <c r="S18" s="8">
        <f t="shared" si="16"/>
        <v>1.9744973410268627</v>
      </c>
      <c r="T18" s="8">
        <f t="shared" si="16"/>
        <v>1.991849639326581</v>
      </c>
      <c r="U18" s="8">
        <f t="shared" si="16"/>
        <v>1.9974184013829948</v>
      </c>
      <c r="V18" s="8">
        <f t="shared" si="16"/>
        <v>1.9991893350417924</v>
      </c>
      <c r="W18" s="8">
        <f t="shared" si="16"/>
        <v>1.9997508802898998</v>
      </c>
      <c r="X18" s="8">
        <f t="shared" si="16"/>
        <v>1.9999287766519118</v>
      </c>
      <c r="Y18" s="8">
        <f t="shared" si="16"/>
        <v>1.9999851173967276</v>
      </c>
      <c r="Z18" s="8">
        <f t="shared" si="16"/>
        <v>2.0000029591669737</v>
      </c>
      <c r="AA18" s="8">
        <f t="shared" si="16"/>
        <v>2.0000086090646629</v>
      </c>
      <c r="AB18" s="8">
        <f t="shared" si="16"/>
        <v>2.0000103981835373</v>
      </c>
      <c r="AC18" s="8">
        <f t="shared" si="16"/>
        <v>2.0000109647313091</v>
      </c>
      <c r="AD18" s="8">
        <f t="shared" si="16"/>
        <v>2.0000111441358661</v>
      </c>
      <c r="AE18" s="8">
        <f t="shared" si="16"/>
        <v>2.000011200946584</v>
      </c>
      <c r="AF18" s="8">
        <f t="shared" si="16"/>
        <v>2.0000112189364136</v>
      </c>
      <c r="AG18" s="8">
        <f t="shared" si="16"/>
        <v>2.0000112246331194</v>
      </c>
      <c r="AH18" s="8">
        <f t="shared" si="16"/>
        <v>2.0000112264370529</v>
      </c>
      <c r="AI18" s="8">
        <f t="shared" si="16"/>
        <v>2.000011227008291</v>
      </c>
      <c r="AJ18" s="8">
        <f t="shared" si="16"/>
        <v>2.000011227189181</v>
      </c>
      <c r="AK18" s="8">
        <f t="shared" si="16"/>
        <v>2.0000112272464619</v>
      </c>
      <c r="AL18" s="8">
        <f t="shared" si="16"/>
        <v>2.0000112272646007</v>
      </c>
      <c r="BE18" s="2">
        <v>4000</v>
      </c>
      <c r="BF18" s="2">
        <v>10000</v>
      </c>
      <c r="BG18">
        <f t="shared" si="13"/>
        <v>7000</v>
      </c>
      <c r="BI18" s="1">
        <v>1.4999999999999999E-8</v>
      </c>
      <c r="BJ18" s="2">
        <v>-0.5</v>
      </c>
      <c r="BK18" s="2">
        <f t="shared" si="14"/>
        <v>6000</v>
      </c>
      <c r="BL18" s="1">
        <f>BN18/(-2*BJ18)</f>
        <v>3195.5055304436219</v>
      </c>
      <c r="BM18" s="1">
        <f>-BJ18*BL18/(2*J26*J26+BJ18)</f>
        <v>927.72741206427725</v>
      </c>
      <c r="BN18" s="1">
        <f>J26/(PI()*BG18*BI18)</f>
        <v>3195.5055304436219</v>
      </c>
    </row>
    <row r="19" spans="1:66" x14ac:dyDescent="0.3">
      <c r="O19">
        <v>1</v>
      </c>
      <c r="P19" s="8">
        <f t="shared" ref="P19:AL19" si="17">2+$K27^2-(1/O19)-O19*(1.4142*$K27/(1+O19))^2</f>
        <v>1.2500047949999999</v>
      </c>
      <c r="Q19" s="8">
        <f t="shared" si="17"/>
        <v>1.4530943295824927</v>
      </c>
      <c r="R19" s="8">
        <f t="shared" si="17"/>
        <v>1.5703468795843092</v>
      </c>
      <c r="S19" s="8">
        <f t="shared" si="17"/>
        <v>1.6255119176541264</v>
      </c>
      <c r="T19" s="8">
        <f t="shared" si="17"/>
        <v>1.6490037349229272</v>
      </c>
      <c r="U19" s="8">
        <f t="shared" si="17"/>
        <v>1.6585838916327631</v>
      </c>
      <c r="V19" s="8">
        <f t="shared" si="17"/>
        <v>1.6624217972614843</v>
      </c>
      <c r="W19" s="8">
        <f t="shared" si="17"/>
        <v>1.6639483290079919</v>
      </c>
      <c r="X19" s="8">
        <f t="shared" si="17"/>
        <v>1.6645537792280389</v>
      </c>
      <c r="Y19" s="8">
        <f t="shared" si="17"/>
        <v>1.6647936400694685</v>
      </c>
      <c r="Z19" s="8">
        <f t="shared" si="17"/>
        <v>1.6648886229693693</v>
      </c>
      <c r="AA19" s="8">
        <f t="shared" si="17"/>
        <v>1.6649262287262894</v>
      </c>
      <c r="AB19" s="8">
        <f t="shared" si="17"/>
        <v>1.6649411166005716</v>
      </c>
      <c r="AC19" s="8">
        <f t="shared" si="17"/>
        <v>1.6649470104489044</v>
      </c>
      <c r="AD19" s="8">
        <f t="shared" si="17"/>
        <v>1.6649493436943708</v>
      </c>
      <c r="AE19" s="8">
        <f t="shared" si="17"/>
        <v>1.6649502673711158</v>
      </c>
      <c r="AF19" s="8">
        <f t="shared" si="17"/>
        <v>1.6649506330322807</v>
      </c>
      <c r="AG19" s="8">
        <f t="shared" si="17"/>
        <v>1.6649507777885462</v>
      </c>
      <c r="AH19" s="8">
        <f t="shared" si="17"/>
        <v>1.6649508350939772</v>
      </c>
      <c r="AI19" s="8">
        <f t="shared" si="17"/>
        <v>1.6649508577797802</v>
      </c>
      <c r="AJ19" s="8">
        <f t="shared" si="17"/>
        <v>1.6649508667605282</v>
      </c>
      <c r="AK19" s="8">
        <f t="shared" si="17"/>
        <v>1.6649508703157838</v>
      </c>
      <c r="AL19" s="8">
        <f t="shared" si="17"/>
        <v>1.6649508717232213</v>
      </c>
      <c r="BE19" s="2">
        <v>10000</v>
      </c>
      <c r="BF19" s="2">
        <v>20000</v>
      </c>
      <c r="BG19">
        <f t="shared" si="13"/>
        <v>15000</v>
      </c>
      <c r="BI19" s="1">
        <v>3.3000000000000002E-9</v>
      </c>
      <c r="BJ19" s="2">
        <v>-0.5</v>
      </c>
      <c r="BK19" s="2">
        <f t="shared" si="14"/>
        <v>10000</v>
      </c>
      <c r="BL19" s="1">
        <f>BN19/(-2*BJ19)</f>
        <v>9094.1042036071303</v>
      </c>
      <c r="BM19" s="1">
        <f>-BJ19*BL19/(2*J27*J27+BJ19)</f>
        <v>1299.1577433724476</v>
      </c>
      <c r="BN19" s="1">
        <f>J27/(PI()*BG19*BI19)</f>
        <v>9094.1042036071303</v>
      </c>
    </row>
    <row r="22" spans="1:66" x14ac:dyDescent="0.3">
      <c r="F22" t="s">
        <v>21</v>
      </c>
      <c r="H22">
        <f>0.1</f>
        <v>0.1</v>
      </c>
      <c r="J22" s="11" t="s">
        <v>22</v>
      </c>
      <c r="K22" s="13" t="s">
        <v>23</v>
      </c>
    </row>
    <row r="23" spans="1:66" x14ac:dyDescent="0.3">
      <c r="J23" s="14">
        <f>C2/(B2-A2)</f>
        <v>0.27664166758624403</v>
      </c>
      <c r="K23" s="6">
        <f>1/J23</f>
        <v>3.614784456460256</v>
      </c>
    </row>
    <row r="24" spans="1:66" x14ac:dyDescent="0.3">
      <c r="A24" s="16" t="s">
        <v>24</v>
      </c>
      <c r="J24" s="6">
        <f>C3/(B3-A3)</f>
        <v>0.78246079643595168</v>
      </c>
      <c r="K24" s="6">
        <f>1/J24</f>
        <v>1.2780193008453875</v>
      </c>
      <c r="O24" s="6" t="s">
        <v>20</v>
      </c>
      <c r="P24" s="6">
        <v>1.1000000000000001</v>
      </c>
      <c r="R24" s="6" t="s">
        <v>25</v>
      </c>
      <c r="S24" s="6"/>
      <c r="T24" s="6">
        <f>P379^(1/2)</f>
        <v>0</v>
      </c>
      <c r="V24" t="s">
        <v>20</v>
      </c>
    </row>
    <row r="25" spans="1:66" x14ac:dyDescent="0.3">
      <c r="A25" s="11" t="s">
        <v>2</v>
      </c>
      <c r="B25" s="11" t="s">
        <v>10</v>
      </c>
      <c r="C25" s="11" t="s">
        <v>7</v>
      </c>
      <c r="D25" s="11" t="s">
        <v>9</v>
      </c>
      <c r="E25" s="11"/>
      <c r="F25" s="11" t="s">
        <v>4</v>
      </c>
      <c r="G25" s="11" t="s">
        <v>5</v>
      </c>
      <c r="H25" s="11" t="s">
        <v>6</v>
      </c>
      <c r="J25" s="6">
        <f>C4/(B4-A4)</f>
        <v>0.66666666666666663</v>
      </c>
      <c r="K25" s="6">
        <f>1/J25</f>
        <v>1.5</v>
      </c>
      <c r="P25" s="7">
        <f>2+$H$22^2-(1/P24)-P24*(1.4142*$H$22/(1+P24))^2</f>
        <v>1.0959205244601111</v>
      </c>
    </row>
    <row r="26" spans="1:66" x14ac:dyDescent="0.3">
      <c r="A26" s="6" t="e">
        <f>(C2)/(S26)</f>
        <v>#DIV/0!</v>
      </c>
      <c r="B26" s="6" t="e">
        <f>(1+S26^2)*J23/(S26*1.4142)</f>
        <v>#DIV/0!</v>
      </c>
      <c r="C26" s="9">
        <v>9.9999999999999995E-8</v>
      </c>
      <c r="D26" s="10" t="e">
        <f>B26*((A9)^(1/2))/J23</f>
        <v>#DIV/0!</v>
      </c>
      <c r="E26" s="10"/>
      <c r="F26" s="9" t="e">
        <f>H26/(2*D26)</f>
        <v>#DIV/0!</v>
      </c>
      <c r="G26" s="9" t="e">
        <f>D26*F26/(2*B26*B26-D26)</f>
        <v>#DIV/0!</v>
      </c>
      <c r="H26" s="9" t="e">
        <f>B26/(PI()*A26*C26)</f>
        <v>#DIV/0!</v>
      </c>
      <c r="J26" s="6">
        <f>C5/(B5-A5)</f>
        <v>1.0540925533894598</v>
      </c>
      <c r="K26" s="6">
        <f>1/J26</f>
        <v>0.94868329805051377</v>
      </c>
      <c r="P26" s="7">
        <f t="shared" ref="P26:P50" si="18">2+$H$22^2-(1/P25)-P25*(1.4142*$H$22/(1+P25))^2</f>
        <v>1.0925356415388474</v>
      </c>
      <c r="R26" s="12" t="s">
        <v>25</v>
      </c>
      <c r="S26" s="6">
        <f>SQRT(AL15)</f>
        <v>0</v>
      </c>
    </row>
    <row r="27" spans="1:66" x14ac:dyDescent="0.3">
      <c r="A27" s="6">
        <f t="shared" ref="A27:A30" si="19">(C3)/(S27)</f>
        <v>340.26939146033891</v>
      </c>
      <c r="B27" s="6">
        <f>(1+S27^2)*J24/(S27*1.4142)</f>
        <v>1.2343412462759684</v>
      </c>
      <c r="C27" s="9">
        <v>9.9999999999999995E-8</v>
      </c>
      <c r="D27" s="10">
        <f>B27*((A10)^(1/2))/J24</f>
        <v>1.5775119365702375</v>
      </c>
      <c r="E27" s="10"/>
      <c r="F27" s="9">
        <f>H27/(2*D27)</f>
        <v>3659.8209140688532</v>
      </c>
      <c r="G27" s="9">
        <f>D27*F27/(2*B27*B27-D27)</f>
        <v>3928.3332166451778</v>
      </c>
      <c r="H27" s="9">
        <f>B27/(PI()*A27*C27)</f>
        <v>11546.822355306027</v>
      </c>
      <c r="J27" s="6">
        <f>C6/(B6-A6)</f>
        <v>1.4142135623730949</v>
      </c>
      <c r="K27" s="6">
        <f>1/J27</f>
        <v>0.70710678118654757</v>
      </c>
      <c r="P27" s="7">
        <f t="shared" si="18"/>
        <v>1.0897079264182716</v>
      </c>
      <c r="R27" s="6"/>
      <c r="S27" s="6">
        <f t="shared" ref="S27:S30" si="20">SQRT(AL16)</f>
        <v>1.6096733095930185</v>
      </c>
    </row>
    <row r="28" spans="1:66" x14ac:dyDescent="0.3">
      <c r="A28" s="6">
        <f t="shared" si="19"/>
        <v>1136.5104470471354</v>
      </c>
      <c r="B28" s="6">
        <f>(1+S28^2)*J25/(S28*1.4142)</f>
        <v>1.0974533882568309</v>
      </c>
      <c r="C28" s="9">
        <v>3.2999999999999998E-8</v>
      </c>
      <c r="D28" s="10">
        <f>B28*((A11)^(1/2))/J25</f>
        <v>1.6461800823852464</v>
      </c>
      <c r="E28" s="10"/>
      <c r="F28" s="9">
        <f t="shared" ref="F28:F30" si="21">H28/(2*D28)</f>
        <v>2829.0557151917646</v>
      </c>
      <c r="G28" s="9">
        <f>D28*F28/(2*B28*B28-D28)</f>
        <v>6106.6947628250928</v>
      </c>
      <c r="H28" s="9">
        <f>B28/(PI()*A28*C28)</f>
        <v>9314.2703406136625</v>
      </c>
      <c r="J28" s="18" t="s">
        <v>26</v>
      </c>
      <c r="P28" s="7">
        <f t="shared" si="18"/>
        <v>1.0873322189420795</v>
      </c>
      <c r="R28" s="6"/>
      <c r="S28" s="6">
        <f t="shared" si="20"/>
        <v>1.7597726489856478</v>
      </c>
    </row>
    <row r="29" spans="1:66" x14ac:dyDescent="0.3">
      <c r="A29" s="6">
        <f t="shared" si="19"/>
        <v>4472.1234025890035</v>
      </c>
      <c r="B29" s="6">
        <f>(1+S29^2)*J26/(S29*1.4142)</f>
        <v>1.5811554727619597</v>
      </c>
      <c r="C29" s="9">
        <v>1.4999999999999999E-8</v>
      </c>
      <c r="D29" s="10">
        <f>B29*((A12)^(1/2))/J26</f>
        <v>1.5000157886304351</v>
      </c>
      <c r="E29" s="10"/>
      <c r="F29" s="9">
        <f t="shared" si="21"/>
        <v>2500.885675488712</v>
      </c>
      <c r="G29" s="9">
        <f>D29*F29/(2*B29*B29-D29)</f>
        <v>1071.7920303253809</v>
      </c>
      <c r="H29" s="9">
        <f t="shared" ref="H29:H30" si="22">B29/(PI()*A29*C29)</f>
        <v>7502.735997585517</v>
      </c>
      <c r="P29" s="7">
        <f t="shared" si="18"/>
        <v>1.085326728547118</v>
      </c>
      <c r="R29" s="6"/>
      <c r="S29" s="6">
        <f t="shared" si="20"/>
        <v>1.414217531804991</v>
      </c>
    </row>
    <row r="30" spans="1:66" x14ac:dyDescent="0.3">
      <c r="A30" s="6">
        <f t="shared" si="19"/>
        <v>10960.094185075664</v>
      </c>
      <c r="B30" s="6">
        <f>(1+S30^2)*J27/(S30*1.4142)</f>
        <v>2.0653452519223592</v>
      </c>
      <c r="C30" s="9">
        <v>1E-8</v>
      </c>
      <c r="D30" s="10">
        <f>B30*((A13)^(1/2))/J27</f>
        <v>1.4604196331257386</v>
      </c>
      <c r="E30" s="10"/>
      <c r="F30" s="9">
        <f t="shared" si="21"/>
        <v>2053.6235842367687</v>
      </c>
      <c r="G30" s="9">
        <f t="shared" ref="G30" si="23">D30*F30/(2*B30*B30-D30)</f>
        <v>424.15529458440261</v>
      </c>
      <c r="H30" s="9">
        <f t="shared" si="22"/>
        <v>5998.304402938852</v>
      </c>
      <c r="P30" s="7">
        <f t="shared" si="18"/>
        <v>1.0836269385865822</v>
      </c>
      <c r="R30" s="6"/>
      <c r="S30" s="6">
        <f t="shared" si="20"/>
        <v>1.2903297530953943</v>
      </c>
    </row>
    <row r="31" spans="1:66" x14ac:dyDescent="0.3">
      <c r="P31" s="7">
        <f t="shared" si="18"/>
        <v>1.0821813316098203</v>
      </c>
      <c r="R31" s="16" t="s">
        <v>27</v>
      </c>
    </row>
    <row r="32" spans="1:66" x14ac:dyDescent="0.3">
      <c r="A32" s="16" t="s">
        <v>28</v>
      </c>
      <c r="P32" s="7">
        <f t="shared" si="18"/>
        <v>1.0809483294448923</v>
      </c>
    </row>
    <row r="33" spans="1:16" x14ac:dyDescent="0.3">
      <c r="A33" s="11" t="s">
        <v>2</v>
      </c>
      <c r="B33" s="11" t="s">
        <v>10</v>
      </c>
      <c r="C33" s="11" t="s">
        <v>7</v>
      </c>
      <c r="D33" s="11" t="s">
        <v>9</v>
      </c>
      <c r="E33" s="11"/>
      <c r="F33" s="11" t="s">
        <v>4</v>
      </c>
      <c r="G33" s="11" t="s">
        <v>5</v>
      </c>
      <c r="H33" s="11" t="s">
        <v>6</v>
      </c>
      <c r="P33" s="7">
        <f t="shared" si="18"/>
        <v>1.0798940621318927</v>
      </c>
    </row>
    <row r="34" spans="1:16" x14ac:dyDescent="0.3">
      <c r="A34" s="6">
        <f>(C2)*S26</f>
        <v>0</v>
      </c>
      <c r="B34" s="6" t="e">
        <f>B26</f>
        <v>#DIV/0!</v>
      </c>
      <c r="C34" s="9">
        <v>9.9999999999999995E-8</v>
      </c>
      <c r="D34" s="10" t="e">
        <f>D26</f>
        <v>#DIV/0!</v>
      </c>
      <c r="E34" s="10"/>
      <c r="F34" s="9" t="e">
        <f>H34/(2*D34)</f>
        <v>#DIV/0!</v>
      </c>
      <c r="G34" s="9" t="e">
        <f>D34*F34/(2*B34*B34-D34)</f>
        <v>#DIV/0!</v>
      </c>
      <c r="H34" s="9" t="e">
        <f>B34/(PI()*A34*C34)</f>
        <v>#DIV/0!</v>
      </c>
      <c r="P34" s="7">
        <f t="shared" si="18"/>
        <v>1.0789907139008446</v>
      </c>
    </row>
    <row r="35" spans="1:16" x14ac:dyDescent="0.3">
      <c r="A35" s="6">
        <f t="shared" ref="A35:A38" si="24">(C3)*S27</f>
        <v>881.6543818780932</v>
      </c>
      <c r="B35" s="6">
        <f t="shared" ref="B35:B38" si="25">B27</f>
        <v>1.2343412462759684</v>
      </c>
      <c r="C35" s="9">
        <v>1E-8</v>
      </c>
      <c r="D35" s="10">
        <f>D27</f>
        <v>1.5775119365702375</v>
      </c>
      <c r="E35" s="10"/>
      <c r="F35" s="9">
        <f t="shared" ref="F35:F38" si="26">H35/(2*D35)</f>
        <v>14124.866397547396</v>
      </c>
      <c r="G35" s="9">
        <f t="shared" ref="G35:G38" si="27">D35*F35/(2*B35*B35-D35)</f>
        <v>15161.17404457153</v>
      </c>
      <c r="H35" s="9">
        <f>B35/(PI()*A35*C35)</f>
        <v>44564.290689181733</v>
      </c>
      <c r="P35" s="7">
        <f t="shared" si="18"/>
        <v>1.0782152782834793</v>
      </c>
    </row>
    <row r="36" spans="1:16" x14ac:dyDescent="0.3">
      <c r="A36" s="6">
        <f t="shared" si="24"/>
        <v>3519.5452979712954</v>
      </c>
      <c r="B36" s="6">
        <f>B28</f>
        <v>1.0974533882568309</v>
      </c>
      <c r="C36" s="9">
        <v>1E-8</v>
      </c>
      <c r="D36" s="10">
        <f t="shared" ref="D36:D38" si="28">D28</f>
        <v>1.6461800823852464</v>
      </c>
      <c r="E36" s="10"/>
      <c r="F36" s="9">
        <f t="shared" si="26"/>
        <v>3014.6875920521893</v>
      </c>
      <c r="G36" s="9">
        <f t="shared" si="27"/>
        <v>6507.3928488152824</v>
      </c>
      <c r="H36" s="9">
        <f>B36/(PI()*A36*C36)</f>
        <v>9925.4373373005055</v>
      </c>
      <c r="P36" s="7">
        <f t="shared" si="18"/>
        <v>1.0775486081665635</v>
      </c>
    </row>
    <row r="37" spans="1:16" x14ac:dyDescent="0.3">
      <c r="A37" s="6">
        <f t="shared" si="24"/>
        <v>8944.2970148907752</v>
      </c>
      <c r="B37" s="6">
        <f t="shared" si="25"/>
        <v>1.5811554727619597</v>
      </c>
      <c r="C37" s="9">
        <v>6.7999999999999997E-9</v>
      </c>
      <c r="D37" s="10">
        <f>D29</f>
        <v>1.5000157886304351</v>
      </c>
      <c r="E37" s="10"/>
      <c r="F37" s="9">
        <f t="shared" si="26"/>
        <v>2758.3143049796845</v>
      </c>
      <c r="G37" s="9">
        <f t="shared" si="27"/>
        <v>1182.1169268891122</v>
      </c>
      <c r="H37" s="9">
        <f t="shared" ref="H37:H38" si="29">B37/(PI()*A37*C37)</f>
        <v>8275.0300149494233</v>
      </c>
      <c r="P37" s="7">
        <f t="shared" si="18"/>
        <v>1.0769746817277754</v>
      </c>
    </row>
    <row r="38" spans="1:16" x14ac:dyDescent="0.3">
      <c r="A38" s="6">
        <f t="shared" si="24"/>
        <v>18248.018367610337</v>
      </c>
      <c r="B38" s="6">
        <f t="shared" si="25"/>
        <v>2.0653452519223592</v>
      </c>
      <c r="C38" s="9">
        <v>6.7999999999999997E-9</v>
      </c>
      <c r="D38" s="10">
        <f t="shared" si="28"/>
        <v>1.4604196331257386</v>
      </c>
      <c r="E38" s="10"/>
      <c r="F38" s="9">
        <f t="shared" si="26"/>
        <v>1813.8881657062946</v>
      </c>
      <c r="G38" s="9">
        <f t="shared" si="27"/>
        <v>374.64035530846928</v>
      </c>
      <c r="H38" s="9">
        <f t="shared" si="29"/>
        <v>5298.0757789838117</v>
      </c>
      <c r="P38" s="7">
        <f t="shared" si="18"/>
        <v>1.0764800286191969</v>
      </c>
    </row>
    <row r="39" spans="1:16" x14ac:dyDescent="0.3">
      <c r="P39" s="7">
        <f t="shared" si="18"/>
        <v>1.0760532766563766</v>
      </c>
    </row>
    <row r="40" spans="1:16" x14ac:dyDescent="0.3">
      <c r="P40" s="7">
        <f t="shared" si="18"/>
        <v>1.0756847902279361</v>
      </c>
    </row>
    <row r="41" spans="1:16" x14ac:dyDescent="0.3">
      <c r="P41" s="7">
        <f t="shared" si="18"/>
        <v>1.0753663793067043</v>
      </c>
    </row>
    <row r="42" spans="1:16" x14ac:dyDescent="0.3">
      <c r="P42" s="7">
        <f t="shared" si="18"/>
        <v>1.0750910633801845</v>
      </c>
    </row>
    <row r="43" spans="1:16" x14ac:dyDescent="0.3">
      <c r="P43" s="7">
        <f t="shared" si="18"/>
        <v>1.0748528785229756</v>
      </c>
    </row>
    <row r="44" spans="1:16" x14ac:dyDescent="0.3">
      <c r="P44" s="7">
        <f t="shared" si="18"/>
        <v>1.0746467186714816</v>
      </c>
    </row>
    <row r="45" spans="1:16" x14ac:dyDescent="0.3">
      <c r="P45" s="7">
        <f>2+$H$22^2-(1/P44)-P44*(1.4142*$H$22/(1+P44))^2</f>
        <v>1.0744682042463971</v>
      </c>
    </row>
    <row r="46" spans="1:16" x14ac:dyDescent="0.3">
      <c r="P46" s="7">
        <f t="shared" si="18"/>
        <v>1.0743135728167146</v>
      </c>
    </row>
    <row r="47" spans="1:16" x14ac:dyDescent="0.3">
      <c r="P47" s="7">
        <f t="shared" si="18"/>
        <v>1.07417958766003</v>
      </c>
    </row>
    <row r="48" spans="1:16" x14ac:dyDescent="0.3">
      <c r="P48" s="7">
        <f t="shared" si="18"/>
        <v>1.0740634609528577</v>
      </c>
    </row>
    <row r="49" spans="16:16" x14ac:dyDescent="0.3">
      <c r="P49" s="7">
        <f t="shared" si="18"/>
        <v>1.0739627889960666</v>
      </c>
    </row>
    <row r="50" spans="16:16" x14ac:dyDescent="0.3">
      <c r="P50" s="7">
        <f t="shared" si="18"/>
        <v>1.0738754973979281</v>
      </c>
    </row>
    <row r="51" spans="16:16" x14ac:dyDescent="0.3">
      <c r="P51" s="7">
        <f>2+$H$22^2-(1/P50)-P50*(1.4142*$H$22/(1+P50))^2</f>
        <v>1.0737997945392606</v>
      </c>
    </row>
    <row r="52" spans="16:16" x14ac:dyDescent="0.3">
      <c r="P52" s="7">
        <f t="shared" ref="P52:P73" si="30">2+$H$22^2-(1/P51)-P51*(1.4142*$H$22/(1+P51))^2</f>
        <v>1.0737341319600726</v>
      </c>
    </row>
    <row r="53" spans="16:16" x14ac:dyDescent="0.3">
      <c r="P53" s="7">
        <f t="shared" si="30"/>
        <v>1.0736771705556865</v>
      </c>
    </row>
    <row r="54" spans="16:16" x14ac:dyDescent="0.3">
      <c r="P54" s="7">
        <f t="shared" si="30"/>
        <v>1.0736277516680406</v>
      </c>
    </row>
    <row r="55" spans="16:16" x14ac:dyDescent="0.3">
      <c r="P55" s="7">
        <f t="shared" si="30"/>
        <v>1.0735848723162393</v>
      </c>
    </row>
    <row r="56" spans="16:16" x14ac:dyDescent="0.3">
      <c r="P56" s="7">
        <f t="shared" si="30"/>
        <v>1.07354766393815</v>
      </c>
    </row>
    <row r="57" spans="16:16" x14ac:dyDescent="0.3">
      <c r="P57" s="7">
        <f t="shared" si="30"/>
        <v>1.0735153741185393</v>
      </c>
    </row>
    <row r="58" spans="16:16" x14ac:dyDescent="0.3">
      <c r="P58" s="7">
        <f t="shared" si="30"/>
        <v>1.0734873508639289</v>
      </c>
    </row>
    <row r="59" spans="16:16" x14ac:dyDescent="0.3">
      <c r="P59" s="7">
        <f t="shared" si="30"/>
        <v>1.0734630290539287</v>
      </c>
    </row>
    <row r="60" spans="16:16" x14ac:dyDescent="0.3">
      <c r="P60" s="7">
        <f t="shared" si="30"/>
        <v>1.0734419187562732</v>
      </c>
    </row>
    <row r="61" spans="16:16" x14ac:dyDescent="0.3">
      <c r="P61" s="7">
        <f t="shared" si="30"/>
        <v>1.073423595140494</v>
      </c>
    </row>
    <row r="62" spans="16:16" x14ac:dyDescent="0.3">
      <c r="P62" s="7">
        <f t="shared" si="30"/>
        <v>1.0734076897649494</v>
      </c>
    </row>
    <row r="63" spans="16:16" x14ac:dyDescent="0.3">
      <c r="P63" s="7">
        <f t="shared" si="30"/>
        <v>1.0733938830452587</v>
      </c>
    </row>
    <row r="64" spans="16:16" x14ac:dyDescent="0.3">
      <c r="P64" s="7">
        <f t="shared" si="30"/>
        <v>1.0733818977402183</v>
      </c>
    </row>
    <row r="65" spans="16:16" x14ac:dyDescent="0.3">
      <c r="P65" s="7">
        <f t="shared" si="30"/>
        <v>1.0733714933149192</v>
      </c>
    </row>
    <row r="66" spans="16:16" x14ac:dyDescent="0.3">
      <c r="P66" s="7">
        <f t="shared" si="30"/>
        <v>1.0733624610608157</v>
      </c>
    </row>
    <row r="67" spans="16:16" x14ac:dyDescent="0.3">
      <c r="P67" s="7">
        <f t="shared" si="30"/>
        <v>1.0733546198694925</v>
      </c>
    </row>
    <row r="68" spans="16:16" x14ac:dyDescent="0.3">
      <c r="P68" s="7">
        <f t="shared" si="30"/>
        <v>1.0733478125713554</v>
      </c>
    </row>
    <row r="69" spans="16:16" x14ac:dyDescent="0.3">
      <c r="P69" s="7">
        <f t="shared" si="30"/>
        <v>1.0733419027628159</v>
      </c>
    </row>
    <row r="70" spans="16:16" x14ac:dyDescent="0.3">
      <c r="P70" s="7">
        <f t="shared" si="30"/>
        <v>1.0733367720561122</v>
      </c>
    </row>
    <row r="71" spans="16:16" x14ac:dyDescent="0.3">
      <c r="P71" s="7">
        <f t="shared" si="30"/>
        <v>1.0733323176949445</v>
      </c>
    </row>
    <row r="72" spans="16:16" x14ac:dyDescent="0.3">
      <c r="P72" s="7">
        <f t="shared" si="30"/>
        <v>1.073328450486879</v>
      </c>
    </row>
    <row r="73" spans="16:16" x14ac:dyDescent="0.3">
      <c r="P73" s="7">
        <f t="shared" si="30"/>
        <v>1.0733250930101403</v>
      </c>
    </row>
    <row r="74" spans="16:16" x14ac:dyDescent="0.3">
      <c r="P74" s="7">
        <f>2+$H$22^2-(1/P73)-P73*(1.4142*$H$22/(1+P73))^2</f>
        <v>1.0733221780581574</v>
      </c>
    </row>
    <row r="75" spans="16:16" x14ac:dyDescent="0.3">
      <c r="P75" s="7">
        <f t="shared" ref="P75:P138" si="31">2+$H$22^2-(1/P74)-P74*(1.4142*$H$22/(1+P74))^2</f>
        <v>1.0733196472901705</v>
      </c>
    </row>
    <row r="76" spans="16:16" x14ac:dyDescent="0.3">
      <c r="P76" s="7">
        <f t="shared" si="31"/>
        <v>1.0733174500604761</v>
      </c>
    </row>
    <row r="77" spans="16:16" x14ac:dyDescent="0.3">
      <c r="P77" s="7">
        <f t="shared" si="31"/>
        <v>1.0733155424025675</v>
      </c>
    </row>
    <row r="78" spans="16:16" x14ac:dyDescent="0.3">
      <c r="P78" s="7">
        <f t="shared" si="31"/>
        <v>1.0733138861476006</v>
      </c>
    </row>
    <row r="79" spans="16:16" x14ac:dyDescent="0.3">
      <c r="P79" s="7">
        <f t="shared" si="31"/>
        <v>1.073312448159375</v>
      </c>
    </row>
    <row r="80" spans="16:16" x14ac:dyDescent="0.3">
      <c r="P80" s="7">
        <f t="shared" si="31"/>
        <v>1.0733111996703859</v>
      </c>
    </row>
    <row r="81" spans="16:16" x14ac:dyDescent="0.3">
      <c r="P81" s="7">
        <f t="shared" si="31"/>
        <v>1.0733101157055631</v>
      </c>
    </row>
    <row r="82" spans="16:16" x14ac:dyDescent="0.3">
      <c r="P82" s="7">
        <f t="shared" si="31"/>
        <v>1.0733091745820953</v>
      </c>
    </row>
    <row r="83" spans="16:16" x14ac:dyDescent="0.3">
      <c r="P83" s="7">
        <f t="shared" si="31"/>
        <v>1.0733083574752744</v>
      </c>
    </row>
    <row r="84" spans="16:16" x14ac:dyDescent="0.3">
      <c r="P84" s="7">
        <f t="shared" si="31"/>
        <v>1.0733076480416333</v>
      </c>
    </row>
    <row r="85" spans="16:16" x14ac:dyDescent="0.3">
      <c r="P85" s="7">
        <f t="shared" si="31"/>
        <v>1.0733070320918043</v>
      </c>
    </row>
    <row r="86" spans="16:16" x14ac:dyDescent="0.3">
      <c r="P86" s="7">
        <f t="shared" si="31"/>
        <v>1.0733064973065374</v>
      </c>
    </row>
    <row r="87" spans="16:16" x14ac:dyDescent="0.3">
      <c r="P87" s="7">
        <f t="shared" si="31"/>
        <v>1.0733060329901682</v>
      </c>
    </row>
    <row r="88" spans="16:16" x14ac:dyDescent="0.3">
      <c r="P88" s="7">
        <f t="shared" si="31"/>
        <v>1.0733056298566037</v>
      </c>
    </row>
    <row r="89" spans="16:16" x14ac:dyDescent="0.3">
      <c r="P89" s="7">
        <f t="shared" si="31"/>
        <v>1.0733052798435245</v>
      </c>
    </row>
    <row r="90" spans="16:16" x14ac:dyDescent="0.3">
      <c r="P90" s="7">
        <f t="shared" si="31"/>
        <v>1.0733049759510873</v>
      </c>
    </row>
    <row r="91" spans="16:16" x14ac:dyDescent="0.3">
      <c r="P91" s="7">
        <f t="shared" si="31"/>
        <v>1.0733047121018913</v>
      </c>
    </row>
    <row r="92" spans="16:16" x14ac:dyDescent="0.3">
      <c r="P92" s="7">
        <f t="shared" si="31"/>
        <v>1.073304483019405</v>
      </c>
    </row>
    <row r="93" spans="16:16" x14ac:dyDescent="0.3">
      <c r="P93" s="7">
        <f t="shared" si="31"/>
        <v>1.0733042841224201</v>
      </c>
    </row>
    <row r="94" spans="16:16" x14ac:dyDescent="0.3">
      <c r="P94" s="7">
        <f t="shared" si="31"/>
        <v>1.0733041114334163</v>
      </c>
    </row>
    <row r="95" spans="16:16" x14ac:dyDescent="0.3">
      <c r="P95" s="7">
        <f t="shared" si="31"/>
        <v>1.073303961499005</v>
      </c>
    </row>
    <row r="96" spans="16:16" x14ac:dyDescent="0.3">
      <c r="P96" s="7">
        <f t="shared" si="31"/>
        <v>1.0733038313208585</v>
      </c>
    </row>
    <row r="97" spans="16:16" x14ac:dyDescent="0.3">
      <c r="P97" s="7">
        <f t="shared" si="31"/>
        <v>1.0733037182957423</v>
      </c>
    </row>
    <row r="98" spans="16:16" x14ac:dyDescent="0.3">
      <c r="P98" s="7">
        <f t="shared" si="31"/>
        <v>1.0733036201634512</v>
      </c>
    </row>
    <row r="99" spans="16:16" x14ac:dyDescent="0.3">
      <c r="P99" s="7">
        <f t="shared" si="31"/>
        <v>1.0733035349616058</v>
      </c>
    </row>
    <row r="100" spans="16:16" x14ac:dyDescent="0.3">
      <c r="P100" s="7">
        <f t="shared" si="31"/>
        <v>1.0733034609864078</v>
      </c>
    </row>
    <row r="101" spans="16:16" x14ac:dyDescent="0.3">
      <c r="P101" s="7">
        <f t="shared" si="31"/>
        <v>1.0733033967585648</v>
      </c>
    </row>
    <row r="102" spans="16:16" x14ac:dyDescent="0.3">
      <c r="P102" s="7">
        <f t="shared" si="31"/>
        <v>1.0733033409937078</v>
      </c>
    </row>
    <row r="103" spans="16:16" x14ac:dyDescent="0.3">
      <c r="P103" s="7">
        <f t="shared" si="31"/>
        <v>1.0733032925767054</v>
      </c>
    </row>
    <row r="104" spans="16:16" x14ac:dyDescent="0.3">
      <c r="P104" s="7">
        <f t="shared" si="31"/>
        <v>1.0733032505393638</v>
      </c>
    </row>
    <row r="105" spans="16:16" x14ac:dyDescent="0.3">
      <c r="P105" s="7">
        <f t="shared" si="31"/>
        <v>1.0733032140410645</v>
      </c>
    </row>
    <row r="106" spans="16:16" x14ac:dyDescent="0.3">
      <c r="P106" s="7">
        <f t="shared" si="31"/>
        <v>1.0733031823519543</v>
      </c>
    </row>
    <row r="107" spans="16:16" x14ac:dyDescent="0.3">
      <c r="P107" s="7">
        <f t="shared" si="31"/>
        <v>1.07330315483835</v>
      </c>
    </row>
    <row r="108" spans="16:16" x14ac:dyDescent="0.3">
      <c r="P108" s="7">
        <f t="shared" si="31"/>
        <v>1.073303130950066</v>
      </c>
    </row>
    <row r="109" spans="16:16" x14ac:dyDescent="0.3">
      <c r="P109" s="7">
        <f t="shared" si="31"/>
        <v>1.0733031102094124</v>
      </c>
    </row>
    <row r="110" spans="16:16" x14ac:dyDescent="0.3">
      <c r="P110" s="7">
        <f t="shared" si="31"/>
        <v>1.073303092201642</v>
      </c>
    </row>
    <row r="111" spans="16:16" x14ac:dyDescent="0.3">
      <c r="P111" s="7">
        <f t="shared" si="31"/>
        <v>1.0733030765666571</v>
      </c>
    </row>
    <row r="112" spans="16:16" x14ac:dyDescent="0.3">
      <c r="P112" s="7">
        <f t="shared" si="31"/>
        <v>1.0733030629918086</v>
      </c>
    </row>
    <row r="113" spans="16:16" x14ac:dyDescent="0.3">
      <c r="P113" s="7">
        <f t="shared" si="31"/>
        <v>1.0733030512056427</v>
      </c>
    </row>
    <row r="114" spans="16:16" x14ac:dyDescent="0.3">
      <c r="P114" s="7">
        <f t="shared" si="31"/>
        <v>1.0733030409724749</v>
      </c>
    </row>
    <row r="115" spans="16:16" x14ac:dyDescent="0.3">
      <c r="P115" s="7">
        <f t="shared" si="31"/>
        <v>1.0733030320876746</v>
      </c>
    </row>
    <row r="116" spans="16:16" x14ac:dyDescent="0.3">
      <c r="P116" s="7">
        <f t="shared" si="31"/>
        <v>1.0733030243735753</v>
      </c>
    </row>
    <row r="117" spans="16:16" x14ac:dyDescent="0.3">
      <c r="P117" s="7">
        <f t="shared" si="31"/>
        <v>1.0733030176759195</v>
      </c>
    </row>
    <row r="118" spans="16:16" x14ac:dyDescent="0.3">
      <c r="P118" s="7">
        <f t="shared" si="31"/>
        <v>1.0733030118607763</v>
      </c>
    </row>
    <row r="119" spans="16:16" x14ac:dyDescent="0.3">
      <c r="P119" s="7">
        <f t="shared" si="31"/>
        <v>1.0733030068118621</v>
      </c>
    </row>
    <row r="120" spans="16:16" x14ac:dyDescent="0.3">
      <c r="P120" s="7">
        <f t="shared" si="31"/>
        <v>1.0733030024282149</v>
      </c>
    </row>
    <row r="121" spans="16:16" x14ac:dyDescent="0.3">
      <c r="P121" s="7">
        <f t="shared" si="31"/>
        <v>1.0733029986221763</v>
      </c>
    </row>
    <row r="122" spans="16:16" x14ac:dyDescent="0.3">
      <c r="P122" s="7">
        <f t="shared" si="31"/>
        <v>1.0733029953176381</v>
      </c>
    </row>
    <row r="123" spans="16:16" x14ac:dyDescent="0.3">
      <c r="P123" s="7">
        <f t="shared" si="31"/>
        <v>1.0733029924485202</v>
      </c>
    </row>
    <row r="124" spans="16:16" x14ac:dyDescent="0.3">
      <c r="P124" s="7">
        <f t="shared" si="31"/>
        <v>1.0733029899574498</v>
      </c>
    </row>
    <row r="125" spans="16:16" x14ac:dyDescent="0.3">
      <c r="P125" s="7">
        <f t="shared" si="31"/>
        <v>1.0733029877946136</v>
      </c>
    </row>
    <row r="126" spans="16:16" x14ac:dyDescent="0.3">
      <c r="P126" s="7">
        <f t="shared" si="31"/>
        <v>1.073302985916762</v>
      </c>
    </row>
    <row r="127" spans="16:16" x14ac:dyDescent="0.3">
      <c r="P127" s="7">
        <f t="shared" si="31"/>
        <v>1.0733029842863444</v>
      </c>
    </row>
    <row r="128" spans="16:16" x14ac:dyDescent="0.3">
      <c r="P128" s="7">
        <f t="shared" si="31"/>
        <v>1.0733029828707576</v>
      </c>
    </row>
    <row r="129" spans="16:16" x14ac:dyDescent="0.3">
      <c r="P129" s="7">
        <f t="shared" si="31"/>
        <v>1.0733029816416948</v>
      </c>
    </row>
    <row r="130" spans="16:16" x14ac:dyDescent="0.3">
      <c r="P130" s="7">
        <f t="shared" si="31"/>
        <v>1.0733029805745786</v>
      </c>
    </row>
    <row r="131" spans="16:16" x14ac:dyDescent="0.3">
      <c r="P131" s="7">
        <f t="shared" si="31"/>
        <v>1.0733029796480704</v>
      </c>
    </row>
    <row r="132" spans="16:16" x14ac:dyDescent="0.3">
      <c r="P132" s="7">
        <f t="shared" si="31"/>
        <v>1.0733029788436428</v>
      </c>
    </row>
    <row r="133" spans="16:16" x14ac:dyDescent="0.3">
      <c r="P133" s="7">
        <f t="shared" si="31"/>
        <v>1.0733029781452099</v>
      </c>
    </row>
    <row r="134" spans="16:16" x14ac:dyDescent="0.3">
      <c r="P134" s="7">
        <f t="shared" si="31"/>
        <v>1.0733029775388059</v>
      </c>
    </row>
    <row r="135" spans="16:16" x14ac:dyDescent="0.3">
      <c r="P135" s="7">
        <f t="shared" si="31"/>
        <v>1.0733029770123041</v>
      </c>
    </row>
    <row r="136" spans="16:16" x14ac:dyDescent="0.3">
      <c r="P136" s="7">
        <f t="shared" si="31"/>
        <v>1.0733029765551767</v>
      </c>
    </row>
    <row r="137" spans="16:16" x14ac:dyDescent="0.3">
      <c r="P137" s="7">
        <f t="shared" si="31"/>
        <v>1.0733029761582822</v>
      </c>
    </row>
    <row r="138" spans="16:16" x14ac:dyDescent="0.3">
      <c r="P138" s="7">
        <f t="shared" si="31"/>
        <v>1.0733029758136843</v>
      </c>
    </row>
    <row r="139" spans="16:16" x14ac:dyDescent="0.3">
      <c r="P139" s="7">
        <f t="shared" ref="P139:P202" si="32">2+$H$22^2-(1/P138)-P138*(1.4142*$H$22/(1+P138))^2</f>
        <v>1.0733029755144921</v>
      </c>
    </row>
    <row r="140" spans="16:16" x14ac:dyDescent="0.3">
      <c r="P140" s="7">
        <f t="shared" si="32"/>
        <v>1.0733029752547227</v>
      </c>
    </row>
    <row r="141" spans="16:16" x14ac:dyDescent="0.3">
      <c r="P141" s="7">
        <f t="shared" si="32"/>
        <v>1.0733029750291818</v>
      </c>
    </row>
    <row r="142" spans="16:16" x14ac:dyDescent="0.3">
      <c r="P142" s="7">
        <f t="shared" si="32"/>
        <v>1.0733029748333591</v>
      </c>
    </row>
    <row r="143" spans="16:16" x14ac:dyDescent="0.3">
      <c r="P143" s="7">
        <f t="shared" si="32"/>
        <v>1.0733029746633389</v>
      </c>
    </row>
    <row r="144" spans="16:16" x14ac:dyDescent="0.3">
      <c r="P144" s="7">
        <f t="shared" si="32"/>
        <v>1.073302974515721</v>
      </c>
    </row>
    <row r="145" spans="16:16" x14ac:dyDescent="0.3">
      <c r="P145" s="7">
        <f t="shared" si="32"/>
        <v>1.073302974387554</v>
      </c>
    </row>
    <row r="146" spans="16:16" x14ac:dyDescent="0.3">
      <c r="P146" s="7">
        <f t="shared" si="32"/>
        <v>1.0733029742762747</v>
      </c>
    </row>
    <row r="147" spans="16:16" x14ac:dyDescent="0.3">
      <c r="P147" s="7">
        <f t="shared" si="32"/>
        <v>1.0733029741796583</v>
      </c>
    </row>
    <row r="148" spans="16:16" x14ac:dyDescent="0.3">
      <c r="P148" s="7">
        <f t="shared" si="32"/>
        <v>1.0733029740957725</v>
      </c>
    </row>
    <row r="149" spans="16:16" x14ac:dyDescent="0.3">
      <c r="P149" s="7">
        <f t="shared" si="32"/>
        <v>1.0733029740229398</v>
      </c>
    </row>
    <row r="150" spans="16:16" x14ac:dyDescent="0.3">
      <c r="P150" s="7">
        <f t="shared" si="32"/>
        <v>1.073302973959704</v>
      </c>
    </row>
    <row r="151" spans="16:16" x14ac:dyDescent="0.3">
      <c r="P151" s="7">
        <f t="shared" si="32"/>
        <v>1.0733029739048001</v>
      </c>
    </row>
    <row r="152" spans="16:16" x14ac:dyDescent="0.3">
      <c r="P152" s="7">
        <f t="shared" si="32"/>
        <v>1.0733029738571309</v>
      </c>
    </row>
    <row r="153" spans="16:16" x14ac:dyDescent="0.3">
      <c r="P153" s="7">
        <f t="shared" si="32"/>
        <v>1.0733029738157427</v>
      </c>
    </row>
    <row r="154" spans="16:16" x14ac:dyDescent="0.3">
      <c r="P154" s="7"/>
    </row>
    <row r="155" spans="16:16" x14ac:dyDescent="0.3">
      <c r="P155" s="7"/>
    </row>
    <row r="156" spans="16:16" x14ac:dyDescent="0.3">
      <c r="P156" s="7"/>
    </row>
    <row r="157" spans="16:16" x14ac:dyDescent="0.3">
      <c r="P157" s="7"/>
    </row>
    <row r="158" spans="16:16" x14ac:dyDescent="0.3">
      <c r="P158" s="7"/>
    </row>
    <row r="159" spans="16:16" x14ac:dyDescent="0.3">
      <c r="P159" s="7"/>
    </row>
    <row r="160" spans="16:16" x14ac:dyDescent="0.3">
      <c r="P160" s="7"/>
    </row>
    <row r="161" spans="16:16" x14ac:dyDescent="0.3">
      <c r="P161" s="7"/>
    </row>
    <row r="162" spans="16:16" x14ac:dyDescent="0.3">
      <c r="P162" s="7"/>
    </row>
    <row r="163" spans="16:16" x14ac:dyDescent="0.3">
      <c r="P163" s="7"/>
    </row>
    <row r="164" spans="16:16" x14ac:dyDescent="0.3">
      <c r="P164" s="7"/>
    </row>
    <row r="165" spans="16:16" x14ac:dyDescent="0.3">
      <c r="P165" s="7"/>
    </row>
    <row r="166" spans="16:16" x14ac:dyDescent="0.3">
      <c r="P166" s="7"/>
    </row>
    <row r="167" spans="16:16" x14ac:dyDescent="0.3">
      <c r="P167" s="7"/>
    </row>
    <row r="168" spans="16:16" x14ac:dyDescent="0.3">
      <c r="P168" s="7"/>
    </row>
    <row r="169" spans="16:16" x14ac:dyDescent="0.3">
      <c r="P169" s="7"/>
    </row>
    <row r="170" spans="16:16" x14ac:dyDescent="0.3">
      <c r="P170" s="7"/>
    </row>
    <row r="171" spans="16:16" x14ac:dyDescent="0.3">
      <c r="P171" s="7"/>
    </row>
    <row r="172" spans="16:16" x14ac:dyDescent="0.3">
      <c r="P172" s="7"/>
    </row>
    <row r="173" spans="16:16" x14ac:dyDescent="0.3">
      <c r="P173" s="7"/>
    </row>
    <row r="174" spans="16:16" x14ac:dyDescent="0.3">
      <c r="P174" s="7"/>
    </row>
    <row r="175" spans="16:16" x14ac:dyDescent="0.3">
      <c r="P175" s="7"/>
    </row>
    <row r="176" spans="16:16" x14ac:dyDescent="0.3">
      <c r="P176" s="7"/>
    </row>
    <row r="177" spans="16:16" x14ac:dyDescent="0.3">
      <c r="P177" s="7"/>
    </row>
    <row r="178" spans="16:16" x14ac:dyDescent="0.3">
      <c r="P178" s="7"/>
    </row>
    <row r="179" spans="16:16" x14ac:dyDescent="0.3">
      <c r="P179" s="7"/>
    </row>
    <row r="180" spans="16:16" x14ac:dyDescent="0.3">
      <c r="P180" s="7"/>
    </row>
    <row r="181" spans="16:16" x14ac:dyDescent="0.3">
      <c r="P181" s="7"/>
    </row>
    <row r="182" spans="16:16" x14ac:dyDescent="0.3">
      <c r="P182" s="7"/>
    </row>
    <row r="183" spans="16:16" x14ac:dyDescent="0.3">
      <c r="P183" s="7"/>
    </row>
    <row r="184" spans="16:16" x14ac:dyDescent="0.3">
      <c r="P184" s="7"/>
    </row>
    <row r="185" spans="16:16" x14ac:dyDescent="0.3">
      <c r="P185" s="7"/>
    </row>
    <row r="186" spans="16:16" x14ac:dyDescent="0.3">
      <c r="P186" s="7"/>
    </row>
    <row r="187" spans="16:16" x14ac:dyDescent="0.3">
      <c r="P187" s="7"/>
    </row>
    <row r="188" spans="16:16" x14ac:dyDescent="0.3">
      <c r="P188" s="7"/>
    </row>
    <row r="189" spans="16:16" x14ac:dyDescent="0.3">
      <c r="P189" s="7"/>
    </row>
    <row r="190" spans="16:16" x14ac:dyDescent="0.3">
      <c r="P190" s="7"/>
    </row>
    <row r="191" spans="16:16" x14ac:dyDescent="0.3">
      <c r="P191" s="7"/>
    </row>
    <row r="192" spans="16:16" x14ac:dyDescent="0.3">
      <c r="P192" s="7"/>
    </row>
    <row r="193" spans="16:16" x14ac:dyDescent="0.3">
      <c r="P193" s="7"/>
    </row>
    <row r="194" spans="16:16" x14ac:dyDescent="0.3">
      <c r="P194" s="7"/>
    </row>
    <row r="195" spans="16:16" x14ac:dyDescent="0.3">
      <c r="P195" s="7"/>
    </row>
    <row r="196" spans="16:16" x14ac:dyDescent="0.3">
      <c r="P196" s="7"/>
    </row>
    <row r="197" spans="16:16" x14ac:dyDescent="0.3">
      <c r="P197" s="7"/>
    </row>
    <row r="198" spans="16:16" x14ac:dyDescent="0.3">
      <c r="P198" s="7"/>
    </row>
    <row r="199" spans="16:16" x14ac:dyDescent="0.3">
      <c r="P199" s="7"/>
    </row>
    <row r="200" spans="16:16" x14ac:dyDescent="0.3">
      <c r="P200" s="7"/>
    </row>
    <row r="201" spans="16:16" x14ac:dyDescent="0.3">
      <c r="P201" s="7"/>
    </row>
    <row r="202" spans="16:16" x14ac:dyDescent="0.3">
      <c r="P202" s="7"/>
    </row>
    <row r="203" spans="16:16" x14ac:dyDescent="0.3">
      <c r="P203" s="7"/>
    </row>
    <row r="204" spans="16:16" x14ac:dyDescent="0.3">
      <c r="P204" s="7"/>
    </row>
    <row r="205" spans="16:16" x14ac:dyDescent="0.3">
      <c r="P205" s="7"/>
    </row>
    <row r="206" spans="16:16" x14ac:dyDescent="0.3">
      <c r="P206" s="7"/>
    </row>
    <row r="207" spans="16:16" x14ac:dyDescent="0.3">
      <c r="P207" s="7"/>
    </row>
    <row r="208" spans="16:16" x14ac:dyDescent="0.3">
      <c r="P208" s="7"/>
    </row>
    <row r="209" spans="16:16" x14ac:dyDescent="0.3">
      <c r="P209" s="7"/>
    </row>
    <row r="210" spans="16:16" x14ac:dyDescent="0.3">
      <c r="P210" s="7"/>
    </row>
    <row r="211" spans="16:16" x14ac:dyDescent="0.3">
      <c r="P211" s="7"/>
    </row>
    <row r="212" spans="16:16" x14ac:dyDescent="0.3">
      <c r="P212" s="7"/>
    </row>
    <row r="213" spans="16:16" x14ac:dyDescent="0.3">
      <c r="P213" s="7"/>
    </row>
    <row r="214" spans="16:16" x14ac:dyDescent="0.3">
      <c r="P214" s="7"/>
    </row>
    <row r="215" spans="16:16" x14ac:dyDescent="0.3">
      <c r="P215" s="7"/>
    </row>
    <row r="216" spans="16:16" x14ac:dyDescent="0.3">
      <c r="P216" s="7"/>
    </row>
    <row r="217" spans="16:16" x14ac:dyDescent="0.3">
      <c r="P217" s="7"/>
    </row>
    <row r="218" spans="16:16" x14ac:dyDescent="0.3">
      <c r="P218" s="7"/>
    </row>
    <row r="219" spans="16:16" x14ac:dyDescent="0.3">
      <c r="P219" s="7"/>
    </row>
    <row r="220" spans="16:16" x14ac:dyDescent="0.3">
      <c r="P220" s="7"/>
    </row>
    <row r="221" spans="16:16" x14ac:dyDescent="0.3">
      <c r="P221" s="7"/>
    </row>
    <row r="222" spans="16:16" x14ac:dyDescent="0.3">
      <c r="P222" s="7"/>
    </row>
    <row r="223" spans="16:16" x14ac:dyDescent="0.3">
      <c r="P223" s="7"/>
    </row>
    <row r="224" spans="16:16" x14ac:dyDescent="0.3">
      <c r="P224" s="7"/>
    </row>
    <row r="225" spans="16:16" x14ac:dyDescent="0.3">
      <c r="P225" s="7"/>
    </row>
    <row r="226" spans="16:16" x14ac:dyDescent="0.3">
      <c r="P226" s="7"/>
    </row>
    <row r="227" spans="16:16" x14ac:dyDescent="0.3">
      <c r="P227" s="7"/>
    </row>
    <row r="228" spans="16:16" x14ac:dyDescent="0.3">
      <c r="P228" s="7"/>
    </row>
    <row r="229" spans="16:16" x14ac:dyDescent="0.3">
      <c r="P229" s="7"/>
    </row>
    <row r="230" spans="16:16" x14ac:dyDescent="0.3">
      <c r="P230" s="7"/>
    </row>
    <row r="231" spans="16:16" x14ac:dyDescent="0.3">
      <c r="P231" s="7"/>
    </row>
    <row r="232" spans="16:16" x14ac:dyDescent="0.3">
      <c r="P232" s="7"/>
    </row>
    <row r="233" spans="16:16" x14ac:dyDescent="0.3">
      <c r="P233" s="7"/>
    </row>
    <row r="234" spans="16:16" x14ac:dyDescent="0.3">
      <c r="P234" s="7"/>
    </row>
    <row r="235" spans="16:16" x14ac:dyDescent="0.3">
      <c r="P235" s="7"/>
    </row>
    <row r="236" spans="16:16" x14ac:dyDescent="0.3">
      <c r="P236" s="7"/>
    </row>
    <row r="237" spans="16:16" x14ac:dyDescent="0.3">
      <c r="P237" s="7"/>
    </row>
    <row r="238" spans="16:16" x14ac:dyDescent="0.3">
      <c r="P238" s="7"/>
    </row>
    <row r="239" spans="16:16" x14ac:dyDescent="0.3">
      <c r="P239" s="7"/>
    </row>
    <row r="240" spans="16:16" x14ac:dyDescent="0.3">
      <c r="P240" s="7"/>
    </row>
    <row r="241" spans="16:16" x14ac:dyDescent="0.3">
      <c r="P241" s="7"/>
    </row>
    <row r="242" spans="16:16" x14ac:dyDescent="0.3">
      <c r="P242" s="7"/>
    </row>
    <row r="243" spans="16:16" x14ac:dyDescent="0.3">
      <c r="P243" s="7"/>
    </row>
    <row r="244" spans="16:16" x14ac:dyDescent="0.3">
      <c r="P244" s="7"/>
    </row>
    <row r="245" spans="16:16" x14ac:dyDescent="0.3">
      <c r="P245" s="7"/>
    </row>
    <row r="246" spans="16:16" x14ac:dyDescent="0.3">
      <c r="P246" s="7"/>
    </row>
    <row r="247" spans="16:16" x14ac:dyDescent="0.3">
      <c r="P247" s="7"/>
    </row>
    <row r="248" spans="16:16" x14ac:dyDescent="0.3">
      <c r="P248" s="7"/>
    </row>
    <row r="249" spans="16:16" x14ac:dyDescent="0.3">
      <c r="P249" s="7"/>
    </row>
    <row r="250" spans="16:16" x14ac:dyDescent="0.3">
      <c r="P250" s="7"/>
    </row>
    <row r="251" spans="16:16" x14ac:dyDescent="0.3">
      <c r="P251" s="7"/>
    </row>
    <row r="252" spans="16:16" x14ac:dyDescent="0.3">
      <c r="P252" s="7"/>
    </row>
    <row r="253" spans="16:16" x14ac:dyDescent="0.3">
      <c r="P253" s="7"/>
    </row>
    <row r="254" spans="16:16" x14ac:dyDescent="0.3">
      <c r="P254" s="7"/>
    </row>
    <row r="255" spans="16:16" x14ac:dyDescent="0.3">
      <c r="P255" s="7"/>
    </row>
    <row r="256" spans="16:16" x14ac:dyDescent="0.3">
      <c r="P256" s="7"/>
    </row>
    <row r="257" spans="16:16" x14ac:dyDescent="0.3">
      <c r="P257" s="7"/>
    </row>
    <row r="258" spans="16:16" x14ac:dyDescent="0.3">
      <c r="P258" s="7"/>
    </row>
    <row r="259" spans="16:16" x14ac:dyDescent="0.3">
      <c r="P259" s="7"/>
    </row>
    <row r="260" spans="16:16" x14ac:dyDescent="0.3">
      <c r="P260" s="7"/>
    </row>
    <row r="261" spans="16:16" x14ac:dyDescent="0.3">
      <c r="P261" s="7"/>
    </row>
    <row r="262" spans="16:16" x14ac:dyDescent="0.3">
      <c r="P262" s="7"/>
    </row>
    <row r="263" spans="16:16" x14ac:dyDescent="0.3">
      <c r="P263" s="7"/>
    </row>
    <row r="264" spans="16:16" x14ac:dyDescent="0.3">
      <c r="P264" s="7"/>
    </row>
    <row r="265" spans="16:16" x14ac:dyDescent="0.3">
      <c r="P265" s="7"/>
    </row>
    <row r="266" spans="16:16" x14ac:dyDescent="0.3">
      <c r="P266" s="7"/>
    </row>
    <row r="267" spans="16:16" x14ac:dyDescent="0.3">
      <c r="P267" s="7"/>
    </row>
    <row r="268" spans="16:16" x14ac:dyDescent="0.3">
      <c r="P268" s="7"/>
    </row>
    <row r="269" spans="16:16" x14ac:dyDescent="0.3">
      <c r="P269" s="7"/>
    </row>
    <row r="270" spans="16:16" x14ac:dyDescent="0.3">
      <c r="P270" s="7"/>
    </row>
    <row r="271" spans="16:16" x14ac:dyDescent="0.3">
      <c r="P271" s="7"/>
    </row>
    <row r="272" spans="16:16" x14ac:dyDescent="0.3">
      <c r="P272" s="7"/>
    </row>
    <row r="273" spans="16:16" x14ac:dyDescent="0.3">
      <c r="P273" s="7"/>
    </row>
    <row r="274" spans="16:16" x14ac:dyDescent="0.3">
      <c r="P274" s="7"/>
    </row>
    <row r="275" spans="16:16" x14ac:dyDescent="0.3">
      <c r="P275" s="7"/>
    </row>
    <row r="276" spans="16:16" x14ac:dyDescent="0.3">
      <c r="P276" s="7"/>
    </row>
    <row r="277" spans="16:16" x14ac:dyDescent="0.3">
      <c r="P277" s="7"/>
    </row>
    <row r="278" spans="16:16" x14ac:dyDescent="0.3">
      <c r="P278" s="7"/>
    </row>
    <row r="279" spans="16:16" x14ac:dyDescent="0.3">
      <c r="P279" s="7"/>
    </row>
    <row r="280" spans="16:16" x14ac:dyDescent="0.3">
      <c r="P280" s="7"/>
    </row>
    <row r="281" spans="16:16" x14ac:dyDescent="0.3">
      <c r="P281" s="7"/>
    </row>
    <row r="282" spans="16:16" x14ac:dyDescent="0.3">
      <c r="P282" s="7"/>
    </row>
    <row r="283" spans="16:16" x14ac:dyDescent="0.3">
      <c r="P283" s="7"/>
    </row>
    <row r="284" spans="16:16" x14ac:dyDescent="0.3">
      <c r="P284" s="7"/>
    </row>
    <row r="285" spans="16:16" x14ac:dyDescent="0.3">
      <c r="P285" s="7"/>
    </row>
    <row r="286" spans="16:16" x14ac:dyDescent="0.3">
      <c r="P286" s="7"/>
    </row>
    <row r="287" spans="16:16" x14ac:dyDescent="0.3">
      <c r="P287" s="7"/>
    </row>
    <row r="288" spans="16:16" x14ac:dyDescent="0.3">
      <c r="P288" s="7"/>
    </row>
    <row r="289" spans="16:16" x14ac:dyDescent="0.3">
      <c r="P289" s="7"/>
    </row>
    <row r="290" spans="16:16" x14ac:dyDescent="0.3">
      <c r="P290" s="7"/>
    </row>
    <row r="291" spans="16:16" x14ac:dyDescent="0.3">
      <c r="P291" s="7"/>
    </row>
    <row r="292" spans="16:16" x14ac:dyDescent="0.3">
      <c r="P292" s="7"/>
    </row>
    <row r="293" spans="16:16" x14ac:dyDescent="0.3">
      <c r="P293" s="7"/>
    </row>
    <row r="294" spans="16:16" x14ac:dyDescent="0.3">
      <c r="P294" s="7"/>
    </row>
    <row r="295" spans="16:16" x14ac:dyDescent="0.3">
      <c r="P295" s="7"/>
    </row>
    <row r="296" spans="16:16" x14ac:dyDescent="0.3">
      <c r="P296" s="7"/>
    </row>
    <row r="297" spans="16:16" x14ac:dyDescent="0.3">
      <c r="P297" s="7"/>
    </row>
    <row r="298" spans="16:16" x14ac:dyDescent="0.3">
      <c r="P298" s="7"/>
    </row>
    <row r="299" spans="16:16" x14ac:dyDescent="0.3">
      <c r="P299" s="7"/>
    </row>
    <row r="300" spans="16:16" x14ac:dyDescent="0.3">
      <c r="P300" s="7"/>
    </row>
    <row r="301" spans="16:16" x14ac:dyDescent="0.3">
      <c r="P301" s="7"/>
    </row>
    <row r="302" spans="16:16" x14ac:dyDescent="0.3">
      <c r="P302" s="7"/>
    </row>
    <row r="303" spans="16:16" x14ac:dyDescent="0.3">
      <c r="P303" s="7"/>
    </row>
    <row r="304" spans="16:16" x14ac:dyDescent="0.3">
      <c r="P304" s="7"/>
    </row>
    <row r="305" spans="16:16" x14ac:dyDescent="0.3">
      <c r="P305" s="7"/>
    </row>
    <row r="306" spans="16:16" x14ac:dyDescent="0.3">
      <c r="P306" s="7"/>
    </row>
    <row r="307" spans="16:16" x14ac:dyDescent="0.3">
      <c r="P307" s="7"/>
    </row>
    <row r="308" spans="16:16" x14ac:dyDescent="0.3">
      <c r="P308" s="7"/>
    </row>
    <row r="309" spans="16:16" x14ac:dyDescent="0.3">
      <c r="P309" s="7"/>
    </row>
    <row r="310" spans="16:16" x14ac:dyDescent="0.3">
      <c r="P310" s="7"/>
    </row>
    <row r="311" spans="16:16" x14ac:dyDescent="0.3">
      <c r="P311" s="7"/>
    </row>
    <row r="312" spans="16:16" x14ac:dyDescent="0.3">
      <c r="P312" s="7"/>
    </row>
    <row r="313" spans="16:16" x14ac:dyDescent="0.3">
      <c r="P313" s="7"/>
    </row>
    <row r="314" spans="16:16" x14ac:dyDescent="0.3">
      <c r="P314" s="7"/>
    </row>
    <row r="315" spans="16:16" x14ac:dyDescent="0.3">
      <c r="P315" s="7"/>
    </row>
    <row r="316" spans="16:16" x14ac:dyDescent="0.3">
      <c r="P316" s="7"/>
    </row>
    <row r="317" spans="16:16" x14ac:dyDescent="0.3">
      <c r="P317" s="7"/>
    </row>
    <row r="318" spans="16:16" x14ac:dyDescent="0.3">
      <c r="P318" s="7"/>
    </row>
    <row r="319" spans="16:16" x14ac:dyDescent="0.3">
      <c r="P319" s="7"/>
    </row>
    <row r="320" spans="16:16" x14ac:dyDescent="0.3">
      <c r="P320" s="7"/>
    </row>
    <row r="321" spans="16:16" x14ac:dyDescent="0.3">
      <c r="P321" s="7"/>
    </row>
    <row r="322" spans="16:16" x14ac:dyDescent="0.3">
      <c r="P322" s="7"/>
    </row>
    <row r="323" spans="16:16" x14ac:dyDescent="0.3">
      <c r="P323" s="7"/>
    </row>
    <row r="324" spans="16:16" x14ac:dyDescent="0.3">
      <c r="P324" s="7"/>
    </row>
    <row r="325" spans="16:16" x14ac:dyDescent="0.3">
      <c r="P325" s="7"/>
    </row>
    <row r="326" spans="16:16" x14ac:dyDescent="0.3">
      <c r="P326" s="7"/>
    </row>
    <row r="327" spans="16:16" x14ac:dyDescent="0.3">
      <c r="P327" s="7"/>
    </row>
    <row r="328" spans="16:16" x14ac:dyDescent="0.3">
      <c r="P328" s="7"/>
    </row>
    <row r="329" spans="16:16" x14ac:dyDescent="0.3">
      <c r="P329" s="7"/>
    </row>
    <row r="330" spans="16:16" x14ac:dyDescent="0.3">
      <c r="P330" s="7"/>
    </row>
    <row r="331" spans="16:16" x14ac:dyDescent="0.3">
      <c r="P331" s="7"/>
    </row>
    <row r="332" spans="16:16" x14ac:dyDescent="0.3">
      <c r="P332" s="7"/>
    </row>
    <row r="333" spans="16:16" x14ac:dyDescent="0.3">
      <c r="P333" s="7"/>
    </row>
    <row r="334" spans="16:16" x14ac:dyDescent="0.3">
      <c r="P334" s="7"/>
    </row>
    <row r="335" spans="16:16" x14ac:dyDescent="0.3">
      <c r="P335" s="7"/>
    </row>
    <row r="336" spans="16:16" x14ac:dyDescent="0.3">
      <c r="P336" s="7"/>
    </row>
    <row r="337" spans="16:16" x14ac:dyDescent="0.3">
      <c r="P337" s="7"/>
    </row>
    <row r="338" spans="16:16" x14ac:dyDescent="0.3">
      <c r="P338" s="7"/>
    </row>
    <row r="339" spans="16:16" x14ac:dyDescent="0.3">
      <c r="P339" s="7"/>
    </row>
    <row r="340" spans="16:16" x14ac:dyDescent="0.3">
      <c r="P340" s="7"/>
    </row>
    <row r="341" spans="16:16" x14ac:dyDescent="0.3">
      <c r="P341" s="7"/>
    </row>
    <row r="342" spans="16:16" x14ac:dyDescent="0.3">
      <c r="P342" s="7"/>
    </row>
    <row r="343" spans="16:16" x14ac:dyDescent="0.3">
      <c r="P343" s="7"/>
    </row>
    <row r="344" spans="16:16" x14ac:dyDescent="0.3">
      <c r="P344" s="7"/>
    </row>
    <row r="345" spans="16:16" x14ac:dyDescent="0.3">
      <c r="P345" s="7"/>
    </row>
    <row r="346" spans="16:16" x14ac:dyDescent="0.3">
      <c r="P346" s="7"/>
    </row>
    <row r="347" spans="16:16" x14ac:dyDescent="0.3">
      <c r="P347" s="7"/>
    </row>
    <row r="348" spans="16:16" x14ac:dyDescent="0.3">
      <c r="P348" s="7"/>
    </row>
    <row r="349" spans="16:16" x14ac:dyDescent="0.3">
      <c r="P349" s="7"/>
    </row>
    <row r="350" spans="16:16" x14ac:dyDescent="0.3">
      <c r="P350" s="7"/>
    </row>
    <row r="351" spans="16:16" x14ac:dyDescent="0.3">
      <c r="P351" s="7"/>
    </row>
    <row r="352" spans="16:16" x14ac:dyDescent="0.3">
      <c r="P352" s="7"/>
    </row>
    <row r="353" spans="16:16" x14ac:dyDescent="0.3">
      <c r="P353" s="7"/>
    </row>
    <row r="354" spans="16:16" x14ac:dyDescent="0.3">
      <c r="P354" s="7"/>
    </row>
    <row r="355" spans="16:16" x14ac:dyDescent="0.3">
      <c r="P355" s="7"/>
    </row>
    <row r="356" spans="16:16" x14ac:dyDescent="0.3">
      <c r="P356" s="7"/>
    </row>
    <row r="357" spans="16:16" x14ac:dyDescent="0.3">
      <c r="P357" s="7"/>
    </row>
    <row r="358" spans="16:16" x14ac:dyDescent="0.3">
      <c r="P358" s="7"/>
    </row>
    <row r="359" spans="16:16" x14ac:dyDescent="0.3">
      <c r="P359" s="7"/>
    </row>
    <row r="360" spans="16:16" x14ac:dyDescent="0.3">
      <c r="P360" s="7"/>
    </row>
    <row r="361" spans="16:16" x14ac:dyDescent="0.3">
      <c r="P361" s="7"/>
    </row>
    <row r="362" spans="16:16" x14ac:dyDescent="0.3">
      <c r="P362" s="7"/>
    </row>
    <row r="363" spans="16:16" x14ac:dyDescent="0.3">
      <c r="P363" s="7"/>
    </row>
    <row r="364" spans="16:16" x14ac:dyDescent="0.3">
      <c r="P364" s="7"/>
    </row>
    <row r="365" spans="16:16" x14ac:dyDescent="0.3">
      <c r="P365" s="7"/>
    </row>
    <row r="366" spans="16:16" x14ac:dyDescent="0.3">
      <c r="P366" s="7"/>
    </row>
    <row r="367" spans="16:16" x14ac:dyDescent="0.3">
      <c r="P367" s="7"/>
    </row>
    <row r="368" spans="16:16" x14ac:dyDescent="0.3">
      <c r="P368" s="7"/>
    </row>
    <row r="369" spans="16:16" x14ac:dyDescent="0.3">
      <c r="P369" s="7"/>
    </row>
    <row r="370" spans="16:16" x14ac:dyDescent="0.3">
      <c r="P370" s="7"/>
    </row>
    <row r="371" spans="16:16" x14ac:dyDescent="0.3">
      <c r="P371" s="7"/>
    </row>
    <row r="372" spans="16:16" x14ac:dyDescent="0.3">
      <c r="P372" s="7"/>
    </row>
    <row r="373" spans="16:16" x14ac:dyDescent="0.3">
      <c r="P373" s="7"/>
    </row>
    <row r="374" spans="16:16" x14ac:dyDescent="0.3">
      <c r="P374" s="7"/>
    </row>
    <row r="375" spans="16:16" x14ac:dyDescent="0.3">
      <c r="P375" s="7"/>
    </row>
    <row r="376" spans="16:16" x14ac:dyDescent="0.3">
      <c r="P376" s="7"/>
    </row>
    <row r="377" spans="16:16" x14ac:dyDescent="0.3">
      <c r="P377" s="7"/>
    </row>
    <row r="378" spans="16:16" x14ac:dyDescent="0.3">
      <c r="P378" s="7"/>
    </row>
    <row r="379" spans="16:16" x14ac:dyDescent="0.3">
      <c r="P37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4DFD-E1F4-4523-9ABC-9AD583252967}">
  <dimension ref="A1:V16"/>
  <sheetViews>
    <sheetView workbookViewId="0">
      <selection activeCell="I5" sqref="I5"/>
    </sheetView>
  </sheetViews>
  <sheetFormatPr defaultRowHeight="14.4" x14ac:dyDescent="0.3"/>
  <sheetData>
    <row r="1" spans="1:2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5</v>
      </c>
      <c r="H1" s="12" t="s">
        <v>7</v>
      </c>
      <c r="I1" s="12" t="s">
        <v>2</v>
      </c>
      <c r="J1" s="12" t="s">
        <v>8</v>
      </c>
      <c r="K1" s="12" t="s">
        <v>9</v>
      </c>
      <c r="L1" s="12" t="s">
        <v>10</v>
      </c>
      <c r="M1" s="17"/>
      <c r="N1" s="12" t="s">
        <v>11</v>
      </c>
      <c r="O1" s="12" t="s">
        <v>12</v>
      </c>
      <c r="P1" s="12" t="s">
        <v>13</v>
      </c>
      <c r="Q1" s="12" t="s">
        <v>14</v>
      </c>
      <c r="R1" s="12" t="s">
        <v>2</v>
      </c>
      <c r="S1" s="12" t="s">
        <v>8</v>
      </c>
      <c r="T1" s="12" t="s">
        <v>9</v>
      </c>
      <c r="U1" s="12" t="s">
        <v>10</v>
      </c>
      <c r="V1" s="18"/>
    </row>
    <row r="2" spans="1:22" x14ac:dyDescent="0.3">
      <c r="A2" s="19">
        <v>20</v>
      </c>
      <c r="B2" s="19">
        <v>300</v>
      </c>
      <c r="C2" s="19">
        <v>160</v>
      </c>
      <c r="D2" s="19">
        <v>280</v>
      </c>
      <c r="E2" s="20">
        <v>10000</v>
      </c>
      <c r="F2" s="20">
        <v>82000</v>
      </c>
      <c r="G2" s="20">
        <v>39000</v>
      </c>
      <c r="H2" s="20">
        <v>9.9999999999999995E-8</v>
      </c>
      <c r="I2" s="19">
        <v>85.4</v>
      </c>
      <c r="J2" s="19">
        <v>81.62</v>
      </c>
      <c r="K2" s="19">
        <v>-1.95</v>
      </c>
      <c r="L2" s="19">
        <v>1.05</v>
      </c>
      <c r="M2" s="18"/>
      <c r="N2" s="20">
        <v>2700</v>
      </c>
      <c r="O2" s="20">
        <v>22000</v>
      </c>
      <c r="P2" s="20">
        <v>10000</v>
      </c>
      <c r="Q2" s="20">
        <v>9.9999999999999995E-8</v>
      </c>
      <c r="R2" s="19">
        <v>324.5</v>
      </c>
      <c r="S2" s="19">
        <v>318.31</v>
      </c>
      <c r="T2" s="19">
        <v>-1.85</v>
      </c>
      <c r="U2" s="19">
        <v>1.02</v>
      </c>
      <c r="V2" s="18"/>
    </row>
    <row r="8" spans="1:22" x14ac:dyDescent="0.3">
      <c r="B8" s="18"/>
      <c r="C8" s="18"/>
      <c r="D8" s="18"/>
      <c r="E8" s="18"/>
      <c r="F8" s="18"/>
      <c r="G8" s="18"/>
      <c r="H8" s="18"/>
      <c r="I8" s="18"/>
      <c r="J8" s="18"/>
    </row>
    <row r="9" spans="1:22" x14ac:dyDescent="0.3">
      <c r="B9" s="17" t="s">
        <v>24</v>
      </c>
      <c r="C9" s="18"/>
      <c r="D9" s="18"/>
      <c r="E9" s="18"/>
      <c r="F9" s="18"/>
      <c r="G9" s="18"/>
      <c r="H9" s="18"/>
      <c r="I9" s="18"/>
      <c r="J9" s="18"/>
    </row>
    <row r="10" spans="1:22" x14ac:dyDescent="0.3">
      <c r="B10" s="12" t="s">
        <v>2</v>
      </c>
      <c r="C10" s="12" t="s">
        <v>10</v>
      </c>
      <c r="D10" s="12" t="s">
        <v>7</v>
      </c>
      <c r="E10" s="12" t="s">
        <v>9</v>
      </c>
      <c r="F10" s="12"/>
      <c r="G10" s="12" t="s">
        <v>4</v>
      </c>
      <c r="H10" s="12" t="s">
        <v>6</v>
      </c>
      <c r="I10" s="12" t="s">
        <v>5</v>
      </c>
      <c r="J10" s="18"/>
    </row>
    <row r="11" spans="1:22" x14ac:dyDescent="0.3">
      <c r="B11" s="19">
        <v>82.22969286</v>
      </c>
      <c r="C11" s="19">
        <v>0.99388032999999998</v>
      </c>
      <c r="D11" s="20">
        <v>9.9999999999999995E-8</v>
      </c>
      <c r="E11" s="19">
        <v>1.74</v>
      </c>
      <c r="F11" s="19"/>
      <c r="G11" s="20">
        <v>11100</v>
      </c>
      <c r="H11" s="20">
        <v>81400</v>
      </c>
      <c r="I11" s="20">
        <v>38500</v>
      </c>
      <c r="J11" s="18"/>
    </row>
    <row r="14" spans="1:22" x14ac:dyDescent="0.3">
      <c r="B14" s="17" t="s">
        <v>28</v>
      </c>
      <c r="C14" s="18"/>
      <c r="D14" s="18"/>
      <c r="E14" s="18"/>
      <c r="F14" s="18"/>
      <c r="G14" s="18"/>
      <c r="H14" s="18"/>
      <c r="I14" s="18"/>
      <c r="J14" s="18"/>
    </row>
    <row r="15" spans="1:22" x14ac:dyDescent="0.3">
      <c r="B15" s="12" t="s">
        <v>2</v>
      </c>
      <c r="C15" s="12" t="s">
        <v>10</v>
      </c>
      <c r="D15" s="12" t="s">
        <v>7</v>
      </c>
      <c r="E15" s="12" t="s">
        <v>9</v>
      </c>
      <c r="F15" s="12"/>
      <c r="G15" s="12" t="s">
        <v>4</v>
      </c>
      <c r="H15" s="12" t="s">
        <v>6</v>
      </c>
      <c r="I15" s="12" t="s">
        <v>5</v>
      </c>
      <c r="J15" s="18"/>
    </row>
    <row r="16" spans="1:22" x14ac:dyDescent="0.3">
      <c r="B16" s="19">
        <v>311.3230648</v>
      </c>
      <c r="C16" s="19">
        <v>0.99388032999999998</v>
      </c>
      <c r="D16" s="20">
        <v>9.9999999999999995E-8</v>
      </c>
      <c r="E16" s="19">
        <v>1.74</v>
      </c>
      <c r="F16" s="19"/>
      <c r="G16" s="20">
        <v>2920</v>
      </c>
      <c r="H16" s="20">
        <v>21500</v>
      </c>
      <c r="I16" s="20">
        <v>10200</v>
      </c>
      <c r="J16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0FC0D92254D4DB1D0535C512BA19C" ma:contentTypeVersion="6" ma:contentTypeDescription="Create a new document." ma:contentTypeScope="" ma:versionID="e1bfc1cf161796374277717fbb8e7929">
  <xsd:schema xmlns:xsd="http://www.w3.org/2001/XMLSchema" xmlns:xs="http://www.w3.org/2001/XMLSchema" xmlns:p="http://schemas.microsoft.com/office/2006/metadata/properties" xmlns:ns3="6551e61c-172b-408e-858a-3d3d38745a24" targetNamespace="http://schemas.microsoft.com/office/2006/metadata/properties" ma:root="true" ma:fieldsID="6051637d15dcd93d07d4624000ceabb8" ns3:_="">
    <xsd:import namespace="6551e61c-172b-408e-858a-3d3d38745a2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1e61c-172b-408e-858a-3d3d38745a2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51e61c-172b-408e-858a-3d3d38745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173B2-DDBD-4852-B3C9-CF9E04C03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51e61c-172b-408e-858a-3d3d38745a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6E7D9-8ED4-4739-97D3-1CC15DC83112}">
  <ds:schemaRefs>
    <ds:schemaRef ds:uri="http://schemas.microsoft.com/office/2006/metadata/properties"/>
    <ds:schemaRef ds:uri="http://schemas.microsoft.com/office/infopath/2007/PartnerControls"/>
    <ds:schemaRef ds:uri="6551e61c-172b-408e-858a-3d3d38745a24"/>
  </ds:schemaRefs>
</ds:datastoreItem>
</file>

<file path=customXml/itemProps3.xml><?xml version="1.0" encoding="utf-8"?>
<ds:datastoreItem xmlns:ds="http://schemas.openxmlformats.org/officeDocument/2006/customXml" ds:itemID="{31842ACA-7A25-44B7-BB80-D5C6F36FB6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 TUF X506H</dc:creator>
  <cp:keywords/>
  <dc:description/>
  <cp:lastModifiedBy>Senuda Ratnayake</cp:lastModifiedBy>
  <cp:revision/>
  <dcterms:created xsi:type="dcterms:W3CDTF">2015-06-05T18:17:20Z</dcterms:created>
  <dcterms:modified xsi:type="dcterms:W3CDTF">2025-09-17T13:14:18Z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0x0101004530FC0D92254D4DB1D0535C512BA19C</vt:lpwstr>
  </property>
</Properties>
</file>