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8220" yWindow="4620" windowWidth="26880" windowHeight="15380" tabRatio="853" activeTab="2"/>
  </bookViews>
  <sheets>
    <sheet name="all_prices" sheetId="20" r:id="rId1"/>
    <sheet name="r_data" sheetId="27" r:id="rId2"/>
    <sheet name="mtv_2018" sheetId="28" r:id="rId3"/>
    <sheet name="Sheet2" sheetId="29" r:id="rId4"/>
    <sheet name="turkish" sheetId="30" r:id="rId5"/>
  </sheets>
  <definedNames>
    <definedName name="_xlnm._FilterDatabase" localSheetId="2" hidden="1">mtv_2018!$A$2:$D$28</definedName>
    <definedName name="_xlnm._FilterDatabase" localSheetId="1" hidden="1">r_data!$A$2:$J$26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9" l="1"/>
  <c r="G6" i="29"/>
  <c r="D3" i="29"/>
  <c r="D2" i="29"/>
  <c r="AI6" i="20"/>
  <c r="AM6" i="20"/>
  <c r="AM7" i="20"/>
  <c r="AI7" i="20"/>
  <c r="AG6" i="20"/>
  <c r="AE7" i="20"/>
  <c r="AE6" i="20"/>
  <c r="AA6" i="20"/>
  <c r="AA7" i="20"/>
  <c r="U7" i="20"/>
  <c r="S7" i="20"/>
  <c r="S6" i="20"/>
  <c r="Q6" i="20"/>
  <c r="M7" i="20"/>
  <c r="O7" i="20"/>
  <c r="O6" i="20"/>
  <c r="M6" i="20"/>
  <c r="K8" i="20"/>
  <c r="K7" i="20"/>
  <c r="K6" i="20"/>
  <c r="I7" i="20"/>
  <c r="H7" i="20"/>
  <c r="I6" i="20"/>
  <c r="H6" i="20"/>
  <c r="J7" i="20"/>
  <c r="L7" i="20"/>
  <c r="N7" i="20"/>
  <c r="P7" i="20"/>
  <c r="Q7" i="20"/>
  <c r="R7" i="20"/>
  <c r="T7" i="20"/>
  <c r="V7" i="20"/>
  <c r="X7" i="20"/>
  <c r="Y7" i="20"/>
  <c r="Z7" i="20"/>
  <c r="AB7" i="20"/>
  <c r="AD7" i="20"/>
  <c r="AF7" i="20"/>
  <c r="AG7" i="20"/>
  <c r="AH7" i="20"/>
  <c r="AJ7" i="20"/>
  <c r="AL7" i="20"/>
  <c r="AN7" i="20"/>
  <c r="AM8" i="20"/>
  <c r="AI8" i="20"/>
  <c r="AG8" i="20"/>
  <c r="I8" i="20"/>
  <c r="J8" i="20"/>
  <c r="L8" i="20"/>
  <c r="AE8" i="20"/>
  <c r="AA8" i="20"/>
  <c r="R6" i="20"/>
  <c r="T6" i="20"/>
  <c r="J6" i="20"/>
  <c r="L6" i="20"/>
  <c r="S8" i="20"/>
  <c r="Q8" i="20"/>
  <c r="O8" i="20"/>
  <c r="M8" i="20"/>
  <c r="N8" i="20"/>
  <c r="N6" i="20"/>
  <c r="AL8" i="20"/>
  <c r="AN8" i="20"/>
  <c r="AL6" i="20"/>
  <c r="AN6" i="20"/>
  <c r="AH8" i="20"/>
  <c r="AJ8" i="20"/>
  <c r="AH6" i="20"/>
  <c r="AJ6" i="20"/>
  <c r="AD8" i="20"/>
  <c r="AF8" i="20"/>
  <c r="AD6" i="20"/>
  <c r="AF6" i="20"/>
  <c r="Z8" i="20"/>
  <c r="AB8" i="20"/>
  <c r="Z6" i="20"/>
  <c r="AB6" i="20"/>
  <c r="V8" i="20"/>
  <c r="X8" i="20"/>
  <c r="V6" i="20"/>
  <c r="X6" i="20"/>
  <c r="R8" i="20"/>
  <c r="T8" i="20"/>
  <c r="P8" i="20"/>
  <c r="P6" i="20"/>
</calcChain>
</file>

<file path=xl/sharedStrings.xml><?xml version="1.0" encoding="utf-8"?>
<sst xmlns="http://schemas.openxmlformats.org/spreadsheetml/2006/main" count="234" uniqueCount="54">
  <si>
    <t>Turkey</t>
  </si>
  <si>
    <t>Netherlands</t>
  </si>
  <si>
    <t>Germany</t>
  </si>
  <si>
    <t>Finland</t>
  </si>
  <si>
    <t>France</t>
  </si>
  <si>
    <t>Portugal</t>
  </si>
  <si>
    <t>Spain</t>
  </si>
  <si>
    <t>Diesel</t>
  </si>
  <si>
    <t>UK</t>
  </si>
  <si>
    <t xml:space="preserve">Fiat Egea </t>
  </si>
  <si>
    <t>Net Price</t>
  </si>
  <si>
    <t>MTV</t>
  </si>
  <si>
    <t>Total</t>
  </si>
  <si>
    <t>Fuel</t>
  </si>
  <si>
    <t>CO2</t>
  </si>
  <si>
    <t>Gasoline</t>
  </si>
  <si>
    <t>VAT</t>
  </si>
  <si>
    <t>Hybrid</t>
  </si>
  <si>
    <t>Version</t>
  </si>
  <si>
    <t>engine size</t>
  </si>
  <si>
    <t>Engine power</t>
  </si>
  <si>
    <t>DIAMOND eCVT</t>
  </si>
  <si>
    <t>EASY 1.3 M.JET 95 HP</t>
  </si>
  <si>
    <t>EASY 1.4 FIRE 95 HP</t>
  </si>
  <si>
    <t>weight</t>
  </si>
  <si>
    <t>Registration Tax</t>
  </si>
  <si>
    <t>Country</t>
  </si>
  <si>
    <t>Car model</t>
  </si>
  <si>
    <t>(Diesel)</t>
  </si>
  <si>
    <t>(Gasoline)</t>
  </si>
  <si>
    <t>(Hybrid)</t>
  </si>
  <si>
    <t>age</t>
  </si>
  <si>
    <t>mtv</t>
  </si>
  <si>
    <t>engine_group</t>
  </si>
  <si>
    <t>price</t>
  </si>
  <si>
    <t>1,6-1.8</t>
  </si>
  <si>
    <t>1,8-2.0</t>
  </si>
  <si>
    <t>average</t>
  </si>
  <si>
    <t>2,0-2,5</t>
  </si>
  <si>
    <t>2,5-3,0</t>
  </si>
  <si>
    <t>3,0-3,5</t>
  </si>
  <si>
    <t>3,5-4,0</t>
  </si>
  <si>
    <t>&gt;4,0</t>
  </si>
  <si>
    <t>price group</t>
  </si>
  <si>
    <t>Annual Tax</t>
  </si>
  <si>
    <t>Türkiye</t>
  </si>
  <si>
    <t>Portekiz</t>
  </si>
  <si>
    <t>Hollanda</t>
  </si>
  <si>
    <t>Fransa</t>
  </si>
  <si>
    <t>Ispanya</t>
  </si>
  <si>
    <t>Finlandiya</t>
  </si>
  <si>
    <t>Almanya</t>
  </si>
  <si>
    <t>Birlesik Krallik</t>
  </si>
  <si>
    <t>Toyota C-HR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</si>
</sst>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2"/>
      <color theme="1"/>
      <name val="Helvetica"/>
      <family val="2"/>
      <scheme val="minor"/>
    </font>
    <font>
      <sz val="12"/>
      <color theme="1"/>
      <name val="Helvetica"/>
      <family val="2"/>
      <scheme val="minor"/>
    </font>
    <font>
      <u/>
      <sz val="12"/>
      <color theme="10"/>
      <name val="Helvetica"/>
      <family val="2"/>
      <scheme val="minor"/>
    </font>
    <font>
      <u/>
      <sz val="12"/>
      <color theme="11"/>
      <name val="Helvetica"/>
      <family val="2"/>
      <scheme val="minor"/>
    </font>
    <font>
      <sz val="11"/>
      <color rgb="FF000000"/>
      <name val="Lucida Sans"/>
    </font>
    <font>
      <u/>
      <sz val="12"/>
      <color theme="0"/>
      <name val="Helvetica"/>
      <scheme val="minor"/>
    </font>
    <font>
      <sz val="12"/>
      <color rgb="FF000000"/>
      <name val="Helvetica"/>
      <family val="2"/>
      <scheme val="minor"/>
    </font>
    <font>
      <b/>
      <sz val="11"/>
      <color rgb="FF555555"/>
      <name val="Lucida Sans"/>
    </font>
    <font>
      <sz val="11"/>
      <color theme="1"/>
      <name val="Lucida Sans"/>
    </font>
    <font>
      <b/>
      <sz val="11"/>
      <color theme="1"/>
      <name val="Lucida Sans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F85FF"/>
        <bgColor indexed="64"/>
      </patternFill>
    </fill>
    <fill>
      <patternFill patternType="solid">
        <fgColor rgb="FF21C1E4"/>
        <bgColor indexed="64"/>
      </patternFill>
    </fill>
    <fill>
      <patternFill patternType="solid">
        <fgColor rgb="FFD50000"/>
        <bgColor indexed="64"/>
      </patternFill>
    </fill>
    <fill>
      <patternFill patternType="solid">
        <fgColor rgb="FFFF4342"/>
        <bgColor indexed="64"/>
      </patternFill>
    </fill>
  </fills>
  <borders count="1">
    <border>
      <left/>
      <right/>
      <top/>
      <bottom/>
      <diagonal/>
    </border>
  </borders>
  <cellStyleXfs count="2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164" fontId="0" fillId="0" borderId="0" xfId="49" applyNumberFormat="1" applyFont="1"/>
    <xf numFmtId="0" fontId="4" fillId="0" borderId="0" xfId="0" applyFont="1"/>
    <xf numFmtId="164" fontId="0" fillId="4" borderId="0" xfId="49" applyNumberFormat="1" applyFont="1" applyFill="1"/>
    <xf numFmtId="164" fontId="0" fillId="5" borderId="0" xfId="49" applyNumberFormat="1" applyFont="1" applyFill="1"/>
    <xf numFmtId="164" fontId="0" fillId="2" borderId="0" xfId="49" applyNumberFormat="1" applyFont="1" applyFill="1"/>
    <xf numFmtId="164" fontId="0" fillId="3" borderId="0" xfId="49" applyNumberFormat="1" applyFont="1" applyFill="1"/>
    <xf numFmtId="164" fontId="0" fillId="8" borderId="0" xfId="49" applyNumberFormat="1" applyFont="1" applyFill="1"/>
    <xf numFmtId="164" fontId="0" fillId="6" borderId="0" xfId="49" applyNumberFormat="1" applyFont="1" applyFill="1"/>
    <xf numFmtId="164" fontId="0" fillId="7" borderId="0" xfId="49" applyNumberFormat="1" applyFont="1" applyFill="1"/>
    <xf numFmtId="164" fontId="0" fillId="9" borderId="0" xfId="49" applyNumberFormat="1" applyFont="1" applyFill="1"/>
    <xf numFmtId="164" fontId="2" fillId="4" borderId="0" xfId="134" applyNumberFormat="1" applyFill="1"/>
    <xf numFmtId="164" fontId="2" fillId="8" borderId="0" xfId="134" applyNumberFormat="1" applyFill="1"/>
    <xf numFmtId="0" fontId="0" fillId="0" borderId="0" xfId="0" applyFill="1"/>
    <xf numFmtId="164" fontId="0" fillId="0" borderId="0" xfId="49" applyNumberFormat="1" applyFont="1" applyFill="1"/>
    <xf numFmtId="164" fontId="2" fillId="2" borderId="0" xfId="134" applyNumberFormat="1" applyFill="1"/>
    <xf numFmtId="164" fontId="5" fillId="6" borderId="0" xfId="134" applyNumberFormat="1" applyFont="1" applyFill="1"/>
    <xf numFmtId="164" fontId="5" fillId="7" borderId="0" xfId="134" applyNumberFormat="1" applyFont="1" applyFill="1"/>
    <xf numFmtId="0" fontId="6" fillId="0" borderId="0" xfId="0" applyFont="1"/>
    <xf numFmtId="164" fontId="6" fillId="0" borderId="0" xfId="0" applyNumberFormat="1" applyFont="1"/>
    <xf numFmtId="0" fontId="7" fillId="0" borderId="0" xfId="0" applyFont="1"/>
    <xf numFmtId="0" fontId="8" fillId="0" borderId="0" xfId="0" applyFont="1"/>
    <xf numFmtId="0" fontId="4" fillId="0" borderId="0" xfId="0" applyFont="1" applyAlignment="1">
      <alignment vertical="center"/>
    </xf>
    <xf numFmtId="0" fontId="9" fillId="0" borderId="0" xfId="0" applyFont="1"/>
    <xf numFmtId="3" fontId="0" fillId="0" borderId="0" xfId="0" applyNumberFormat="1"/>
    <xf numFmtId="3" fontId="6" fillId="0" borderId="0" xfId="0" applyNumberFormat="1" applyFont="1"/>
    <xf numFmtId="1" fontId="4" fillId="0" borderId="0" xfId="0" applyNumberFormat="1" applyFont="1" applyAlignment="1">
      <alignment vertical="center"/>
    </xf>
    <xf numFmtId="1" fontId="0" fillId="0" borderId="0" xfId="0" applyNumberFormat="1"/>
    <xf numFmtId="1" fontId="6" fillId="0" borderId="0" xfId="0" applyNumberFormat="1" applyFont="1"/>
    <xf numFmtId="164" fontId="0" fillId="6" borderId="0" xfId="49" applyNumberFormat="1" applyFont="1" applyFill="1" applyAlignment="1">
      <alignment horizontal="center"/>
    </xf>
    <xf numFmtId="164" fontId="0" fillId="7" borderId="0" xfId="49" applyNumberFormat="1" applyFont="1" applyFill="1" applyAlignment="1">
      <alignment horizontal="center"/>
    </xf>
    <xf numFmtId="164" fontId="0" fillId="9" borderId="0" xfId="49" applyNumberFormat="1" applyFont="1" applyFill="1" applyAlignment="1">
      <alignment horizontal="center"/>
    </xf>
    <xf numFmtId="164" fontId="0" fillId="4" borderId="0" xfId="49" applyNumberFormat="1" applyFont="1" applyFill="1" applyAlignment="1">
      <alignment horizontal="center"/>
    </xf>
    <xf numFmtId="164" fontId="0" fillId="5" borderId="0" xfId="49" applyNumberFormat="1" applyFont="1" applyFill="1" applyAlignment="1">
      <alignment horizontal="center"/>
    </xf>
    <xf numFmtId="164" fontId="0" fillId="2" borderId="0" xfId="49" applyNumberFormat="1" applyFont="1" applyFill="1" applyAlignment="1">
      <alignment horizontal="center"/>
    </xf>
    <xf numFmtId="164" fontId="0" fillId="3" borderId="0" xfId="49" applyNumberFormat="1" applyFont="1" applyFill="1" applyAlignment="1">
      <alignment horizontal="center"/>
    </xf>
    <xf numFmtId="164" fontId="0" fillId="8" borderId="0" xfId="49" applyNumberFormat="1" applyFont="1" applyFill="1" applyAlignment="1">
      <alignment horizontal="center"/>
    </xf>
  </cellXfs>
  <cellStyles count="227">
    <cellStyle name="Comma" xfId="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170217 ICCT The role of taxation">
  <a:themeElements>
    <a:clrScheme name="ICCT 2011">
      <a:dk1>
        <a:sysClr val="windowText" lastClr="000000"/>
      </a:dk1>
      <a:lt1>
        <a:sysClr val="window" lastClr="FFFFFF"/>
      </a:lt1>
      <a:dk2>
        <a:srgbClr val="45555F"/>
      </a:dk2>
      <a:lt2>
        <a:srgbClr val="DED5B3"/>
      </a:lt2>
      <a:accent1>
        <a:srgbClr val="4E3227"/>
      </a:accent1>
      <a:accent2>
        <a:srgbClr val="007A94"/>
      </a:accent2>
      <a:accent3>
        <a:srgbClr val="D6492A"/>
      </a:accent3>
      <a:accent4>
        <a:srgbClr val="642566"/>
      </a:accent4>
      <a:accent5>
        <a:srgbClr val="6C953C"/>
      </a:accent5>
      <a:accent6>
        <a:srgbClr val="F4AF00"/>
      </a:accent6>
      <a:hlink>
        <a:srgbClr val="007A94"/>
      </a:hlink>
      <a:folHlink>
        <a:srgbClr val="6C953C"/>
      </a:folHlink>
    </a:clrScheme>
    <a:fontScheme name="Custom 1">
      <a:majorFont>
        <a:latin typeface="Helvetica"/>
        <a:ea typeface="ＭＳ Ｐゴシック"/>
        <a:cs typeface="ＭＳ Ｐゴシック"/>
      </a:majorFont>
      <a:minorFont>
        <a:latin typeface="Helvetica"/>
        <a:ea typeface="ＭＳ Ｐゴシック"/>
        <a:cs typeface="ＭＳ Ｐ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charset="-128"/>
            <a:cs typeface="ＭＳ Ｐゴシック" charset="-128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charset="-128"/>
            <a:cs typeface="ＭＳ Ｐゴシック" charset="-128"/>
          </a:defRPr>
        </a:defPPr>
      </a:lstStyle>
    </a:lnDef>
  </a:objectDefaults>
  <a:extraClrSchemeLst>
    <a:extraClrScheme>
      <a:clrScheme name="PresentationTemplate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PresentationTemplate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PresentationTemplate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PresentationTemplate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PresentationTemplate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PresentationTemplate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PresentationTemplate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PresentationTemplate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PresentationTemplate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PresentationTemplate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PresentationTemplate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PresentationTemplate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elastingdienst.nl/wps/wcm/connect/nl/auto-en-vervoer/content/hulpmiddel-motorrijtuigenbelasting-berekenen" TargetMode="External"/><Relationship Id="rId4" Type="http://schemas.openxmlformats.org/officeDocument/2006/relationships/hyperlink" Target="https://www.nextgreencar.com/car-tax/calculator/" TargetMode="External"/><Relationship Id="rId5" Type="http://schemas.openxmlformats.org/officeDocument/2006/relationships/hyperlink" Target="https://www.finlex.fi/fi/laki/ajantasa/2003/20031281?search%5btype%5d=pika&amp;search%5bpika%5d=ajoneuvoverolaki" TargetMode="External"/><Relationship Id="rId1" Type="http://schemas.openxmlformats.org/officeDocument/2006/relationships/hyperlink" Target="http://www.hurriyet.com.tr/mtv-hesaplama-nasil-yapilir-2018-mtv-tablosuna-gore-kim-ne-kadar-odeyecek-40696846" TargetMode="External"/><Relationship Id="rId2" Type="http://schemas.openxmlformats.org/officeDocument/2006/relationships/hyperlink" Target="http://www.foro-ciudad.com/calculo-ivtm.php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N9"/>
  <sheetViews>
    <sheetView workbookViewId="0">
      <pane xSplit="8" topLeftCell="AF1" activePane="topRight" state="frozen"/>
      <selection pane="topRight" activeCell="A8" sqref="A8"/>
    </sheetView>
  </sheetViews>
  <sheetFormatPr baseColWidth="10" defaultRowHeight="13" x14ac:dyDescent="0"/>
  <cols>
    <col min="1" max="1" width="10.7109375" customWidth="1"/>
    <col min="2" max="2" width="0" hidden="1" customWidth="1"/>
    <col min="3" max="3" width="9.5703125" customWidth="1"/>
    <col min="6" max="6" width="0" hidden="1" customWidth="1"/>
    <col min="8" max="8" width="10.42578125" customWidth="1"/>
    <col min="9" max="40" width="10.7109375" style="1"/>
  </cols>
  <sheetData>
    <row r="4" spans="1:40">
      <c r="I4" s="32" t="s">
        <v>0</v>
      </c>
      <c r="J4" s="32"/>
      <c r="K4" s="32"/>
      <c r="L4" s="32"/>
      <c r="M4" s="33" t="s">
        <v>5</v>
      </c>
      <c r="N4" s="33"/>
      <c r="O4" s="33"/>
      <c r="P4" s="33"/>
      <c r="Q4" s="34" t="s">
        <v>1</v>
      </c>
      <c r="R4" s="34"/>
      <c r="S4" s="34"/>
      <c r="T4" s="34"/>
      <c r="U4" s="35" t="s">
        <v>4</v>
      </c>
      <c r="V4" s="35"/>
      <c r="W4" s="35"/>
      <c r="X4" s="35"/>
      <c r="Y4" s="36" t="s">
        <v>6</v>
      </c>
      <c r="Z4" s="36"/>
      <c r="AA4" s="36"/>
      <c r="AB4" s="36"/>
      <c r="AC4" s="29" t="s">
        <v>8</v>
      </c>
      <c r="AD4" s="29"/>
      <c r="AE4" s="29"/>
      <c r="AF4" s="29"/>
      <c r="AG4" s="30" t="s">
        <v>3</v>
      </c>
      <c r="AH4" s="30"/>
      <c r="AI4" s="30"/>
      <c r="AJ4" s="30"/>
      <c r="AK4" s="31" t="s">
        <v>2</v>
      </c>
      <c r="AL4" s="31"/>
      <c r="AM4" s="31"/>
      <c r="AN4" s="31"/>
    </row>
    <row r="5" spans="1:40">
      <c r="B5" t="s">
        <v>18</v>
      </c>
      <c r="C5" t="s">
        <v>24</v>
      </c>
      <c r="D5" t="s">
        <v>13</v>
      </c>
      <c r="E5" t="s">
        <v>19</v>
      </c>
      <c r="F5" t="s">
        <v>20</v>
      </c>
      <c r="G5" t="s">
        <v>14</v>
      </c>
      <c r="H5" t="s">
        <v>10</v>
      </c>
      <c r="I5" s="3" t="s">
        <v>25</v>
      </c>
      <c r="J5" s="3" t="s">
        <v>16</v>
      </c>
      <c r="K5" s="11" t="s">
        <v>11</v>
      </c>
      <c r="L5" s="3" t="s">
        <v>12</v>
      </c>
      <c r="M5" s="4" t="s">
        <v>25</v>
      </c>
      <c r="N5" s="4" t="s">
        <v>16</v>
      </c>
      <c r="O5" s="4" t="s">
        <v>11</v>
      </c>
      <c r="P5" s="4" t="s">
        <v>12</v>
      </c>
      <c r="Q5" s="5" t="s">
        <v>25</v>
      </c>
      <c r="R5" s="5" t="s">
        <v>16</v>
      </c>
      <c r="S5" s="15" t="s">
        <v>11</v>
      </c>
      <c r="T5" s="5" t="s">
        <v>12</v>
      </c>
      <c r="U5" s="6" t="s">
        <v>25</v>
      </c>
      <c r="V5" s="6" t="s">
        <v>16</v>
      </c>
      <c r="W5" s="6" t="s">
        <v>11</v>
      </c>
      <c r="X5" s="6" t="s">
        <v>12</v>
      </c>
      <c r="Y5" s="7" t="s">
        <v>25</v>
      </c>
      <c r="Z5" s="7" t="s">
        <v>16</v>
      </c>
      <c r="AA5" s="12" t="s">
        <v>11</v>
      </c>
      <c r="AB5" s="7" t="s">
        <v>12</v>
      </c>
      <c r="AC5" s="8" t="s">
        <v>25</v>
      </c>
      <c r="AD5" s="8" t="s">
        <v>16</v>
      </c>
      <c r="AE5" s="16" t="s">
        <v>11</v>
      </c>
      <c r="AF5" s="8" t="s">
        <v>12</v>
      </c>
      <c r="AG5" s="9" t="s">
        <v>25</v>
      </c>
      <c r="AH5" s="9" t="s">
        <v>16</v>
      </c>
      <c r="AI5" s="17" t="s">
        <v>11</v>
      </c>
      <c r="AJ5" s="9" t="s">
        <v>12</v>
      </c>
      <c r="AK5" s="10" t="s">
        <v>25</v>
      </c>
      <c r="AL5" s="10" t="s">
        <v>16</v>
      </c>
      <c r="AM5" s="10" t="s">
        <v>11</v>
      </c>
      <c r="AN5" s="10" t="s">
        <v>12</v>
      </c>
    </row>
    <row r="6" spans="1:40" ht="15">
      <c r="A6" t="s">
        <v>9</v>
      </c>
      <c r="B6" s="2" t="s">
        <v>22</v>
      </c>
      <c r="C6" s="2">
        <v>1205</v>
      </c>
      <c r="D6" t="s">
        <v>7</v>
      </c>
      <c r="E6">
        <v>1248</v>
      </c>
      <c r="F6">
        <v>95</v>
      </c>
      <c r="G6">
        <v>110</v>
      </c>
      <c r="H6">
        <f>107400/(1.5*1.18)</f>
        <v>60677.966101694918</v>
      </c>
      <c r="I6" s="3">
        <f>H6*0.5</f>
        <v>30338.983050847459</v>
      </c>
      <c r="J6" s="3">
        <f>(H6+I6)*0.18</f>
        <v>16383.050847457627</v>
      </c>
      <c r="K6" s="3">
        <f>817*3 + 570</f>
        <v>3021</v>
      </c>
      <c r="L6" s="3">
        <f>H6+I6+J6</f>
        <v>107400</v>
      </c>
      <c r="M6" s="4">
        <f>((1.07*E6-763)+(71.62*G6-6504.65))*6</f>
        <v>11675.460000000006</v>
      </c>
      <c r="N6" s="4">
        <f>0.23*(M6+H6)</f>
        <v>16641.288003389836</v>
      </c>
      <c r="O6" s="4">
        <f>(28.92+59.33)*1.15*4*6</f>
        <v>2435.6999999999998</v>
      </c>
      <c r="P6" s="4">
        <f>H6+M6+N6</f>
        <v>88994.714105084771</v>
      </c>
      <c r="Q6" s="5">
        <f>(353+(2*73)+(25*63)+((G6-98)*139) + (G6-63)*87.38 )*6</f>
        <v>47093.159999999996</v>
      </c>
      <c r="R6" s="5">
        <f>0.21*H6</f>
        <v>12742.372881355932</v>
      </c>
      <c r="S6" s="5">
        <f>294*4*4*6</f>
        <v>28224</v>
      </c>
      <c r="T6" s="5">
        <f>H6+Q6+R6</f>
        <v>120513.49898305084</v>
      </c>
      <c r="U6" s="6">
        <v>0</v>
      </c>
      <c r="V6" s="6">
        <f>0.2*H6</f>
        <v>12135.593220338984</v>
      </c>
      <c r="W6" s="6">
        <v>0</v>
      </c>
      <c r="X6" s="6">
        <f>H6+U6+V6</f>
        <v>72813.559322033907</v>
      </c>
      <c r="Y6" s="7">
        <v>0</v>
      </c>
      <c r="Z6" s="7">
        <f>0.21*H6</f>
        <v>12742.372881355932</v>
      </c>
      <c r="AA6" s="7">
        <f>59*4*6</f>
        <v>1416</v>
      </c>
      <c r="AB6" s="7">
        <f>H6+Y6+Y6+Z6</f>
        <v>73420.338983050853</v>
      </c>
      <c r="AC6" s="8">
        <v>0</v>
      </c>
      <c r="AD6" s="8">
        <f>0.2*H6</f>
        <v>12135.593220338984</v>
      </c>
      <c r="AE6" s="8">
        <f>(200+3*140)*7</f>
        <v>4340</v>
      </c>
      <c r="AF6" s="8">
        <f>H6+AC6+AD6</f>
        <v>72813.559322033907</v>
      </c>
      <c r="AG6" s="9">
        <f>0.16*H6</f>
        <v>9708.4745762711864</v>
      </c>
      <c r="AH6" s="9">
        <f>0.24*H6</f>
        <v>14562.71186440678</v>
      </c>
      <c r="AI6" s="9">
        <f>((47.4 + 5.5*12)/100)*365*4*6</f>
        <v>9933.84</v>
      </c>
      <c r="AJ6" s="9">
        <f>H6+AG6+AH6</f>
        <v>84949.152542372889</v>
      </c>
      <c r="AK6" s="10">
        <v>0</v>
      </c>
      <c r="AL6" s="10">
        <f>0.19*H6</f>
        <v>11528.813559322034</v>
      </c>
      <c r="AM6" s="10">
        <f>(2*G6+9.5*(C6/100))*4*6</f>
        <v>8027.4000000000005</v>
      </c>
      <c r="AN6" s="10">
        <f>H6+AK6+AL6</f>
        <v>72206.779661016946</v>
      </c>
    </row>
    <row r="7" spans="1:40" ht="15">
      <c r="A7" t="s">
        <v>9</v>
      </c>
      <c r="B7" s="2" t="s">
        <v>23</v>
      </c>
      <c r="C7" s="2">
        <v>1150</v>
      </c>
      <c r="D7" t="s">
        <v>15</v>
      </c>
      <c r="E7">
        <v>1368</v>
      </c>
      <c r="F7">
        <v>95</v>
      </c>
      <c r="G7">
        <v>133</v>
      </c>
      <c r="H7">
        <f>84900/(1.5*1.18)</f>
        <v>47966.101694915254</v>
      </c>
      <c r="I7" s="3">
        <f>H7*0.5</f>
        <v>23983.050847457627</v>
      </c>
      <c r="J7" s="3">
        <f>(H7+I7)*0.18</f>
        <v>12950.847457627116</v>
      </c>
      <c r="K7" s="3">
        <f>1423*3 + 1067</f>
        <v>5336</v>
      </c>
      <c r="L7" s="3">
        <f>H7+I7+J7</f>
        <v>84899.999999999985</v>
      </c>
      <c r="M7" s="4">
        <f>((5.06*E7-5600)+(47.51*G7-5337))*6</f>
        <v>13823.459999999994</v>
      </c>
      <c r="N7" s="4">
        <f>0.23*(M7+H7)</f>
        <v>14211.599189830507</v>
      </c>
      <c r="O7" s="4">
        <f>(58.04+88.9)*1.15*4*6</f>
        <v>4055.5439999999999</v>
      </c>
      <c r="P7" s="4">
        <f>H7+M7+N7</f>
        <v>76001.160884745754</v>
      </c>
      <c r="Q7" s="5">
        <f>(353+(2*76)+(66*36)+((G7-103+1)*145))*4</f>
        <v>29504</v>
      </c>
      <c r="R7" s="5">
        <f>0.21*H7</f>
        <v>10072.881355932202</v>
      </c>
      <c r="S7" s="5">
        <f>(115*4)*4*6</f>
        <v>11040</v>
      </c>
      <c r="T7" s="5">
        <f>H7+Q7+R7</f>
        <v>87542.983050847455</v>
      </c>
      <c r="U7" s="6">
        <f>(2.5*(G7-120)^2 + 50)*6</f>
        <v>2835</v>
      </c>
      <c r="V7" s="6">
        <f>0.2*H7</f>
        <v>9593.220338983052</v>
      </c>
      <c r="W7" s="6">
        <v>0</v>
      </c>
      <c r="X7" s="6">
        <f>H7+U7+V7</f>
        <v>60394.322033898308</v>
      </c>
      <c r="Y7" s="7">
        <f>0.0475*H7</f>
        <v>2278.3898305084745</v>
      </c>
      <c r="Z7" s="7">
        <f>0.21*H7</f>
        <v>10072.881355932202</v>
      </c>
      <c r="AA7" s="7">
        <f>59*4*6</f>
        <v>1416</v>
      </c>
      <c r="AB7" s="7">
        <f>H7+Y7+Y7+Z7</f>
        <v>62595.762711864401</v>
      </c>
      <c r="AC7" s="8">
        <v>0</v>
      </c>
      <c r="AD7" s="8">
        <f>0.2*H7</f>
        <v>9593.220338983052</v>
      </c>
      <c r="AE7" s="8">
        <f>(140+3*140)*7</f>
        <v>3920</v>
      </c>
      <c r="AF7" s="8">
        <f>H7+AC7+AD7</f>
        <v>57559.322033898308</v>
      </c>
      <c r="AG7" s="9">
        <f>0.22*H7</f>
        <v>10552.542372881357</v>
      </c>
      <c r="AH7" s="9">
        <f>0.24*H7</f>
        <v>11511.864406779661</v>
      </c>
      <c r="AI7" s="9">
        <f>200.75*4*6</f>
        <v>4818</v>
      </c>
      <c r="AJ7" s="9">
        <f>H7+AG7+AH7</f>
        <v>70030.508474576272</v>
      </c>
      <c r="AK7" s="10">
        <v>0</v>
      </c>
      <c r="AL7" s="10">
        <f>0.19*H7</f>
        <v>9113.5593220338978</v>
      </c>
      <c r="AM7" s="10">
        <f>(2*G7+2*(C7/100))*4*6</f>
        <v>6936</v>
      </c>
      <c r="AN7" s="10">
        <f>H7+AK7+AL7</f>
        <v>57079.661016949154</v>
      </c>
    </row>
    <row r="8" spans="1:40" ht="15">
      <c r="A8" t="s">
        <v>53</v>
      </c>
      <c r="B8" s="2" t="s">
        <v>21</v>
      </c>
      <c r="C8" s="2">
        <v>1050</v>
      </c>
      <c r="D8" t="s">
        <v>17</v>
      </c>
      <c r="E8" s="2">
        <v>1798</v>
      </c>
      <c r="F8" s="2">
        <v>122</v>
      </c>
      <c r="G8" s="2">
        <v>87</v>
      </c>
      <c r="H8" s="1">
        <v>90000</v>
      </c>
      <c r="I8" s="3">
        <f>H8*0.5</f>
        <v>45000</v>
      </c>
      <c r="J8" s="3">
        <f>(H8+I8)*0.18</f>
        <v>24300</v>
      </c>
      <c r="K8" s="3">
        <f>2512*3+1964</f>
        <v>9500</v>
      </c>
      <c r="L8" s="3">
        <f>H8+I8+J8</f>
        <v>159300</v>
      </c>
      <c r="M8" s="4">
        <f>((5.06*E8-5600)+(4.18*G8-386))*6*0.6</f>
        <v>12511.943999999996</v>
      </c>
      <c r="N8" s="4">
        <f>0.23*(M8+H8)</f>
        <v>23577.74712</v>
      </c>
      <c r="O8" s="4">
        <f>(115.96+59.33)*1.15*4*6</f>
        <v>4838.0039999999999</v>
      </c>
      <c r="P8" s="4">
        <f>H8+M8+N8</f>
        <v>126089.69111999999</v>
      </c>
      <c r="Q8" s="5">
        <f>(353+(2*73)+((G8-73)*63))*6</f>
        <v>8286</v>
      </c>
      <c r="R8" s="5">
        <f>0.21*H8</f>
        <v>18900</v>
      </c>
      <c r="S8" s="5">
        <f>(94*4)*4*6</f>
        <v>9024</v>
      </c>
      <c r="T8" s="5">
        <f>H8+Q8+R8</f>
        <v>117186</v>
      </c>
      <c r="U8" s="6">
        <v>0</v>
      </c>
      <c r="V8" s="6">
        <f>0.2*H8</f>
        <v>18000</v>
      </c>
      <c r="W8" s="6">
        <v>0</v>
      </c>
      <c r="X8" s="6">
        <f>H8+U8+V8</f>
        <v>108000</v>
      </c>
      <c r="Y8" s="7">
        <v>0</v>
      </c>
      <c r="Z8" s="7">
        <f>0.21*H8</f>
        <v>18900</v>
      </c>
      <c r="AA8" s="7">
        <f>20*4*6</f>
        <v>480</v>
      </c>
      <c r="AB8" s="7">
        <f>H8+Y8+Y8+Z8</f>
        <v>108900</v>
      </c>
      <c r="AC8" s="8">
        <v>0</v>
      </c>
      <c r="AD8" s="8">
        <f>0.2*H8</f>
        <v>18000</v>
      </c>
      <c r="AE8" s="8">
        <f>(95+AH26+3*130)*7</f>
        <v>3395</v>
      </c>
      <c r="AF8" s="8">
        <f>H8+AC8+AD8</f>
        <v>108000</v>
      </c>
      <c r="AG8" s="9">
        <f>0.104*H8</f>
        <v>9360</v>
      </c>
      <c r="AH8" s="9">
        <f>0.24*H8</f>
        <v>21600</v>
      </c>
      <c r="AI8" s="9">
        <f>((41.4 + 0.5*10)/100)*365*4*6</f>
        <v>4064.6399999999994</v>
      </c>
      <c r="AJ8" s="9">
        <f>H8+AG8+AH8</f>
        <v>120960</v>
      </c>
      <c r="AK8" s="10">
        <v>0</v>
      </c>
      <c r="AL8" s="10">
        <f>0.19*H8</f>
        <v>17100</v>
      </c>
      <c r="AM8" s="10">
        <f>(2*G8+2*(C8/100))*4*6</f>
        <v>4680</v>
      </c>
      <c r="AN8" s="10">
        <f>H8+AK8+AL8</f>
        <v>107100</v>
      </c>
    </row>
    <row r="9" spans="1:40" s="13" customFormat="1"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</row>
  </sheetData>
  <mergeCells count="8">
    <mergeCell ref="AC4:AF4"/>
    <mergeCell ref="AG4:AJ4"/>
    <mergeCell ref="AK4:AN4"/>
    <mergeCell ref="I4:L4"/>
    <mergeCell ref="M4:P4"/>
    <mergeCell ref="Q4:T4"/>
    <mergeCell ref="U4:X4"/>
    <mergeCell ref="Y4:AB4"/>
  </mergeCells>
  <hyperlinks>
    <hyperlink ref="K5" r:id="rId1"/>
    <hyperlink ref="AA5" r:id="rId2"/>
    <hyperlink ref="S5" r:id="rId3"/>
    <hyperlink ref="AE5" r:id="rId4" location="calculator"/>
    <hyperlink ref="AI5" r:id="rId5" location="L2P4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H5" sqref="H5"/>
    </sheetView>
  </sheetViews>
  <sheetFormatPr baseColWidth="10" defaultRowHeight="13" x14ac:dyDescent="0"/>
  <cols>
    <col min="1" max="1" width="12.5703125" bestFit="1" customWidth="1"/>
  </cols>
  <sheetData>
    <row r="2" spans="1:10">
      <c r="A2" s="18" t="s">
        <v>27</v>
      </c>
      <c r="B2" s="18" t="s">
        <v>24</v>
      </c>
      <c r="C2" s="18" t="s">
        <v>13</v>
      </c>
      <c r="D2" s="18" t="s">
        <v>19</v>
      </c>
      <c r="E2" s="18" t="s">
        <v>14</v>
      </c>
      <c r="F2" s="18" t="s">
        <v>10</v>
      </c>
      <c r="G2" s="18" t="s">
        <v>26</v>
      </c>
      <c r="H2" t="s">
        <v>25</v>
      </c>
      <c r="I2" t="s">
        <v>16</v>
      </c>
      <c r="J2" t="s">
        <v>44</v>
      </c>
    </row>
    <row r="3" spans="1:10" ht="15">
      <c r="A3" s="18" t="s">
        <v>9</v>
      </c>
      <c r="B3" s="2">
        <v>1205</v>
      </c>
      <c r="C3" s="18" t="s">
        <v>28</v>
      </c>
      <c r="D3" s="18">
        <v>1248</v>
      </c>
      <c r="E3" s="18">
        <v>110</v>
      </c>
      <c r="F3" s="18">
        <v>60677.966099999998</v>
      </c>
      <c r="G3" t="s">
        <v>0</v>
      </c>
      <c r="H3">
        <v>30338.983050847459</v>
      </c>
      <c r="I3">
        <v>16383.050847457627</v>
      </c>
      <c r="J3">
        <v>3021</v>
      </c>
    </row>
    <row r="4" spans="1:10" ht="15">
      <c r="A4" s="18" t="s">
        <v>9</v>
      </c>
      <c r="B4" s="2">
        <v>1150</v>
      </c>
      <c r="C4" s="18" t="s">
        <v>29</v>
      </c>
      <c r="D4" s="18">
        <v>1368</v>
      </c>
      <c r="E4" s="18">
        <v>133</v>
      </c>
      <c r="F4" s="18">
        <v>47966.101690000003</v>
      </c>
      <c r="G4" t="s">
        <v>0</v>
      </c>
      <c r="H4">
        <v>23983.050847457627</v>
      </c>
      <c r="I4">
        <v>12950.847457627116</v>
      </c>
      <c r="J4">
        <v>5336</v>
      </c>
    </row>
    <row r="5" spans="1:10" ht="15">
      <c r="A5" s="18" t="s">
        <v>53</v>
      </c>
      <c r="B5" s="2">
        <v>1050</v>
      </c>
      <c r="C5" s="18" t="s">
        <v>30</v>
      </c>
      <c r="D5" s="2">
        <v>1798</v>
      </c>
      <c r="E5" s="2">
        <v>87</v>
      </c>
      <c r="F5" s="19">
        <v>90000</v>
      </c>
      <c r="G5" t="s">
        <v>0</v>
      </c>
      <c r="H5">
        <v>45000</v>
      </c>
      <c r="I5">
        <v>24300</v>
      </c>
      <c r="J5">
        <v>9500</v>
      </c>
    </row>
    <row r="6" spans="1:10" ht="15">
      <c r="A6" s="18" t="s">
        <v>9</v>
      </c>
      <c r="B6" s="2">
        <v>1205</v>
      </c>
      <c r="C6" s="18" t="s">
        <v>28</v>
      </c>
      <c r="D6" s="18">
        <v>1248</v>
      </c>
      <c r="E6" s="18">
        <v>110</v>
      </c>
      <c r="F6" s="18">
        <v>60677.966099999998</v>
      </c>
      <c r="G6" t="s">
        <v>5</v>
      </c>
      <c r="H6">
        <v>11675.460000000006</v>
      </c>
      <c r="I6">
        <v>16641.288003389836</v>
      </c>
      <c r="J6">
        <v>2435.6999999999998</v>
      </c>
    </row>
    <row r="7" spans="1:10" ht="15">
      <c r="A7" s="18" t="s">
        <v>9</v>
      </c>
      <c r="B7" s="2">
        <v>1150</v>
      </c>
      <c r="C7" s="18" t="s">
        <v>29</v>
      </c>
      <c r="D7" s="18">
        <v>1368</v>
      </c>
      <c r="E7" s="18">
        <v>133</v>
      </c>
      <c r="F7" s="18">
        <v>47966.101690000003</v>
      </c>
      <c r="G7" t="s">
        <v>5</v>
      </c>
      <c r="H7">
        <v>13823.459999999994</v>
      </c>
      <c r="I7">
        <v>14211.599189830507</v>
      </c>
      <c r="J7">
        <v>4055.5439999999999</v>
      </c>
    </row>
    <row r="8" spans="1:10" ht="15">
      <c r="A8" s="18" t="s">
        <v>53</v>
      </c>
      <c r="B8" s="2">
        <v>1050</v>
      </c>
      <c r="C8" s="18" t="s">
        <v>30</v>
      </c>
      <c r="D8" s="2">
        <v>1798</v>
      </c>
      <c r="E8" s="2">
        <v>87</v>
      </c>
      <c r="F8" s="19">
        <v>90000</v>
      </c>
      <c r="G8" t="s">
        <v>5</v>
      </c>
      <c r="H8">
        <v>12511.943999999996</v>
      </c>
      <c r="I8">
        <v>23577.74712</v>
      </c>
      <c r="J8">
        <v>4838.0039999999999</v>
      </c>
    </row>
    <row r="9" spans="1:10" ht="15">
      <c r="A9" s="18" t="s">
        <v>9</v>
      </c>
      <c r="B9" s="2">
        <v>1205</v>
      </c>
      <c r="C9" s="18" t="s">
        <v>28</v>
      </c>
      <c r="D9" s="18">
        <v>1248</v>
      </c>
      <c r="E9" s="18">
        <v>110</v>
      </c>
      <c r="F9" s="18">
        <v>60677.966099999998</v>
      </c>
      <c r="G9" t="s">
        <v>1</v>
      </c>
      <c r="H9">
        <v>47093.159999999996</v>
      </c>
      <c r="I9">
        <v>12742.372881355932</v>
      </c>
      <c r="J9">
        <v>28224</v>
      </c>
    </row>
    <row r="10" spans="1:10" ht="15">
      <c r="A10" s="18" t="s">
        <v>9</v>
      </c>
      <c r="B10" s="2">
        <v>1150</v>
      </c>
      <c r="C10" s="18" t="s">
        <v>29</v>
      </c>
      <c r="D10" s="18">
        <v>1368</v>
      </c>
      <c r="E10" s="18">
        <v>133</v>
      </c>
      <c r="F10" s="18">
        <v>47966.101690000003</v>
      </c>
      <c r="G10" t="s">
        <v>1</v>
      </c>
      <c r="H10">
        <v>29504</v>
      </c>
      <c r="I10">
        <v>10072.881355932202</v>
      </c>
      <c r="J10">
        <v>11040</v>
      </c>
    </row>
    <row r="11" spans="1:10" ht="15">
      <c r="A11" s="18" t="s">
        <v>53</v>
      </c>
      <c r="B11" s="2">
        <v>1050</v>
      </c>
      <c r="C11" s="18" t="s">
        <v>30</v>
      </c>
      <c r="D11" s="2">
        <v>1798</v>
      </c>
      <c r="E11" s="2">
        <v>87</v>
      </c>
      <c r="F11" s="19">
        <v>90000</v>
      </c>
      <c r="G11" t="s">
        <v>1</v>
      </c>
      <c r="H11">
        <v>8286</v>
      </c>
      <c r="I11">
        <v>18900</v>
      </c>
      <c r="J11">
        <v>9024</v>
      </c>
    </row>
    <row r="12" spans="1:10" ht="15">
      <c r="A12" s="18" t="s">
        <v>9</v>
      </c>
      <c r="B12" s="2">
        <v>1205</v>
      </c>
      <c r="C12" s="18" t="s">
        <v>28</v>
      </c>
      <c r="D12" s="18">
        <v>1248</v>
      </c>
      <c r="E12" s="18">
        <v>110</v>
      </c>
      <c r="F12" s="18">
        <v>60677.966099999998</v>
      </c>
      <c r="G12" t="s">
        <v>4</v>
      </c>
      <c r="H12">
        <v>0</v>
      </c>
      <c r="I12">
        <v>12135.593220338984</v>
      </c>
      <c r="J12">
        <v>0</v>
      </c>
    </row>
    <row r="13" spans="1:10" ht="15">
      <c r="A13" s="18" t="s">
        <v>9</v>
      </c>
      <c r="B13" s="2">
        <v>1150</v>
      </c>
      <c r="C13" s="18" t="s">
        <v>29</v>
      </c>
      <c r="D13" s="18">
        <v>1368</v>
      </c>
      <c r="E13" s="18">
        <v>133</v>
      </c>
      <c r="F13" s="18">
        <v>47966.101690000003</v>
      </c>
      <c r="G13" t="s">
        <v>4</v>
      </c>
      <c r="H13">
        <v>2835</v>
      </c>
      <c r="I13">
        <v>9593.220338983052</v>
      </c>
      <c r="J13">
        <v>0</v>
      </c>
    </row>
    <row r="14" spans="1:10" ht="15">
      <c r="A14" s="18" t="s">
        <v>53</v>
      </c>
      <c r="B14" s="2">
        <v>1050</v>
      </c>
      <c r="C14" s="18" t="s">
        <v>30</v>
      </c>
      <c r="D14" s="2">
        <v>1798</v>
      </c>
      <c r="E14" s="2">
        <v>87</v>
      </c>
      <c r="F14" s="19">
        <v>90000</v>
      </c>
      <c r="G14" t="s">
        <v>4</v>
      </c>
      <c r="H14">
        <v>0</v>
      </c>
      <c r="I14">
        <v>18000</v>
      </c>
      <c r="J14">
        <v>0</v>
      </c>
    </row>
    <row r="15" spans="1:10" ht="15">
      <c r="A15" s="18" t="s">
        <v>9</v>
      </c>
      <c r="B15" s="2">
        <v>1205</v>
      </c>
      <c r="C15" s="18" t="s">
        <v>28</v>
      </c>
      <c r="D15" s="18">
        <v>1248</v>
      </c>
      <c r="E15" s="18">
        <v>110</v>
      </c>
      <c r="F15" s="18">
        <v>60677.966099999998</v>
      </c>
      <c r="G15" t="s">
        <v>6</v>
      </c>
      <c r="H15">
        <v>0</v>
      </c>
      <c r="I15">
        <v>12742.372881355932</v>
      </c>
      <c r="J15">
        <v>1416</v>
      </c>
    </row>
    <row r="16" spans="1:10" ht="15">
      <c r="A16" s="18" t="s">
        <v>9</v>
      </c>
      <c r="B16" s="2">
        <v>1150</v>
      </c>
      <c r="C16" s="18" t="s">
        <v>29</v>
      </c>
      <c r="D16" s="18">
        <v>1368</v>
      </c>
      <c r="E16" s="18">
        <v>133</v>
      </c>
      <c r="F16" s="18">
        <v>47966.101690000003</v>
      </c>
      <c r="G16" t="s">
        <v>6</v>
      </c>
      <c r="H16">
        <v>2278.3898305084745</v>
      </c>
      <c r="I16">
        <v>10072.881355932202</v>
      </c>
      <c r="J16">
        <v>1416</v>
      </c>
    </row>
    <row r="17" spans="1:10" ht="15">
      <c r="A17" s="18" t="s">
        <v>53</v>
      </c>
      <c r="B17" s="2">
        <v>1050</v>
      </c>
      <c r="C17" s="18" t="s">
        <v>30</v>
      </c>
      <c r="D17" s="2">
        <v>1798</v>
      </c>
      <c r="E17" s="2">
        <v>87</v>
      </c>
      <c r="F17" s="19">
        <v>90000</v>
      </c>
      <c r="G17" t="s">
        <v>6</v>
      </c>
      <c r="H17">
        <v>0</v>
      </c>
      <c r="I17">
        <v>18900</v>
      </c>
      <c r="J17">
        <v>480</v>
      </c>
    </row>
    <row r="18" spans="1:10" ht="15">
      <c r="A18" s="18" t="s">
        <v>9</v>
      </c>
      <c r="B18" s="2">
        <v>1205</v>
      </c>
      <c r="C18" s="18" t="s">
        <v>28</v>
      </c>
      <c r="D18" s="18">
        <v>1248</v>
      </c>
      <c r="E18" s="18">
        <v>110</v>
      </c>
      <c r="F18" s="18">
        <v>60677.966099999998</v>
      </c>
      <c r="G18" t="s">
        <v>8</v>
      </c>
      <c r="H18">
        <v>0</v>
      </c>
      <c r="I18">
        <v>12135.593220338984</v>
      </c>
      <c r="J18">
        <v>4340</v>
      </c>
    </row>
    <row r="19" spans="1:10" ht="15">
      <c r="A19" s="18" t="s">
        <v>9</v>
      </c>
      <c r="B19" s="2">
        <v>1150</v>
      </c>
      <c r="C19" s="18" t="s">
        <v>29</v>
      </c>
      <c r="D19" s="18">
        <v>1368</v>
      </c>
      <c r="E19" s="18">
        <v>133</v>
      </c>
      <c r="F19" s="18">
        <v>47966.101690000003</v>
      </c>
      <c r="G19" t="s">
        <v>8</v>
      </c>
      <c r="H19">
        <v>0</v>
      </c>
      <c r="I19">
        <v>9593.220338983052</v>
      </c>
      <c r="J19">
        <v>3920</v>
      </c>
    </row>
    <row r="20" spans="1:10" ht="15">
      <c r="A20" s="18" t="s">
        <v>53</v>
      </c>
      <c r="B20" s="2">
        <v>1050</v>
      </c>
      <c r="C20" s="18" t="s">
        <v>30</v>
      </c>
      <c r="D20" s="2">
        <v>1798</v>
      </c>
      <c r="E20" s="2">
        <v>87</v>
      </c>
      <c r="F20" s="19">
        <v>90000</v>
      </c>
      <c r="G20" t="s">
        <v>8</v>
      </c>
      <c r="H20">
        <v>0</v>
      </c>
      <c r="I20">
        <v>18000</v>
      </c>
      <c r="J20">
        <v>3395</v>
      </c>
    </row>
    <row r="21" spans="1:10" ht="15">
      <c r="A21" s="18" t="s">
        <v>9</v>
      </c>
      <c r="B21" s="2">
        <v>1205</v>
      </c>
      <c r="C21" s="18" t="s">
        <v>28</v>
      </c>
      <c r="D21" s="18">
        <v>1248</v>
      </c>
      <c r="E21" s="18">
        <v>110</v>
      </c>
      <c r="F21" s="18">
        <v>60677.966099999998</v>
      </c>
      <c r="G21" t="s">
        <v>3</v>
      </c>
      <c r="H21">
        <v>9708.4745762711864</v>
      </c>
      <c r="I21">
        <v>14562.71186440678</v>
      </c>
      <c r="J21">
        <v>9933.84</v>
      </c>
    </row>
    <row r="22" spans="1:10" ht="15">
      <c r="A22" s="18" t="s">
        <v>9</v>
      </c>
      <c r="B22" s="2">
        <v>1150</v>
      </c>
      <c r="C22" s="18" t="s">
        <v>29</v>
      </c>
      <c r="D22" s="18">
        <v>1368</v>
      </c>
      <c r="E22" s="18">
        <v>133</v>
      </c>
      <c r="F22" s="18">
        <v>47966.101690000003</v>
      </c>
      <c r="G22" t="s">
        <v>3</v>
      </c>
      <c r="H22">
        <v>10552.542372881357</v>
      </c>
      <c r="I22">
        <v>11511.864406779661</v>
      </c>
      <c r="J22">
        <v>4818</v>
      </c>
    </row>
    <row r="23" spans="1:10" ht="15">
      <c r="A23" s="18" t="s">
        <v>53</v>
      </c>
      <c r="B23" s="2">
        <v>1050</v>
      </c>
      <c r="C23" s="18" t="s">
        <v>30</v>
      </c>
      <c r="D23" s="2">
        <v>1798</v>
      </c>
      <c r="E23" s="2">
        <v>87</v>
      </c>
      <c r="F23" s="19">
        <v>90000</v>
      </c>
      <c r="G23" t="s">
        <v>3</v>
      </c>
      <c r="H23">
        <v>9360</v>
      </c>
      <c r="I23">
        <v>21600</v>
      </c>
      <c r="J23">
        <v>4064.6399999999994</v>
      </c>
    </row>
    <row r="24" spans="1:10" ht="15">
      <c r="A24" s="18" t="s">
        <v>9</v>
      </c>
      <c r="B24" s="2">
        <v>1205</v>
      </c>
      <c r="C24" s="18" t="s">
        <v>28</v>
      </c>
      <c r="D24" s="18">
        <v>1248</v>
      </c>
      <c r="E24" s="18">
        <v>110</v>
      </c>
      <c r="F24" s="18">
        <v>60677.966099999998</v>
      </c>
      <c r="G24" t="s">
        <v>2</v>
      </c>
      <c r="H24">
        <v>0</v>
      </c>
      <c r="I24">
        <v>11528.813559322034</v>
      </c>
      <c r="J24">
        <v>8027.4000000000005</v>
      </c>
    </row>
    <row r="25" spans="1:10" ht="15">
      <c r="A25" s="18" t="s">
        <v>9</v>
      </c>
      <c r="B25" s="2">
        <v>1150</v>
      </c>
      <c r="C25" s="18" t="s">
        <v>29</v>
      </c>
      <c r="D25" s="18">
        <v>1368</v>
      </c>
      <c r="E25" s="18">
        <v>133</v>
      </c>
      <c r="F25" s="18">
        <v>47966.101690000003</v>
      </c>
      <c r="G25" t="s">
        <v>2</v>
      </c>
      <c r="H25">
        <v>0</v>
      </c>
      <c r="I25">
        <v>9113.5593220338978</v>
      </c>
      <c r="J25">
        <v>6936</v>
      </c>
    </row>
    <row r="26" spans="1:10" ht="15">
      <c r="A26" s="18" t="s">
        <v>53</v>
      </c>
      <c r="B26" s="2">
        <v>1050</v>
      </c>
      <c r="C26" s="18" t="s">
        <v>30</v>
      </c>
      <c r="D26" s="2">
        <v>1798</v>
      </c>
      <c r="E26" s="2">
        <v>87</v>
      </c>
      <c r="F26" s="19">
        <v>90000</v>
      </c>
      <c r="G26" t="s">
        <v>2</v>
      </c>
      <c r="H26">
        <v>0</v>
      </c>
      <c r="I26">
        <v>17100</v>
      </c>
      <c r="J26">
        <v>4680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F20" sqref="F20"/>
    </sheetView>
  </sheetViews>
  <sheetFormatPr baseColWidth="10" defaultRowHeight="13" x14ac:dyDescent="0"/>
  <sheetData>
    <row r="1" spans="1:4">
      <c r="C1" s="18"/>
    </row>
    <row r="2" spans="1:4" ht="15">
      <c r="A2" s="20" t="s">
        <v>31</v>
      </c>
      <c r="B2" s="20" t="s">
        <v>33</v>
      </c>
      <c r="C2" s="20" t="s">
        <v>32</v>
      </c>
      <c r="D2" s="20" t="s">
        <v>34</v>
      </c>
    </row>
    <row r="3" spans="1:4" ht="15">
      <c r="A3" s="21">
        <v>0</v>
      </c>
      <c r="B3" s="21">
        <v>1</v>
      </c>
      <c r="C3" s="26">
        <v>743</v>
      </c>
      <c r="D3">
        <v>1</v>
      </c>
    </row>
    <row r="4" spans="1:4" ht="15">
      <c r="A4" s="21">
        <v>0</v>
      </c>
      <c r="B4" s="21">
        <v>1</v>
      </c>
      <c r="C4" s="26">
        <v>817</v>
      </c>
      <c r="D4">
        <v>2</v>
      </c>
    </row>
    <row r="5" spans="1:4" ht="14">
      <c r="A5" s="22">
        <v>2</v>
      </c>
      <c r="B5" s="22">
        <v>1</v>
      </c>
      <c r="C5" s="26">
        <v>743</v>
      </c>
      <c r="D5" s="18">
        <v>2</v>
      </c>
    </row>
    <row r="6" spans="1:4" ht="15">
      <c r="A6" s="21">
        <v>0</v>
      </c>
      <c r="B6" s="21">
        <v>1</v>
      </c>
      <c r="C6" s="26">
        <v>892</v>
      </c>
      <c r="D6">
        <v>3</v>
      </c>
    </row>
    <row r="7" spans="1:4" ht="15">
      <c r="A7" s="21">
        <v>2</v>
      </c>
      <c r="B7" s="21">
        <v>1</v>
      </c>
      <c r="C7" s="26">
        <v>743</v>
      </c>
      <c r="D7">
        <v>3</v>
      </c>
    </row>
    <row r="8" spans="1:4" ht="15">
      <c r="A8" s="21">
        <v>0</v>
      </c>
      <c r="B8" s="21">
        <v>2</v>
      </c>
      <c r="C8" s="26">
        <v>1294</v>
      </c>
      <c r="D8">
        <v>1</v>
      </c>
    </row>
    <row r="9" spans="1:4" ht="15">
      <c r="A9" s="21">
        <v>0</v>
      </c>
      <c r="B9" s="21">
        <v>2</v>
      </c>
      <c r="C9" s="26">
        <v>1423</v>
      </c>
      <c r="D9">
        <v>2</v>
      </c>
    </row>
    <row r="10" spans="1:4" ht="15">
      <c r="A10" s="21">
        <v>2</v>
      </c>
      <c r="B10" s="21">
        <v>2</v>
      </c>
      <c r="C10" s="2">
        <v>1294</v>
      </c>
      <c r="D10">
        <v>2</v>
      </c>
    </row>
    <row r="11" spans="1:4" ht="15">
      <c r="A11" s="21">
        <v>0</v>
      </c>
      <c r="B11" s="21">
        <v>2</v>
      </c>
      <c r="C11" s="26">
        <v>1553</v>
      </c>
      <c r="D11">
        <v>3</v>
      </c>
    </row>
    <row r="12" spans="1:4" ht="15">
      <c r="A12" s="21">
        <v>2</v>
      </c>
      <c r="B12" s="21">
        <v>2</v>
      </c>
      <c r="C12" s="2">
        <v>1294</v>
      </c>
      <c r="D12">
        <v>3</v>
      </c>
    </row>
    <row r="13" spans="1:4" ht="15">
      <c r="A13" s="21">
        <v>0</v>
      </c>
      <c r="B13" s="21">
        <v>3</v>
      </c>
      <c r="C13" s="27">
        <v>3711.35</v>
      </c>
      <c r="D13">
        <v>1</v>
      </c>
    </row>
    <row r="14" spans="1:4" ht="15">
      <c r="A14" s="21">
        <v>0</v>
      </c>
      <c r="B14" s="21">
        <v>3</v>
      </c>
      <c r="C14" s="27">
        <v>4049.08</v>
      </c>
      <c r="D14">
        <v>2</v>
      </c>
    </row>
    <row r="15" spans="1:4" ht="15">
      <c r="A15" s="21">
        <v>2</v>
      </c>
      <c r="B15" s="21">
        <v>3</v>
      </c>
      <c r="C15" s="2">
        <v>3374.62</v>
      </c>
      <c r="D15">
        <v>2</v>
      </c>
    </row>
    <row r="16" spans="1:4" ht="15">
      <c r="A16" s="21">
        <v>0</v>
      </c>
      <c r="B16" s="21">
        <v>4</v>
      </c>
      <c r="C16" s="28">
        <v>8149.54</v>
      </c>
      <c r="D16">
        <v>1</v>
      </c>
    </row>
    <row r="17" spans="1:4" ht="15">
      <c r="A17" s="21">
        <v>0</v>
      </c>
      <c r="B17" s="21">
        <v>4</v>
      </c>
      <c r="C17" s="28">
        <v>9244.81</v>
      </c>
      <c r="D17">
        <v>2</v>
      </c>
    </row>
    <row r="18" spans="1:4" ht="15">
      <c r="A18" s="21">
        <v>2</v>
      </c>
      <c r="B18" s="23">
        <v>4</v>
      </c>
      <c r="C18" s="2">
        <v>7703.67</v>
      </c>
      <c r="D18">
        <v>2</v>
      </c>
    </row>
    <row r="19" spans="1:4" ht="15">
      <c r="A19" s="21">
        <v>1</v>
      </c>
      <c r="B19" s="21">
        <v>1</v>
      </c>
      <c r="C19" s="26">
        <v>743</v>
      </c>
      <c r="D19">
        <v>1</v>
      </c>
    </row>
    <row r="20" spans="1:4" ht="15">
      <c r="A20" s="21">
        <v>1</v>
      </c>
      <c r="B20" s="21">
        <v>1</v>
      </c>
      <c r="C20" s="26">
        <v>817</v>
      </c>
      <c r="D20">
        <v>2</v>
      </c>
    </row>
    <row r="21" spans="1:4" ht="15">
      <c r="A21" s="21">
        <v>1</v>
      </c>
      <c r="B21" s="21">
        <v>1</v>
      </c>
      <c r="C21" s="26">
        <v>892</v>
      </c>
      <c r="D21">
        <v>3</v>
      </c>
    </row>
    <row r="22" spans="1:4" ht="15">
      <c r="A22" s="21">
        <v>1</v>
      </c>
      <c r="B22" s="21">
        <v>2</v>
      </c>
      <c r="C22" s="26">
        <v>1294</v>
      </c>
      <c r="D22">
        <v>1</v>
      </c>
    </row>
    <row r="23" spans="1:4" ht="15">
      <c r="A23" s="21">
        <v>1</v>
      </c>
      <c r="B23" s="21">
        <v>2</v>
      </c>
      <c r="C23" s="26">
        <v>1423</v>
      </c>
      <c r="D23">
        <v>2</v>
      </c>
    </row>
    <row r="24" spans="1:4" ht="15">
      <c r="A24" s="21">
        <v>1</v>
      </c>
      <c r="B24" s="21">
        <v>2</v>
      </c>
      <c r="C24" s="26">
        <v>1553</v>
      </c>
      <c r="D24">
        <v>3</v>
      </c>
    </row>
    <row r="25" spans="1:4" ht="15">
      <c r="A25" s="21">
        <v>1</v>
      </c>
      <c r="B25" s="21">
        <v>3</v>
      </c>
      <c r="C25" s="27">
        <v>3711.35</v>
      </c>
      <c r="D25">
        <v>1</v>
      </c>
    </row>
    <row r="26" spans="1:4" ht="15">
      <c r="A26" s="21">
        <v>1</v>
      </c>
      <c r="B26" s="21">
        <v>3</v>
      </c>
      <c r="C26" s="27">
        <v>4049.08</v>
      </c>
      <c r="D26">
        <v>2</v>
      </c>
    </row>
    <row r="27" spans="1:4" ht="15">
      <c r="A27" s="21">
        <v>1</v>
      </c>
      <c r="B27" s="21">
        <v>4</v>
      </c>
      <c r="C27" s="28">
        <v>8149.54</v>
      </c>
      <c r="D27">
        <v>1</v>
      </c>
    </row>
    <row r="28" spans="1:4" ht="15">
      <c r="A28" s="21">
        <v>1</v>
      </c>
      <c r="B28" s="21">
        <v>4</v>
      </c>
      <c r="C28" s="28">
        <v>9244.81</v>
      </c>
      <c r="D28">
        <v>2</v>
      </c>
    </row>
    <row r="29" spans="1:4" ht="15">
      <c r="A29" s="21"/>
      <c r="B29" s="23"/>
      <c r="C29" s="22"/>
    </row>
    <row r="30" spans="1:4" ht="15">
      <c r="A30" s="21"/>
      <c r="B30" s="23"/>
      <c r="C30" s="22"/>
    </row>
    <row r="31" spans="1:4" ht="15">
      <c r="A31" s="21"/>
      <c r="B31" s="23"/>
      <c r="C31" s="22"/>
    </row>
    <row r="32" spans="1:4" ht="15">
      <c r="A32" s="21"/>
      <c r="B32" s="23"/>
      <c r="C32" s="22"/>
    </row>
    <row r="33" spans="1:3" ht="15">
      <c r="A33" s="21"/>
      <c r="B33" s="23"/>
      <c r="C33" s="22"/>
    </row>
    <row r="34" spans="1:3" ht="15">
      <c r="A34" s="21"/>
      <c r="B34" s="23"/>
      <c r="C34" s="22"/>
    </row>
    <row r="35" spans="1:3" ht="15">
      <c r="A35" s="21"/>
      <c r="B35" s="23"/>
      <c r="C35" s="22"/>
    </row>
    <row r="36" spans="1:3" ht="15">
      <c r="A36" s="21"/>
      <c r="B36" s="23"/>
      <c r="C36" s="22"/>
    </row>
    <row r="37" spans="1:3" ht="15">
      <c r="A37" s="21"/>
      <c r="B37" s="23"/>
      <c r="C37" s="22"/>
    </row>
    <row r="38" spans="1:3" ht="15">
      <c r="A38" s="21"/>
      <c r="B38" s="23"/>
      <c r="C38" s="22"/>
    </row>
    <row r="39" spans="1:3" ht="15">
      <c r="A39" s="21"/>
      <c r="B39" s="23"/>
      <c r="C39" s="22"/>
    </row>
    <row r="40" spans="1:3" ht="15">
      <c r="A40" s="21"/>
      <c r="B40" s="23"/>
      <c r="C40" s="22"/>
    </row>
    <row r="41" spans="1:3" ht="15">
      <c r="A41" s="21"/>
      <c r="B41" s="23"/>
      <c r="C41" s="22"/>
    </row>
    <row r="42" spans="1:3" ht="15">
      <c r="A42" s="21"/>
      <c r="B42" s="23"/>
      <c r="C42" s="22"/>
    </row>
    <row r="43" spans="1:3" ht="15">
      <c r="A43" s="21"/>
      <c r="B43" s="23"/>
      <c r="C43" s="22"/>
    </row>
    <row r="44" spans="1:3" ht="15">
      <c r="A44" s="21"/>
      <c r="B44" s="23"/>
      <c r="C44" s="22"/>
    </row>
    <row r="45" spans="1:3" ht="15">
      <c r="A45" s="21"/>
      <c r="B45" s="23"/>
      <c r="C45" s="22"/>
    </row>
    <row r="46" spans="1:3" ht="15">
      <c r="A46" s="21"/>
      <c r="B46" s="23"/>
      <c r="C46" s="22"/>
    </row>
    <row r="47" spans="1:3" ht="15">
      <c r="A47" s="21"/>
      <c r="B47" s="23"/>
      <c r="C47" s="22"/>
    </row>
    <row r="48" spans="1:3" ht="15">
      <c r="A48" s="21"/>
      <c r="B48" s="23"/>
      <c r="C48" s="22"/>
    </row>
    <row r="49" spans="1:3" ht="15">
      <c r="A49" s="21"/>
      <c r="B49" s="23"/>
      <c r="C49" s="22"/>
    </row>
    <row r="50" spans="1:3" ht="15">
      <c r="A50" s="21"/>
      <c r="B50" s="23"/>
      <c r="C50" s="22"/>
    </row>
    <row r="51" spans="1:3" ht="15">
      <c r="A51" s="21"/>
      <c r="B51" s="23"/>
      <c r="C51" s="22"/>
    </row>
    <row r="52" spans="1:3" ht="15">
      <c r="A52" s="21"/>
      <c r="B52" s="23"/>
      <c r="C52" s="22"/>
    </row>
  </sheetData>
  <autoFilter ref="A2:D28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6" sqref="G6:G7"/>
    </sheetView>
  </sheetViews>
  <sheetFormatPr baseColWidth="10" defaultRowHeight="13" x14ac:dyDescent="0"/>
  <sheetData>
    <row r="1" spans="1:7">
      <c r="A1" t="s">
        <v>43</v>
      </c>
      <c r="B1" t="s">
        <v>35</v>
      </c>
      <c r="C1" t="s">
        <v>36</v>
      </c>
      <c r="D1" t="s">
        <v>37</v>
      </c>
    </row>
    <row r="2" spans="1:7">
      <c r="A2">
        <v>1</v>
      </c>
      <c r="B2">
        <v>2512</v>
      </c>
      <c r="C2">
        <v>3957</v>
      </c>
      <c r="D2">
        <f>0.17*B2+0.83*C2</f>
        <v>3711.35</v>
      </c>
    </row>
    <row r="3" spans="1:7">
      <c r="A3">
        <v>2</v>
      </c>
      <c r="B3">
        <v>2741</v>
      </c>
      <c r="C3">
        <v>4317</v>
      </c>
      <c r="D3">
        <f>0.17*B3+0.83*C3</f>
        <v>4049.08</v>
      </c>
    </row>
    <row r="5" spans="1:7">
      <c r="B5" t="s">
        <v>38</v>
      </c>
      <c r="C5" t="s">
        <v>39</v>
      </c>
      <c r="D5" t="s">
        <v>40</v>
      </c>
      <c r="E5" t="s">
        <v>41</v>
      </c>
      <c r="F5" t="s">
        <v>42</v>
      </c>
      <c r="G5" t="s">
        <v>37</v>
      </c>
    </row>
    <row r="6" spans="1:7">
      <c r="A6">
        <v>1</v>
      </c>
      <c r="B6" s="24">
        <v>5936</v>
      </c>
      <c r="C6" s="24">
        <v>8276</v>
      </c>
      <c r="D6" s="24">
        <v>12603</v>
      </c>
      <c r="E6" s="24">
        <v>19815</v>
      </c>
      <c r="F6" s="25">
        <v>21617</v>
      </c>
      <c r="G6">
        <f>B6*0.41+C6*0.51+D6*0.02+E6*0.03+F6*0.03</f>
        <v>8149.5400000000009</v>
      </c>
    </row>
    <row r="7" spans="1:7">
      <c r="A7">
        <v>2</v>
      </c>
      <c r="B7" s="24">
        <v>6476</v>
      </c>
      <c r="C7" s="24">
        <v>9029</v>
      </c>
      <c r="D7" s="24">
        <v>13749</v>
      </c>
      <c r="E7" s="24">
        <v>21617</v>
      </c>
      <c r="F7" s="24">
        <v>35379</v>
      </c>
      <c r="G7">
        <f>B7*0.41+C7*0.51+D7*0.02+E7*0.03+F7*0.03</f>
        <v>9244.8100000000013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G4" sqref="G4"/>
    </sheetView>
  </sheetViews>
  <sheetFormatPr baseColWidth="10" defaultRowHeight="13" x14ac:dyDescent="0"/>
  <sheetData>
    <row r="2" spans="1:10">
      <c r="A2" s="18" t="s">
        <v>27</v>
      </c>
      <c r="B2" s="18" t="s">
        <v>24</v>
      </c>
      <c r="C2" s="18" t="s">
        <v>13</v>
      </c>
      <c r="D2" s="18" t="s">
        <v>19</v>
      </c>
      <c r="E2" s="18" t="s">
        <v>14</v>
      </c>
      <c r="F2" s="18" t="s">
        <v>10</v>
      </c>
      <c r="G2" s="18" t="s">
        <v>26</v>
      </c>
      <c r="H2" t="s">
        <v>25</v>
      </c>
      <c r="I2" t="s">
        <v>16</v>
      </c>
      <c r="J2" t="s">
        <v>44</v>
      </c>
    </row>
    <row r="3" spans="1:10" ht="15">
      <c r="A3" s="18" t="s">
        <v>9</v>
      </c>
      <c r="B3" s="2">
        <v>1205</v>
      </c>
      <c r="C3" s="18" t="s">
        <v>28</v>
      </c>
      <c r="D3" s="18">
        <v>1248</v>
      </c>
      <c r="E3" s="18">
        <v>110</v>
      </c>
      <c r="F3" s="18">
        <v>60677.966099999998</v>
      </c>
      <c r="G3" t="s">
        <v>45</v>
      </c>
      <c r="H3">
        <v>30338.983050847459</v>
      </c>
      <c r="I3">
        <v>16383.050847457627</v>
      </c>
      <c r="J3">
        <v>3021</v>
      </c>
    </row>
    <row r="4" spans="1:10" ht="15">
      <c r="A4" s="18" t="s">
        <v>9</v>
      </c>
      <c r="B4" s="2">
        <v>1150</v>
      </c>
      <c r="C4" s="18" t="s">
        <v>29</v>
      </c>
      <c r="D4" s="18">
        <v>1368</v>
      </c>
      <c r="E4" s="18">
        <v>133</v>
      </c>
      <c r="F4" s="18">
        <v>47966.101690000003</v>
      </c>
      <c r="G4" t="s">
        <v>45</v>
      </c>
      <c r="H4">
        <v>23983.050847457627</v>
      </c>
      <c r="I4">
        <v>12950.847457627116</v>
      </c>
      <c r="J4">
        <v>5336</v>
      </c>
    </row>
    <row r="5" spans="1:10" ht="15">
      <c r="A5" s="18" t="s">
        <v>53</v>
      </c>
      <c r="B5" s="2">
        <v>1050</v>
      </c>
      <c r="C5" s="18" t="s">
        <v>30</v>
      </c>
      <c r="D5" s="2">
        <v>1798</v>
      </c>
      <c r="E5" s="2">
        <v>87</v>
      </c>
      <c r="F5" s="19">
        <v>90000</v>
      </c>
      <c r="G5" t="s">
        <v>45</v>
      </c>
      <c r="H5">
        <v>45000</v>
      </c>
      <c r="I5">
        <v>24300</v>
      </c>
      <c r="J5">
        <v>9500</v>
      </c>
    </row>
    <row r="6" spans="1:10" ht="15">
      <c r="A6" s="18" t="s">
        <v>9</v>
      </c>
      <c r="B6" s="2">
        <v>1205</v>
      </c>
      <c r="C6" s="18" t="s">
        <v>28</v>
      </c>
      <c r="D6" s="18">
        <v>1248</v>
      </c>
      <c r="E6" s="18">
        <v>110</v>
      </c>
      <c r="F6" s="18">
        <v>60677.966099999998</v>
      </c>
      <c r="G6" t="s">
        <v>46</v>
      </c>
      <c r="H6">
        <v>11675.460000000006</v>
      </c>
      <c r="I6">
        <v>16641.288003389836</v>
      </c>
      <c r="J6">
        <v>2435.6999999999998</v>
      </c>
    </row>
    <row r="7" spans="1:10" ht="15">
      <c r="A7" s="18" t="s">
        <v>9</v>
      </c>
      <c r="B7" s="2">
        <v>1150</v>
      </c>
      <c r="C7" s="18" t="s">
        <v>29</v>
      </c>
      <c r="D7" s="18">
        <v>1368</v>
      </c>
      <c r="E7" s="18">
        <v>133</v>
      </c>
      <c r="F7" s="18">
        <v>47966.101690000003</v>
      </c>
      <c r="G7" t="s">
        <v>46</v>
      </c>
      <c r="H7">
        <v>13823.459999999994</v>
      </c>
      <c r="I7">
        <v>14211.599189830507</v>
      </c>
      <c r="J7">
        <v>4055.5439999999999</v>
      </c>
    </row>
    <row r="8" spans="1:10" ht="15">
      <c r="A8" s="18" t="s">
        <v>53</v>
      </c>
      <c r="B8" s="2">
        <v>1050</v>
      </c>
      <c r="C8" s="18" t="s">
        <v>30</v>
      </c>
      <c r="D8" s="2">
        <v>1798</v>
      </c>
      <c r="E8" s="2">
        <v>87</v>
      </c>
      <c r="F8" s="19">
        <v>90000</v>
      </c>
      <c r="G8" t="s">
        <v>46</v>
      </c>
      <c r="H8">
        <v>12511.943999999996</v>
      </c>
      <c r="I8">
        <v>23577.74712</v>
      </c>
      <c r="J8">
        <v>4838.0039999999999</v>
      </c>
    </row>
    <row r="9" spans="1:10" ht="15">
      <c r="A9" s="18" t="s">
        <v>9</v>
      </c>
      <c r="B9" s="2">
        <v>1205</v>
      </c>
      <c r="C9" s="18" t="s">
        <v>28</v>
      </c>
      <c r="D9" s="18">
        <v>1248</v>
      </c>
      <c r="E9" s="18">
        <v>110</v>
      </c>
      <c r="F9" s="18">
        <v>60677.966099999998</v>
      </c>
      <c r="G9" t="s">
        <v>47</v>
      </c>
      <c r="H9">
        <v>47093.159999999996</v>
      </c>
      <c r="I9">
        <v>12742.372881355932</v>
      </c>
      <c r="J9">
        <v>28224</v>
      </c>
    </row>
    <row r="10" spans="1:10" ht="15">
      <c r="A10" s="18" t="s">
        <v>9</v>
      </c>
      <c r="B10" s="2">
        <v>1150</v>
      </c>
      <c r="C10" s="18" t="s">
        <v>29</v>
      </c>
      <c r="D10" s="18">
        <v>1368</v>
      </c>
      <c r="E10" s="18">
        <v>133</v>
      </c>
      <c r="F10" s="18">
        <v>47966.101690000003</v>
      </c>
      <c r="G10" t="s">
        <v>47</v>
      </c>
      <c r="H10">
        <v>29504</v>
      </c>
      <c r="I10">
        <v>10072.881355932202</v>
      </c>
      <c r="J10">
        <v>11040</v>
      </c>
    </row>
    <row r="11" spans="1:10" ht="15">
      <c r="A11" s="18" t="s">
        <v>53</v>
      </c>
      <c r="B11" s="2">
        <v>1050</v>
      </c>
      <c r="C11" s="18" t="s">
        <v>30</v>
      </c>
      <c r="D11" s="2">
        <v>1798</v>
      </c>
      <c r="E11" s="2">
        <v>87</v>
      </c>
      <c r="F11" s="19">
        <v>90000</v>
      </c>
      <c r="G11" t="s">
        <v>47</v>
      </c>
      <c r="H11">
        <v>8286</v>
      </c>
      <c r="I11">
        <v>18900</v>
      </c>
      <c r="J11">
        <v>9024</v>
      </c>
    </row>
    <row r="12" spans="1:10" ht="15">
      <c r="A12" s="18" t="s">
        <v>9</v>
      </c>
      <c r="B12" s="2">
        <v>1205</v>
      </c>
      <c r="C12" s="18" t="s">
        <v>28</v>
      </c>
      <c r="D12" s="18">
        <v>1248</v>
      </c>
      <c r="E12" s="18">
        <v>110</v>
      </c>
      <c r="F12" s="18">
        <v>60677.966099999998</v>
      </c>
      <c r="G12" t="s">
        <v>48</v>
      </c>
      <c r="H12">
        <v>0</v>
      </c>
      <c r="I12">
        <v>12135.593220338984</v>
      </c>
      <c r="J12">
        <v>0</v>
      </c>
    </row>
    <row r="13" spans="1:10" ht="15">
      <c r="A13" s="18" t="s">
        <v>9</v>
      </c>
      <c r="B13" s="2">
        <v>1150</v>
      </c>
      <c r="C13" s="18" t="s">
        <v>29</v>
      </c>
      <c r="D13" s="18">
        <v>1368</v>
      </c>
      <c r="E13" s="18">
        <v>133</v>
      </c>
      <c r="F13" s="18">
        <v>47966.101690000003</v>
      </c>
      <c r="G13" t="s">
        <v>48</v>
      </c>
      <c r="H13">
        <v>2835</v>
      </c>
      <c r="I13">
        <v>9593.220338983052</v>
      </c>
      <c r="J13">
        <v>0</v>
      </c>
    </row>
    <row r="14" spans="1:10" ht="15">
      <c r="A14" s="18" t="s">
        <v>53</v>
      </c>
      <c r="B14" s="2">
        <v>1050</v>
      </c>
      <c r="C14" s="18" t="s">
        <v>30</v>
      </c>
      <c r="D14" s="2">
        <v>1798</v>
      </c>
      <c r="E14" s="2">
        <v>87</v>
      </c>
      <c r="F14" s="19">
        <v>90000</v>
      </c>
      <c r="G14" t="s">
        <v>48</v>
      </c>
      <c r="H14">
        <v>0</v>
      </c>
      <c r="I14">
        <v>18000</v>
      </c>
      <c r="J14">
        <v>0</v>
      </c>
    </row>
    <row r="15" spans="1:10" ht="15">
      <c r="A15" s="18" t="s">
        <v>9</v>
      </c>
      <c r="B15" s="2">
        <v>1205</v>
      </c>
      <c r="C15" s="18" t="s">
        <v>28</v>
      </c>
      <c r="D15" s="18">
        <v>1248</v>
      </c>
      <c r="E15" s="18">
        <v>110</v>
      </c>
      <c r="F15" s="18">
        <v>60677.966099999998</v>
      </c>
      <c r="G15" t="s">
        <v>49</v>
      </c>
      <c r="H15">
        <v>0</v>
      </c>
      <c r="I15">
        <v>12742.372881355932</v>
      </c>
      <c r="J15">
        <v>1416</v>
      </c>
    </row>
    <row r="16" spans="1:10" ht="15">
      <c r="A16" s="18" t="s">
        <v>9</v>
      </c>
      <c r="B16" s="2">
        <v>1150</v>
      </c>
      <c r="C16" s="18" t="s">
        <v>29</v>
      </c>
      <c r="D16" s="18">
        <v>1368</v>
      </c>
      <c r="E16" s="18">
        <v>133</v>
      </c>
      <c r="F16" s="18">
        <v>47966.101690000003</v>
      </c>
      <c r="G16" t="s">
        <v>49</v>
      </c>
      <c r="H16">
        <v>2278.3898305084745</v>
      </c>
      <c r="I16">
        <v>10072.881355932202</v>
      </c>
      <c r="J16">
        <v>1416</v>
      </c>
    </row>
    <row r="17" spans="1:10" ht="15">
      <c r="A17" s="18" t="s">
        <v>53</v>
      </c>
      <c r="B17" s="2">
        <v>1050</v>
      </c>
      <c r="C17" s="18" t="s">
        <v>30</v>
      </c>
      <c r="D17" s="2">
        <v>1798</v>
      </c>
      <c r="E17" s="2">
        <v>87</v>
      </c>
      <c r="F17" s="19">
        <v>90000</v>
      </c>
      <c r="G17" t="s">
        <v>49</v>
      </c>
      <c r="H17">
        <v>0</v>
      </c>
      <c r="I17">
        <v>18900</v>
      </c>
      <c r="J17">
        <v>480</v>
      </c>
    </row>
    <row r="18" spans="1:10" ht="15">
      <c r="A18" s="18" t="s">
        <v>9</v>
      </c>
      <c r="B18" s="2">
        <v>1205</v>
      </c>
      <c r="C18" s="18" t="s">
        <v>28</v>
      </c>
      <c r="D18" s="18">
        <v>1248</v>
      </c>
      <c r="E18" s="18">
        <v>110</v>
      </c>
      <c r="F18" s="18">
        <v>60677.966099999998</v>
      </c>
      <c r="G18" t="s">
        <v>52</v>
      </c>
      <c r="H18">
        <v>0</v>
      </c>
      <c r="I18">
        <v>12135.593220338984</v>
      </c>
      <c r="J18">
        <v>4340</v>
      </c>
    </row>
    <row r="19" spans="1:10" ht="15">
      <c r="A19" s="18" t="s">
        <v>9</v>
      </c>
      <c r="B19" s="2">
        <v>1150</v>
      </c>
      <c r="C19" s="18" t="s">
        <v>29</v>
      </c>
      <c r="D19" s="18">
        <v>1368</v>
      </c>
      <c r="E19" s="18">
        <v>133</v>
      </c>
      <c r="F19" s="18">
        <v>47966.101690000003</v>
      </c>
      <c r="G19" t="s">
        <v>52</v>
      </c>
      <c r="H19">
        <v>0</v>
      </c>
      <c r="I19">
        <v>9593.220338983052</v>
      </c>
      <c r="J19">
        <v>3920</v>
      </c>
    </row>
    <row r="20" spans="1:10" ht="15">
      <c r="A20" s="18" t="s">
        <v>53</v>
      </c>
      <c r="B20" s="2">
        <v>1050</v>
      </c>
      <c r="C20" s="18" t="s">
        <v>30</v>
      </c>
      <c r="D20" s="2">
        <v>1798</v>
      </c>
      <c r="E20" s="2">
        <v>87</v>
      </c>
      <c r="F20" s="19">
        <v>90000</v>
      </c>
      <c r="G20" t="s">
        <v>52</v>
      </c>
      <c r="H20">
        <v>0</v>
      </c>
      <c r="I20">
        <v>18000</v>
      </c>
      <c r="J20">
        <v>3395</v>
      </c>
    </row>
    <row r="21" spans="1:10" ht="15">
      <c r="A21" s="18" t="s">
        <v>9</v>
      </c>
      <c r="B21" s="2">
        <v>1205</v>
      </c>
      <c r="C21" s="18" t="s">
        <v>28</v>
      </c>
      <c r="D21" s="18">
        <v>1248</v>
      </c>
      <c r="E21" s="18">
        <v>110</v>
      </c>
      <c r="F21" s="18">
        <v>60677.966099999998</v>
      </c>
      <c r="G21" t="s">
        <v>50</v>
      </c>
      <c r="H21">
        <v>9708.4745762711864</v>
      </c>
      <c r="I21">
        <v>14562.71186440678</v>
      </c>
      <c r="J21">
        <v>9933.84</v>
      </c>
    </row>
    <row r="22" spans="1:10" ht="15">
      <c r="A22" s="18" t="s">
        <v>9</v>
      </c>
      <c r="B22" s="2">
        <v>1150</v>
      </c>
      <c r="C22" s="18" t="s">
        <v>29</v>
      </c>
      <c r="D22" s="18">
        <v>1368</v>
      </c>
      <c r="E22" s="18">
        <v>133</v>
      </c>
      <c r="F22" s="18">
        <v>47966.101690000003</v>
      </c>
      <c r="G22" t="s">
        <v>50</v>
      </c>
      <c r="H22">
        <v>10552.542372881357</v>
      </c>
      <c r="I22">
        <v>11511.864406779661</v>
      </c>
      <c r="J22">
        <v>4818</v>
      </c>
    </row>
    <row r="23" spans="1:10" ht="15">
      <c r="A23" s="18" t="s">
        <v>53</v>
      </c>
      <c r="B23" s="2">
        <v>1050</v>
      </c>
      <c r="C23" s="18" t="s">
        <v>30</v>
      </c>
      <c r="D23" s="2">
        <v>1798</v>
      </c>
      <c r="E23" s="2">
        <v>87</v>
      </c>
      <c r="F23" s="19">
        <v>90000</v>
      </c>
      <c r="G23" t="s">
        <v>50</v>
      </c>
      <c r="H23">
        <v>9360</v>
      </c>
      <c r="I23">
        <v>21600</v>
      </c>
      <c r="J23">
        <v>4064.6399999999994</v>
      </c>
    </row>
    <row r="24" spans="1:10" ht="15">
      <c r="A24" s="18" t="s">
        <v>9</v>
      </c>
      <c r="B24" s="2">
        <v>1205</v>
      </c>
      <c r="C24" s="18" t="s">
        <v>28</v>
      </c>
      <c r="D24" s="18">
        <v>1248</v>
      </c>
      <c r="E24" s="18">
        <v>110</v>
      </c>
      <c r="F24" s="18">
        <v>60677.966099999998</v>
      </c>
      <c r="G24" t="s">
        <v>51</v>
      </c>
      <c r="H24">
        <v>0</v>
      </c>
      <c r="I24">
        <v>11528.813559322034</v>
      </c>
      <c r="J24">
        <v>8027.4000000000005</v>
      </c>
    </row>
    <row r="25" spans="1:10" ht="15">
      <c r="A25" s="18" t="s">
        <v>9</v>
      </c>
      <c r="B25" s="2">
        <v>1150</v>
      </c>
      <c r="C25" s="18" t="s">
        <v>29</v>
      </c>
      <c r="D25" s="18">
        <v>1368</v>
      </c>
      <c r="E25" s="18">
        <v>133</v>
      </c>
      <c r="F25" s="18">
        <v>47966.101690000003</v>
      </c>
      <c r="G25" t="s">
        <v>51</v>
      </c>
      <c r="H25">
        <v>0</v>
      </c>
      <c r="I25">
        <v>9113.5593220338978</v>
      </c>
      <c r="J25">
        <v>6936</v>
      </c>
    </row>
    <row r="26" spans="1:10" ht="15">
      <c r="A26" s="18" t="s">
        <v>53</v>
      </c>
      <c r="B26" s="2">
        <v>1050</v>
      </c>
      <c r="C26" s="18" t="s">
        <v>30</v>
      </c>
      <c r="D26" s="2">
        <v>1798</v>
      </c>
      <c r="E26" s="2">
        <v>87</v>
      </c>
      <c r="F26" s="19">
        <v>90000</v>
      </c>
      <c r="G26" t="s">
        <v>51</v>
      </c>
      <c r="H26">
        <v>0</v>
      </c>
      <c r="I26">
        <v>17100</v>
      </c>
      <c r="J26">
        <v>4680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all_prices</vt:lpstr>
      <vt:lpstr>r_data</vt:lpstr>
      <vt:lpstr>mtv_2018</vt:lpstr>
      <vt:lpstr>Sheet2</vt:lpstr>
      <vt:lpstr>turkish</vt:lpstr>
    </vt:vector>
  </TitlesOfParts>
  <Company>ICCT Europe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</dc:creator>
  <cp:lastModifiedBy>Murat Senzeybek</cp:lastModifiedBy>
  <dcterms:created xsi:type="dcterms:W3CDTF">2017-11-01T10:03:27Z</dcterms:created>
  <dcterms:modified xsi:type="dcterms:W3CDTF">2019-01-12T02:21:11Z</dcterms:modified>
</cp:coreProperties>
</file>