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okhwan\Desktop\Project\Lance_6.0\"/>
    </mc:Choice>
  </mc:AlternateContent>
  <xr:revisionPtr revIDLastSave="0" documentId="13_ncr:1_{72C9EEB9-BC4E-40E0-B202-CEDC5248EA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_2_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Z106" i="1" l="1"/>
  <c r="AA106" i="1" s="1"/>
  <c r="Y106" i="1"/>
  <c r="U104" i="1"/>
  <c r="Z103" i="1"/>
  <c r="Y101" i="1"/>
  <c r="O80" i="1"/>
  <c r="N80" i="1"/>
  <c r="L80" i="1"/>
  <c r="O79" i="1"/>
  <c r="N79" i="1"/>
  <c r="L79" i="1"/>
  <c r="N78" i="1"/>
  <c r="O78" i="1" s="1"/>
  <c r="L78" i="1"/>
  <c r="N77" i="1"/>
  <c r="O77" i="1" s="1"/>
  <c r="L77" i="1"/>
  <c r="N76" i="1"/>
  <c r="O76" i="1" s="1"/>
  <c r="L76" i="1"/>
  <c r="N75" i="1"/>
  <c r="O75" i="1" s="1"/>
  <c r="L75" i="1"/>
  <c r="N74" i="1"/>
  <c r="O74" i="1" s="1"/>
  <c r="L74" i="1"/>
  <c r="O73" i="1"/>
  <c r="N73" i="1"/>
  <c r="L73" i="1"/>
  <c r="O72" i="1"/>
  <c r="N72" i="1"/>
  <c r="L72" i="1"/>
  <c r="O71" i="1"/>
  <c r="N71" i="1"/>
  <c r="L71" i="1"/>
  <c r="O70" i="1"/>
  <c r="N70" i="1"/>
  <c r="L70" i="1"/>
  <c r="O69" i="1"/>
  <c r="N69" i="1"/>
  <c r="L69" i="1"/>
  <c r="N68" i="1"/>
  <c r="O68" i="1" s="1"/>
  <c r="L68" i="1"/>
  <c r="N67" i="1"/>
  <c r="O67" i="1" s="1"/>
  <c r="L67" i="1"/>
  <c r="N66" i="1"/>
  <c r="O66" i="1" s="1"/>
  <c r="L66" i="1"/>
  <c r="N65" i="1"/>
  <c r="O65" i="1" s="1"/>
  <c r="L65" i="1"/>
  <c r="O64" i="1"/>
  <c r="N64" i="1"/>
  <c r="L64" i="1"/>
  <c r="O63" i="1"/>
  <c r="N63" i="1"/>
  <c r="L63" i="1"/>
  <c r="N62" i="1"/>
  <c r="O62" i="1" s="1"/>
  <c r="L62" i="1"/>
  <c r="O61" i="1"/>
  <c r="N61" i="1"/>
  <c r="L61" i="1"/>
  <c r="O60" i="1"/>
  <c r="N60" i="1"/>
  <c r="L60" i="1"/>
  <c r="N59" i="1"/>
  <c r="O59" i="1" s="1"/>
  <c r="L59" i="1"/>
  <c r="O58" i="1"/>
  <c r="N58" i="1"/>
  <c r="L58" i="1"/>
  <c r="T57" i="1"/>
  <c r="W57" i="1" s="1"/>
  <c r="X57" i="1" s="1"/>
  <c r="Z57" i="1" s="1"/>
  <c r="N57" i="1"/>
  <c r="O57" i="1" s="1"/>
  <c r="L57" i="1"/>
  <c r="T56" i="1"/>
  <c r="W56" i="1" s="1"/>
  <c r="X56" i="1" s="1"/>
  <c r="Z56" i="1" s="1"/>
  <c r="O56" i="1"/>
  <c r="N56" i="1"/>
  <c r="L56" i="1"/>
  <c r="N55" i="1"/>
  <c r="O55" i="1" s="1"/>
  <c r="L55" i="1"/>
  <c r="N54" i="1"/>
  <c r="O54" i="1" s="1"/>
  <c r="L54" i="1"/>
  <c r="H54" i="1"/>
  <c r="N53" i="1"/>
  <c r="O53" i="1" s="1"/>
  <c r="L53" i="1"/>
  <c r="H53" i="1"/>
  <c r="N52" i="1"/>
  <c r="O52" i="1" s="1"/>
  <c r="L52" i="1"/>
  <c r="H52" i="1"/>
  <c r="O51" i="1"/>
  <c r="N51" i="1"/>
  <c r="L51" i="1"/>
  <c r="H51" i="1"/>
  <c r="N50" i="1"/>
  <c r="O50" i="1" s="1"/>
  <c r="L50" i="1"/>
  <c r="H50" i="1"/>
  <c r="T49" i="1"/>
  <c r="U49" i="1" s="1"/>
  <c r="S49" i="1"/>
  <c r="O49" i="1"/>
  <c r="N49" i="1"/>
  <c r="L49" i="1"/>
  <c r="H49" i="1"/>
  <c r="U48" i="1"/>
  <c r="T48" i="1"/>
  <c r="S48" i="1"/>
  <c r="N48" i="1"/>
  <c r="O48" i="1" s="1"/>
  <c r="L48" i="1"/>
  <c r="H48" i="1"/>
  <c r="N47" i="1"/>
  <c r="O47" i="1" s="1"/>
  <c r="L47" i="1"/>
  <c r="H47" i="1"/>
  <c r="N46" i="1"/>
  <c r="O46" i="1" s="1"/>
  <c r="L46" i="1"/>
  <c r="H46" i="1"/>
  <c r="N45" i="1"/>
  <c r="O45" i="1" s="1"/>
  <c r="L45" i="1"/>
  <c r="H45" i="1"/>
  <c r="N44" i="1"/>
  <c r="O44" i="1" s="1"/>
  <c r="L44" i="1"/>
  <c r="H44" i="1"/>
  <c r="N43" i="1"/>
  <c r="O43" i="1" s="1"/>
  <c r="L43" i="1"/>
  <c r="H43" i="1"/>
  <c r="N42" i="1"/>
  <c r="O42" i="1" s="1"/>
  <c r="L42" i="1"/>
  <c r="H42" i="1"/>
  <c r="N41" i="1"/>
  <c r="O41" i="1" s="1"/>
  <c r="L41" i="1"/>
  <c r="H41" i="1"/>
  <c r="N40" i="1"/>
  <c r="O40" i="1" s="1"/>
  <c r="L40" i="1"/>
  <c r="H40" i="1"/>
  <c r="N39" i="1"/>
  <c r="O39" i="1" s="1"/>
  <c r="L39" i="1"/>
  <c r="H39" i="1"/>
  <c r="N38" i="1"/>
  <c r="O38" i="1" s="1"/>
  <c r="L38" i="1"/>
  <c r="H38" i="1"/>
  <c r="N37" i="1"/>
  <c r="O37" i="1" s="1"/>
  <c r="L37" i="1"/>
  <c r="H37" i="1"/>
  <c r="N36" i="1"/>
  <c r="O36" i="1" s="1"/>
  <c r="L36" i="1"/>
  <c r="H36" i="1"/>
  <c r="N35" i="1"/>
  <c r="O35" i="1" s="1"/>
  <c r="L35" i="1"/>
  <c r="H35" i="1"/>
  <c r="N34" i="1"/>
  <c r="O34" i="1" s="1"/>
  <c r="L34" i="1"/>
  <c r="H34" i="1"/>
  <c r="N33" i="1"/>
  <c r="O33" i="1" s="1"/>
  <c r="L33" i="1"/>
  <c r="H33" i="1"/>
  <c r="N32" i="1"/>
  <c r="O32" i="1" s="1"/>
  <c r="L32" i="1"/>
  <c r="H32" i="1"/>
  <c r="N31" i="1"/>
  <c r="O31" i="1" s="1"/>
  <c r="L31" i="1"/>
  <c r="H31" i="1"/>
  <c r="N30" i="1"/>
  <c r="O30" i="1" s="1"/>
  <c r="L30" i="1"/>
  <c r="H30" i="1"/>
  <c r="O29" i="1"/>
  <c r="N29" i="1"/>
  <c r="L29" i="1"/>
  <c r="H29" i="1"/>
  <c r="O28" i="1"/>
  <c r="N28" i="1"/>
  <c r="L28" i="1"/>
  <c r="H28" i="1"/>
  <c r="O27" i="1"/>
  <c r="N27" i="1"/>
  <c r="L27" i="1"/>
  <c r="H27" i="1"/>
  <c r="N26" i="1"/>
  <c r="O26" i="1" s="1"/>
  <c r="L26" i="1"/>
  <c r="H26" i="1"/>
  <c r="N25" i="1"/>
  <c r="O25" i="1" s="1"/>
  <c r="L25" i="1"/>
  <c r="H25" i="1"/>
  <c r="O24" i="1"/>
  <c r="N24" i="1"/>
  <c r="L24" i="1"/>
  <c r="H24" i="1"/>
  <c r="O23" i="1"/>
  <c r="N23" i="1"/>
  <c r="L23" i="1"/>
  <c r="H23" i="1"/>
  <c r="N22" i="1"/>
  <c r="O22" i="1" s="1"/>
  <c r="L22" i="1"/>
  <c r="H22" i="1"/>
  <c r="R21" i="1"/>
  <c r="N21" i="1"/>
  <c r="O21" i="1" s="1"/>
  <c r="L21" i="1"/>
  <c r="H21" i="1"/>
  <c r="S20" i="1"/>
  <c r="R20" i="1"/>
  <c r="O20" i="1"/>
  <c r="N20" i="1"/>
  <c r="L20" i="1"/>
  <c r="H20" i="1"/>
  <c r="S19" i="1"/>
  <c r="R19" i="1"/>
  <c r="O19" i="1"/>
  <c r="N19" i="1"/>
  <c r="L19" i="1"/>
  <c r="H19" i="1"/>
  <c r="N18" i="1"/>
  <c r="O18" i="1" s="1"/>
  <c r="L18" i="1"/>
  <c r="H18" i="1"/>
  <c r="O17" i="1"/>
  <c r="N17" i="1"/>
  <c r="L17" i="1"/>
  <c r="H17" i="1"/>
  <c r="N16" i="1"/>
  <c r="O16" i="1" s="1"/>
  <c r="L16" i="1"/>
  <c r="H16" i="1"/>
  <c r="O15" i="1"/>
  <c r="N15" i="1"/>
  <c r="L15" i="1"/>
  <c r="H15" i="1"/>
  <c r="Z14" i="1"/>
  <c r="Y14" i="1"/>
  <c r="Y131" i="1" s="1"/>
  <c r="N14" i="1"/>
  <c r="O14" i="1" s="1"/>
  <c r="L14" i="1"/>
  <c r="H14" i="1"/>
  <c r="Z13" i="1"/>
  <c r="S21" i="1" s="1"/>
  <c r="Y13" i="1"/>
  <c r="N13" i="1"/>
  <c r="O13" i="1" s="1"/>
  <c r="L13" i="1"/>
  <c r="H13" i="1"/>
  <c r="Z12" i="1"/>
  <c r="Y12" i="1"/>
  <c r="O12" i="1"/>
  <c r="N12" i="1"/>
  <c r="L12" i="1"/>
  <c r="H12" i="1"/>
  <c r="Z11" i="1"/>
  <c r="Y11" i="1"/>
  <c r="N11" i="1"/>
  <c r="O11" i="1" s="1"/>
  <c r="L11" i="1"/>
  <c r="H11" i="1"/>
  <c r="O10" i="1"/>
  <c r="N10" i="1"/>
  <c r="L10" i="1"/>
  <c r="H10" i="1"/>
  <c r="N9" i="1"/>
  <c r="O9" i="1" s="1"/>
  <c r="L9" i="1"/>
  <c r="H9" i="1"/>
  <c r="O8" i="1"/>
  <c r="N8" i="1"/>
  <c r="L8" i="1"/>
  <c r="H8" i="1"/>
  <c r="U7" i="1"/>
  <c r="V7" i="1" s="1"/>
  <c r="R11" i="1" s="1"/>
  <c r="N7" i="1"/>
  <c r="O7" i="1" s="1"/>
  <c r="L7" i="1"/>
  <c r="H7" i="1"/>
  <c r="N6" i="1"/>
  <c r="T26" i="1" s="1"/>
  <c r="U26" i="1" s="1"/>
  <c r="V26" i="1" s="1"/>
  <c r="L6" i="1"/>
  <c r="R25" i="1" s="1"/>
  <c r="H6" i="1"/>
  <c r="U5" i="1"/>
  <c r="V5" i="1" s="1"/>
  <c r="H5" i="1"/>
  <c r="S25" i="1" l="1"/>
  <c r="S128" i="1"/>
  <c r="T128" i="1" s="1"/>
  <c r="W128" i="1" s="1"/>
  <c r="S127" i="1"/>
  <c r="T127" i="1" s="1"/>
  <c r="W127" i="1" s="1"/>
  <c r="S129" i="1"/>
  <c r="T129" i="1" s="1"/>
  <c r="W129" i="1" s="1"/>
  <c r="S37" i="1"/>
  <c r="S46" i="1"/>
  <c r="R121" i="1"/>
  <c r="R13" i="1"/>
  <c r="S41" i="1" s="1"/>
  <c r="R117" i="1"/>
  <c r="R120" i="1"/>
  <c r="R12" i="1"/>
  <c r="S39" i="1" s="1"/>
  <c r="R116" i="1"/>
  <c r="S116" i="1" s="1"/>
  <c r="R119" i="1"/>
  <c r="R14" i="1"/>
  <c r="S45" i="1" s="1"/>
  <c r="R118" i="1"/>
  <c r="Z58" i="1"/>
  <c r="S30" i="1" s="1"/>
  <c r="S23" i="1"/>
  <c r="T25" i="1"/>
  <c r="U25" i="1" s="1"/>
  <c r="V25" i="1" s="1"/>
  <c r="S36" i="1"/>
  <c r="S44" i="1"/>
  <c r="L81" i="1"/>
  <c r="R24" i="1"/>
  <c r="N81" i="1"/>
  <c r="O81" i="1" s="1"/>
  <c r="T24" i="1"/>
  <c r="R26" i="1"/>
  <c r="Y130" i="1"/>
  <c r="O6" i="1"/>
  <c r="Y95" i="1"/>
  <c r="S35" i="1"/>
  <c r="S42" i="1" l="1"/>
  <c r="S43" i="1"/>
  <c r="S131" i="1"/>
  <c r="T131" i="1" s="1"/>
  <c r="W131" i="1" s="1"/>
  <c r="Z131" i="1" s="1"/>
  <c r="S26" i="1"/>
  <c r="S95" i="1"/>
  <c r="T95" i="1" s="1"/>
  <c r="W95" i="1" s="1"/>
  <c r="Z95" i="1" s="1"/>
  <c r="S130" i="1"/>
  <c r="T130" i="1" s="1"/>
  <c r="W130" i="1" s="1"/>
  <c r="Z130" i="1" s="1"/>
  <c r="S126" i="1"/>
  <c r="T126" i="1" s="1"/>
  <c r="W126" i="1" s="1"/>
  <c r="S24" i="1"/>
  <c r="S125" i="1"/>
  <c r="T125" i="1" s="1"/>
  <c r="W125" i="1" s="1"/>
  <c r="S38" i="1"/>
  <c r="S117" i="1"/>
  <c r="W117" i="1" s="1"/>
  <c r="S120" i="1"/>
  <c r="W120" i="1" s="1"/>
  <c r="W116" i="1"/>
  <c r="S119" i="1"/>
  <c r="W119" i="1" s="1"/>
  <c r="S118" i="1"/>
  <c r="W118" i="1" s="1"/>
  <c r="S121" i="1"/>
  <c r="S32" i="1"/>
  <c r="S31" i="1"/>
  <c r="U45" i="1"/>
  <c r="U39" i="1"/>
  <c r="U42" i="1"/>
  <c r="U36" i="1"/>
  <c r="U24" i="1"/>
  <c r="T27" i="1"/>
  <c r="S40" i="1"/>
  <c r="U41" i="1" l="1"/>
  <c r="U35" i="1"/>
  <c r="U44" i="1"/>
  <c r="U38" i="1"/>
  <c r="S27" i="1"/>
  <c r="W121" i="1"/>
  <c r="V24" i="1"/>
  <c r="U27" i="1"/>
  <c r="V27" i="1" s="1"/>
  <c r="U43" i="1"/>
  <c r="U37" i="1"/>
  <c r="U46" i="1"/>
  <c r="U40" i="1"/>
  <c r="Z133" i="1"/>
  <c r="Z132" i="1"/>
  <c r="W38" i="1" l="1"/>
  <c r="Y38" i="1" s="1"/>
  <c r="W44" i="1"/>
  <c r="Y44" i="1" s="1"/>
  <c r="W35" i="1"/>
  <c r="Y35" i="1" s="1"/>
  <c r="Y117" i="1"/>
  <c r="Z117" i="1" s="1"/>
  <c r="Y120" i="1"/>
  <c r="Z120" i="1" s="1"/>
  <c r="S29" i="1"/>
  <c r="Y116" i="1"/>
  <c r="Z116" i="1" s="1"/>
  <c r="Y119" i="1"/>
  <c r="Z119" i="1" s="1"/>
  <c r="Y118" i="1"/>
  <c r="Z118" i="1" s="1"/>
  <c r="Y121" i="1"/>
  <c r="Z122" i="1" s="1"/>
  <c r="W41" i="1"/>
  <c r="Y41" i="1" s="1"/>
  <c r="T32" i="1" l="1"/>
  <c r="W45" i="1"/>
  <c r="Y45" i="1" s="1"/>
  <c r="W39" i="1"/>
  <c r="Y39" i="1" s="1"/>
  <c r="W36" i="1"/>
  <c r="T31" i="1"/>
  <c r="W42" i="1"/>
  <c r="Y42" i="1" s="1"/>
  <c r="T30" i="1"/>
  <c r="Z121" i="1"/>
  <c r="AA105" i="1" l="1"/>
  <c r="AA107" i="1" s="1"/>
  <c r="AA108" i="1" s="1"/>
  <c r="AA109" i="1" s="1"/>
  <c r="Y36" i="1"/>
  <c r="W43" i="1"/>
  <c r="Y43" i="1" s="1"/>
  <c r="W37" i="1"/>
  <c r="Y37" i="1" s="1"/>
  <c r="W40" i="1"/>
  <c r="Y40" i="1" s="1"/>
  <c r="W46" i="1"/>
  <c r="Y46" i="1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<sst xmlns="http://schemas.openxmlformats.org/spreadsheetml/2006/main" count="449" uniqueCount="180">
  <si>
    <t>입력하는 셀</t>
  </si>
  <si>
    <t>결과 셀</t>
  </si>
  <si>
    <t>등급</t>
  </si>
  <si>
    <t>장착</t>
  </si>
  <si>
    <t>상점 판매</t>
  </si>
  <si>
    <t>구매 방식</t>
  </si>
  <si>
    <t>금액</t>
  </si>
  <si>
    <t>태그</t>
  </si>
  <si>
    <t>이름</t>
  </si>
  <si>
    <t>만렙</t>
  </si>
  <si>
    <t>레벨별 계산 방식</t>
  </si>
  <si>
    <t>강화석</t>
  </si>
  <si>
    <t>강화석 드랍수</t>
  </si>
  <si>
    <t>강화석 확률</t>
  </si>
  <si>
    <t>분당 처치수</t>
  </si>
  <si>
    <t>1분당 획득수</t>
  </si>
  <si>
    <t>24시간 획득수</t>
  </si>
  <si>
    <t>C</t>
  </si>
  <si>
    <t>복장</t>
  </si>
  <si>
    <t>-</t>
  </si>
  <si>
    <t>한계돌파</t>
  </si>
  <si>
    <t>초급 기사 갑옷</t>
  </si>
  <si>
    <t>레벨</t>
  </si>
  <si>
    <t>add</t>
  </si>
  <si>
    <t>비용</t>
  </si>
  <si>
    <t>강화석 add</t>
  </si>
  <si>
    <t>확인</t>
  </si>
  <si>
    <t>하이퍼1</t>
  </si>
  <si>
    <t>1.3c</t>
  </si>
  <si>
    <t>B</t>
  </si>
  <si>
    <t>Gem</t>
  </si>
  <si>
    <t>중급 기사 갑옷</t>
  </si>
  <si>
    <t>실 드랍수</t>
  </si>
  <si>
    <t>실 확률</t>
  </si>
  <si>
    <t>상급 기사 갑옷</t>
  </si>
  <si>
    <t>정예 기사 갑옷</t>
  </si>
  <si>
    <t>A</t>
  </si>
  <si>
    <t>로얄 나이트 갑옷</t>
  </si>
  <si>
    <t>*개수 확인용</t>
  </si>
  <si>
    <t>현금</t>
  </si>
  <si>
    <t>어린이날</t>
  </si>
  <si>
    <t>유치원복</t>
  </si>
  <si>
    <t>하루 수급 가능량</t>
  </si>
  <si>
    <r>
      <rPr>
        <b/>
        <sz val="10"/>
        <rFont val="나눔고딕"/>
        <family val="2"/>
        <charset val="129"/>
      </rPr>
      <t>등급별(grade)</t>
    </r>
    <r>
      <rPr>
        <b/>
        <sz val="11"/>
        <rFont val="나눔고딕"/>
        <family val="2"/>
        <charset val="129"/>
      </rPr>
      <t xml:space="preserve"> 구매가</t>
    </r>
  </si>
  <si>
    <r>
      <rPr>
        <b/>
        <sz val="10"/>
        <rFont val="나눔고딕"/>
        <family val="2"/>
        <charset val="129"/>
      </rPr>
      <t>등급별(grade)</t>
    </r>
    <r>
      <rPr>
        <b/>
        <sz val="11"/>
        <rFont val="나눔고딕"/>
        <family val="2"/>
        <charset val="129"/>
      </rPr>
      <t xml:space="preserve"> 만렙</t>
    </r>
  </si>
  <si>
    <t>등급별</t>
  </si>
  <si>
    <t>코스튬 총 수</t>
  </si>
  <si>
    <t>코스튬 퍈매 총 수</t>
  </si>
  <si>
    <t>여름</t>
  </si>
  <si>
    <t>해변의 비키니</t>
  </si>
  <si>
    <t>24시간</t>
  </si>
  <si>
    <t>D</t>
  </si>
  <si>
    <t>무더위 사냥꾼 수영복</t>
  </si>
  <si>
    <t>8시간</t>
  </si>
  <si>
    <t>블루</t>
  </si>
  <si>
    <t>블루 나이트</t>
  </si>
  <si>
    <t>4시간</t>
  </si>
  <si>
    <t>장마</t>
  </si>
  <si>
    <t>개구리 우비</t>
  </si>
  <si>
    <t>1시간</t>
  </si>
  <si>
    <t>판매</t>
  </si>
  <si>
    <t>광복절</t>
  </si>
  <si>
    <t>애국 열사의 의지</t>
  </si>
  <si>
    <t>추석</t>
  </si>
  <si>
    <t>달토끼 한복</t>
  </si>
  <si>
    <t>재화별</t>
  </si>
  <si>
    <t>붉은 아씨의 한복</t>
  </si>
  <si>
    <t>실 재화 개수</t>
  </si>
  <si>
    <t>할로윈</t>
  </si>
  <si>
    <t>달빛 마녀 복장</t>
  </si>
  <si>
    <t>1개당</t>
  </si>
  <si>
    <t>전체 수량</t>
  </si>
  <si>
    <t>꼬마 유령의 저주</t>
  </si>
  <si>
    <t>D급 구매</t>
  </si>
  <si>
    <t>호박 마녀 복장</t>
  </si>
  <si>
    <t>c급 구매</t>
  </si>
  <si>
    <t>크리스마스</t>
  </si>
  <si>
    <t>눈꽃 산타</t>
  </si>
  <si>
    <t>b급 구매</t>
  </si>
  <si>
    <t>스노우맨</t>
  </si>
  <si>
    <t>a급 구매</t>
  </si>
  <si>
    <t>강화석 재화 개수</t>
  </si>
  <si>
    <t>무기</t>
  </si>
  <si>
    <t>초급 기사 랜스</t>
  </si>
  <si>
    <t>total 재화 개수</t>
  </si>
  <si>
    <t>중급 기사 랜스</t>
  </si>
  <si>
    <t>c급 강화 만렙</t>
  </si>
  <si>
    <t>상급 기사 랜스</t>
  </si>
  <si>
    <t>b급 강화만렙</t>
  </si>
  <si>
    <t>정예 기사 랜스</t>
  </si>
  <si>
    <t>a급 강화 만렙</t>
  </si>
  <si>
    <t>로얄 나이트 랜스</t>
  </si>
  <si>
    <t>막대 사탕</t>
  </si>
  <si>
    <t>이벤트 지급 재화량</t>
  </si>
  <si>
    <t>팝시클</t>
  </si>
  <si>
    <t>초코바</t>
  </si>
  <si>
    <t>주/달 패키지 풀 구매시(1달)</t>
  </si>
  <si>
    <t>해변의 소라고동</t>
  </si>
  <si>
    <t>3달</t>
  </si>
  <si>
    <t>푸른 섬광</t>
  </si>
  <si>
    <t>4달</t>
  </si>
  <si>
    <t>연잎 우산</t>
  </si>
  <si>
    <t>달토끼 비전 떡메</t>
  </si>
  <si>
    <t>총 구매완료  일자</t>
  </si>
  <si>
    <t>등급당 만렙 소요일수(1)</t>
  </si>
  <si>
    <t>총 강화 만렙 일자</t>
  </si>
  <si>
    <t>total(일)</t>
  </si>
  <si>
    <t>total(달)</t>
  </si>
  <si>
    <t>수호 정승</t>
  </si>
  <si>
    <t>24시간 방치</t>
  </si>
  <si>
    <t>천년 빗자루</t>
  </si>
  <si>
    <t>이벤트+total(일)</t>
  </si>
  <si>
    <t>이벤트+total(달)</t>
  </si>
  <si>
    <t>꼬마 유령의 집</t>
  </si>
  <si>
    <t>패키지 풀구매시</t>
  </si>
  <si>
    <t>패키지 풀구매시(달)</t>
  </si>
  <si>
    <t>백년 빗자루</t>
  </si>
  <si>
    <t>8시간 방치</t>
  </si>
  <si>
    <t>total</t>
  </si>
  <si>
    <t>빼빼로</t>
  </si>
  <si>
    <t>초코 빼빼로</t>
  </si>
  <si>
    <t>아몬드 빼빼로</t>
  </si>
  <si>
    <t>화이트 빼빼로</t>
  </si>
  <si>
    <t>4시간 방치</t>
  </si>
  <si>
    <t>크리스마스 트리</t>
  </si>
  <si>
    <t>화이트 캔디 케인</t>
  </si>
  <si>
    <t>그린 캔디 케인</t>
  </si>
  <si>
    <t>1시간 방치</t>
  </si>
  <si>
    <t>장식</t>
  </si>
  <si>
    <t>로얄 나이트 망토</t>
  </si>
  <si>
    <t>노란색 풍선</t>
  </si>
  <si>
    <t>시원한 서핑 보드</t>
  </si>
  <si>
    <t>태극기</t>
  </si>
  <si>
    <t>100단계</t>
  </si>
  <si>
    <t>배부른 참새</t>
  </si>
  <si>
    <t>150단계</t>
  </si>
  <si>
    <t>코로</t>
  </si>
  <si>
    <t>꼬마 유령</t>
  </si>
  <si>
    <t>1만 기념</t>
  </si>
  <si>
    <t>더덕이</t>
  </si>
  <si>
    <t>패키지 판매</t>
  </si>
  <si>
    <t>선물 보따리</t>
  </si>
  <si>
    <t>마법의 실 재화 개당 가격</t>
  </si>
  <si>
    <t>깜짝 상자</t>
  </si>
  <si>
    <t>할인된 가격</t>
  </si>
  <si>
    <t>할인가</t>
  </si>
  <si>
    <t>실제 가치</t>
  </si>
  <si>
    <t>잼 개수</t>
  </si>
  <si>
    <t>잼 가격</t>
  </si>
  <si>
    <t>실 가격</t>
  </si>
  <si>
    <t>실 개수</t>
  </si>
  <si>
    <t>총 구매 가능 수</t>
  </si>
  <si>
    <t>달간 실 총 획득수</t>
  </si>
  <si>
    <t>주간 패키지</t>
  </si>
  <si>
    <t>1달 패키지</t>
  </si>
  <si>
    <t>A급 1개</t>
  </si>
  <si>
    <t>4배</t>
  </si>
  <si>
    <t>1마리당</t>
  </si>
  <si>
    <t>확률</t>
  </si>
  <si>
    <t>1분에 200마리</t>
  </si>
  <si>
    <t>12개</t>
  </si>
  <si>
    <t>마스터1</t>
  </si>
  <si>
    <t>3개</t>
  </si>
  <si>
    <t>풀 구매 했을때 3~6달</t>
  </si>
  <si>
    <t>1. 일일 최대 수급량 기준</t>
  </si>
  <si>
    <t>몇 일치?</t>
  </si>
  <si>
    <t>개수</t>
  </si>
  <si>
    <t>정가</t>
  </si>
  <si>
    <t>추가 지급</t>
  </si>
  <si>
    <t>할인율</t>
  </si>
  <si>
    <t>종결 구매수</t>
  </si>
  <si>
    <t>종결 총금액</t>
  </si>
  <si>
    <t>젬?</t>
  </si>
  <si>
    <t>2. 각 등급별 1개를 완성할수 있는 갯수를 찾아본거</t>
  </si>
  <si>
    <t>재화 필요수</t>
  </si>
  <si>
    <t>C급</t>
  </si>
  <si>
    <t>B급</t>
  </si>
  <si>
    <t>A급</t>
  </si>
  <si>
    <t>가장 싸게 살경우</t>
  </si>
  <si>
    <t>이벤트 받고 싸게 사면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</si>
</sst>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￦-412]#,##0;[Red]\-[$￦-412]#,##0"/>
  </numFmts>
  <fonts count="10">
    <font>
      <sz val="10"/>
      <name val="나눔고딕"/>
      <family val="2"/>
      <charset val="129"/>
    </font>
    <font>
      <sz val="9"/>
      <name val="나눔고딕"/>
      <family val="2"/>
      <charset val="129"/>
    </font>
    <font>
      <b/>
      <sz val="9"/>
      <name val="나눔고딕"/>
      <family val="2"/>
      <charset val="129"/>
    </font>
    <font>
      <sz val="9"/>
      <name val="맑은 고딕"/>
      <family val="3"/>
      <charset val="129"/>
    </font>
    <font>
      <sz val="9"/>
      <color rgb="FFF10D0C"/>
      <name val="나눔고딕"/>
      <family val="2"/>
      <charset val="129"/>
    </font>
    <font>
      <b/>
      <sz val="10"/>
      <name val="나눔고딕"/>
      <family val="2"/>
      <charset val="129"/>
    </font>
    <font>
      <b/>
      <sz val="11"/>
      <name val="나눔고딕"/>
      <family val="2"/>
      <charset val="129"/>
    </font>
    <font>
      <sz val="9"/>
      <name val="맑은 고딕"/>
      <family val="3"/>
      <charset val="1"/>
    </font>
    <font>
      <sz val="11"/>
      <color theme="1"/>
      <name val="맑은 고딕"/>
      <family val="2"/>
      <charset val="129"/>
    </font>
    <font>
      <sz val="8"/>
      <name val="나눔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C0FE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DDDDDD"/>
      </patternFill>
    </fill>
    <fill>
      <patternFill patternType="solid">
        <fgColor rgb="FFE8F2A1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176" fontId="1" fillId="0" borderId="0" xfId="0" applyNumberFormat="1" applyFont="1" applyAlignment="1" applyProtection="1">
      <alignment vertical="center"/>
    </xf>
    <xf numFmtId="0" fontId="1" fillId="2" borderId="0" xfId="0" applyFont="1" applyFill="1" applyAlignment="1" applyProtection="1">
      <alignment vertical="center"/>
    </xf>
    <xf numFmtId="0" fontId="1" fillId="3" borderId="0" xfId="0" applyFont="1" applyFill="1" applyAlignment="1" applyProtection="1">
      <alignment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vertical="center"/>
    </xf>
    <xf numFmtId="0" fontId="0" fillId="5" borderId="1" xfId="0" applyFont="1" applyFill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 wrapText="1"/>
    </xf>
    <xf numFmtId="0" fontId="1" fillId="4" borderId="1" xfId="0" applyFont="1" applyFill="1" applyBorder="1" applyAlignment="1" applyProtection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</xf>
    <xf numFmtId="3" fontId="1" fillId="0" borderId="1" xfId="0" applyNumberFormat="1" applyFont="1" applyBorder="1" applyAlignment="1" applyProtection="1">
      <alignment vertical="center"/>
    </xf>
    <xf numFmtId="1" fontId="1" fillId="2" borderId="1" xfId="0" applyNumberFormat="1" applyFont="1" applyFill="1" applyBorder="1" applyAlignment="1" applyProtection="1">
      <alignment vertical="center"/>
    </xf>
    <xf numFmtId="1" fontId="1" fillId="3" borderId="1" xfId="0" applyNumberFormat="1" applyFont="1" applyFill="1" applyBorder="1" applyAlignment="1" applyProtection="1">
      <alignment vertical="center"/>
    </xf>
    <xf numFmtId="3" fontId="1" fillId="3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3" fontId="2" fillId="3" borderId="1" xfId="0" applyNumberFormat="1" applyFont="1" applyFill="1" applyBorder="1" applyAlignment="1" applyProtection="1">
      <alignment vertical="center"/>
    </xf>
    <xf numFmtId="3" fontId="1" fillId="2" borderId="1" xfId="0" applyNumberFormat="1" applyFont="1" applyFill="1" applyBorder="1" applyAlignment="1" applyProtection="1">
      <alignment vertical="center"/>
    </xf>
    <xf numFmtId="0" fontId="1" fillId="0" borderId="1" xfId="0" applyFont="1" applyBorder="1" applyAlignment="1" applyProtection="1">
      <alignment vertical="center" wrapText="1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vertical="center"/>
    </xf>
    <xf numFmtId="0" fontId="3" fillId="6" borderId="1" xfId="0" applyFont="1" applyFill="1" applyBorder="1" applyAlignment="1" applyProtection="1">
      <alignment vertical="center" wrapText="1"/>
    </xf>
    <xf numFmtId="0" fontId="2" fillId="7" borderId="1" xfId="0" applyFont="1" applyFill="1" applyBorder="1" applyAlignment="1" applyProtection="1">
      <alignment vertical="center"/>
    </xf>
    <xf numFmtId="2" fontId="1" fillId="0" borderId="0" xfId="0" applyNumberFormat="1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1" fillId="8" borderId="1" xfId="0" applyFont="1" applyFill="1" applyBorder="1" applyAlignment="1" applyProtection="1">
      <alignment vertical="center"/>
    </xf>
    <xf numFmtId="3" fontId="7" fillId="0" borderId="1" xfId="0" applyNumberFormat="1" applyFont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0" fillId="0" borderId="0" xfId="0" applyAlignment="1" applyProtection="1"/>
    <xf numFmtId="0" fontId="1" fillId="4" borderId="1" xfId="0" applyFont="1" applyFill="1" applyBorder="1" applyAlignment="1" applyProtection="1">
      <alignment vertical="center"/>
    </xf>
    <xf numFmtId="0" fontId="1" fillId="7" borderId="1" xfId="0" applyFont="1" applyFill="1" applyBorder="1" applyAlignment="1" applyProtection="1">
      <alignment vertical="center"/>
    </xf>
    <xf numFmtId="176" fontId="1" fillId="0" borderId="1" xfId="0" applyNumberFormat="1" applyFont="1" applyBorder="1" applyAlignment="1" applyProtection="1">
      <alignment vertical="center"/>
    </xf>
    <xf numFmtId="1" fontId="1" fillId="0" borderId="1" xfId="0" applyNumberFormat="1" applyFont="1" applyBorder="1" applyAlignment="1" applyProtection="1">
      <alignment vertical="center"/>
    </xf>
    <xf numFmtId="176" fontId="1" fillId="3" borderId="1" xfId="0" applyNumberFormat="1" applyFont="1" applyFill="1" applyBorder="1" applyAlignment="1" applyProtection="1">
      <alignment vertical="center"/>
    </xf>
    <xf numFmtId="0" fontId="1" fillId="8" borderId="1" xfId="0" applyFont="1" applyFill="1" applyBorder="1" applyAlignment="1" applyProtection="1">
      <alignment vertical="center" wrapText="1"/>
    </xf>
    <xf numFmtId="3" fontId="8" fillId="0" borderId="0" xfId="0" applyNumberFormat="1" applyFont="1" applyAlignment="1" applyProtection="1"/>
    <xf numFmtId="3" fontId="0" fillId="0" borderId="0" xfId="0" applyNumberFormat="1" applyAlignment="1" applyProtection="1"/>
    <xf numFmtId="0" fontId="1" fillId="0" borderId="1" xfId="0" applyFont="1" applyBorder="1" applyAlignment="1" applyProtection="1">
      <alignment vertical="center"/>
    </xf>
    <xf numFmtId="0" fontId="0" fillId="0" borderId="1" xfId="0" applyBorder="1"/>
    <xf numFmtId="0" fontId="0" fillId="0" borderId="1" xfId="0" applyBorder="1" applyAlignment="1" applyProtection="1"/>
    <xf numFmtId="3" fontId="0" fillId="3" borderId="1" xfId="0" applyNumberFormat="1" applyFill="1" applyBorder="1"/>
    <xf numFmtId="177" fontId="1" fillId="3" borderId="1" xfId="0" applyNumberFormat="1" applyFont="1" applyFill="1" applyBorder="1" applyAlignment="1" applyProtection="1">
      <alignment vertical="center"/>
    </xf>
    <xf numFmtId="9" fontId="1" fillId="0" borderId="1" xfId="0" applyNumberFormat="1" applyFont="1" applyBorder="1" applyAlignment="1" applyProtection="1">
      <alignment vertical="center"/>
    </xf>
    <xf numFmtId="176" fontId="2" fillId="3" borderId="1" xfId="0" applyNumberFormat="1" applyFont="1" applyFill="1" applyBorder="1" applyAlignment="1" applyProtection="1">
      <alignment vertical="center"/>
    </xf>
    <xf numFmtId="177" fontId="2" fillId="3" borderId="1" xfId="0" applyNumberFormat="1" applyFont="1" applyFill="1" applyBorder="1" applyAlignment="1" applyProtection="1">
      <alignment vertical="center"/>
    </xf>
    <xf numFmtId="3" fontId="0" fillId="0" borderId="0" xfId="0" applyNumberFormat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1" fontId="2" fillId="3" borderId="1" xfId="0" applyNumberFormat="1" applyFont="1" applyFill="1" applyBorder="1" applyAlignment="1" applyProtection="1">
      <alignment vertical="center"/>
    </xf>
    <xf numFmtId="177" fontId="1" fillId="0" borderId="0" xfId="0" applyNumberFormat="1" applyFont="1" applyAlignment="1" applyProtection="1">
      <alignment vertical="center"/>
    </xf>
    <xf numFmtId="0" fontId="1" fillId="4" borderId="1" xfId="0" applyFont="1" applyFill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2" fillId="7" borderId="1" xfId="0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0FE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34"/>
  <sheetViews>
    <sheetView tabSelected="1" topLeftCell="K44" zoomScale="110" zoomScaleNormal="110" workbookViewId="0">
      <selection activeCell="Q57" sqref="Q57"/>
    </sheetView>
  </sheetViews>
  <sheetFormatPr defaultColWidth="10.5703125" defaultRowHeight="11.25"/>
  <cols>
    <col min="1" max="1" width="5.7109375" style="1" customWidth="1"/>
    <col min="2" max="2" width="5.7109375" style="2" customWidth="1"/>
    <col min="3" max="3" width="9.42578125" style="2" customWidth="1"/>
    <col min="4" max="4" width="6.140625" style="2" customWidth="1"/>
    <col min="5" max="5" width="9.85546875" style="2" hidden="1" customWidth="1"/>
    <col min="6" max="6" width="9.5703125" style="2" customWidth="1"/>
    <col min="7" max="7" width="16.85546875" style="2" customWidth="1"/>
    <col min="8" max="8" width="7" style="2" bestFit="1" customWidth="1"/>
    <col min="9" max="9" width="3.28515625" style="2" customWidth="1"/>
    <col min="10" max="10" width="6.140625" style="2" customWidth="1"/>
    <col min="11" max="11" width="7.42578125" style="3" customWidth="1"/>
    <col min="12" max="12" width="7.85546875" style="2" customWidth="1"/>
    <col min="13" max="13" width="13.42578125" style="2" customWidth="1"/>
    <col min="14" max="14" width="16.42578125" style="2" customWidth="1"/>
    <col min="15" max="15" width="12.28515625" style="2" customWidth="1"/>
    <col min="16" max="16" width="3.7109375" style="2" customWidth="1"/>
    <col min="17" max="26" width="17" style="2" customWidth="1"/>
    <col min="27" max="33" width="16.140625" style="2" customWidth="1"/>
    <col min="34" max="16384" width="10.5703125" style="2"/>
  </cols>
  <sheetData>
    <row r="2" spans="1:26" ht="19.7" customHeight="1">
      <c r="J2" s="4"/>
      <c r="K2" s="2" t="s">
        <v>0</v>
      </c>
      <c r="M2" s="5"/>
      <c r="N2" s="2" t="s">
        <v>1</v>
      </c>
    </row>
    <row r="4" spans="1:26" ht="19.7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J4" s="61" t="s">
        <v>10</v>
      </c>
      <c r="K4" s="61"/>
      <c r="L4" s="61"/>
      <c r="M4" s="61" t="s">
        <v>11</v>
      </c>
      <c r="N4" s="61"/>
      <c r="O4" s="61"/>
      <c r="Q4" s="8"/>
      <c r="R4" s="8" t="s">
        <v>12</v>
      </c>
      <c r="S4" s="8" t="s">
        <v>13</v>
      </c>
      <c r="T4" s="9" t="s">
        <v>14</v>
      </c>
      <c r="U4" s="8" t="s">
        <v>15</v>
      </c>
      <c r="V4" s="8" t="s">
        <v>16</v>
      </c>
    </row>
    <row r="5" spans="1:26" ht="19.7" customHeight="1">
      <c r="A5" s="10" t="s">
        <v>17</v>
      </c>
      <c r="B5" s="11" t="s">
        <v>18</v>
      </c>
      <c r="C5" s="11"/>
      <c r="D5" s="11" t="s">
        <v>19</v>
      </c>
      <c r="E5" s="11">
        <v>0</v>
      </c>
      <c r="F5" s="11" t="s">
        <v>20</v>
      </c>
      <c r="G5" s="12" t="s">
        <v>21</v>
      </c>
      <c r="H5" s="11" t="e" vm="1">
        <f t="shared" ref="H5:H36" ca="1" si="0">_xlfn.IFS($A5=$V$12,$W$12,$A5=$V$13,$W$13,$A5=$V$14,$W$14,1,0)</f>
        <v>#NAME?</v>
      </c>
      <c r="J5" s="13" t="s">
        <v>22</v>
      </c>
      <c r="K5" s="14" t="s">
        <v>23</v>
      </c>
      <c r="L5" s="13" t="s">
        <v>24</v>
      </c>
      <c r="M5" s="13" t="s">
        <v>25</v>
      </c>
      <c r="N5" s="13" t="s">
        <v>11</v>
      </c>
      <c r="O5" s="13" t="s">
        <v>26</v>
      </c>
      <c r="Q5" s="64" t="s">
        <v>27</v>
      </c>
      <c r="R5" s="11">
        <v>6313</v>
      </c>
      <c r="S5" s="11">
        <v>7.4999999999999997E-2</v>
      </c>
      <c r="T5" s="15">
        <v>200</v>
      </c>
      <c r="U5" s="16">
        <f>(S5*200*R5)*60*24</f>
        <v>136360800</v>
      </c>
      <c r="V5" s="16">
        <f>U5*60*24</f>
        <v>196359552000</v>
      </c>
      <c r="W5" s="11" t="s">
        <v>28</v>
      </c>
    </row>
    <row r="6" spans="1:26" ht="19.7" customHeight="1">
      <c r="A6" s="10" t="s">
        <v>29</v>
      </c>
      <c r="B6" s="11" t="s">
        <v>18</v>
      </c>
      <c r="C6" s="11"/>
      <c r="D6" s="11" t="s">
        <v>30</v>
      </c>
      <c r="E6" s="11">
        <v>200000</v>
      </c>
      <c r="F6" s="11" t="s">
        <v>20</v>
      </c>
      <c r="G6" s="12" t="s">
        <v>31</v>
      </c>
      <c r="H6" s="11" t="e" vm="1">
        <f t="shared" ca="1" si="0"/>
        <v>#NAME?</v>
      </c>
      <c r="J6" s="11">
        <v>1</v>
      </c>
      <c r="K6" s="17">
        <v>0</v>
      </c>
      <c r="L6" s="18">
        <f t="shared" ref="L6:L37" si="1">INT(J6+(J6*K6)+K6)</f>
        <v>1</v>
      </c>
      <c r="M6" s="19">
        <v>0</v>
      </c>
      <c r="N6" s="19">
        <f t="shared" ref="N6:N37" si="2">J6*K6+(M6*120000)</f>
        <v>0</v>
      </c>
      <c r="O6" s="18" t="str">
        <f>IF(N6=0, "0", TEXT(N6/1000^(INT(LOG(N6, 1000))), "#,##0.0") &amp; CHAR(96 + INT(LOG(N6, 1000)) + 1))</f>
        <v>0</v>
      </c>
      <c r="Q6" s="64"/>
      <c r="R6" s="9" t="s">
        <v>32</v>
      </c>
      <c r="S6" s="9" t="s">
        <v>33</v>
      </c>
      <c r="T6" s="9" t="s">
        <v>14</v>
      </c>
      <c r="U6" s="8" t="s">
        <v>15</v>
      </c>
      <c r="V6" s="8" t="s">
        <v>16</v>
      </c>
    </row>
    <row r="7" spans="1:26" ht="19.7" customHeight="1">
      <c r="A7" s="10" t="s">
        <v>29</v>
      </c>
      <c r="B7" s="11" t="s">
        <v>18</v>
      </c>
      <c r="C7" s="11"/>
      <c r="D7" s="11" t="s">
        <v>30</v>
      </c>
      <c r="E7" s="11">
        <v>400000</v>
      </c>
      <c r="F7" s="11" t="s">
        <v>20</v>
      </c>
      <c r="G7" s="12" t="s">
        <v>34</v>
      </c>
      <c r="H7" s="11" t="e" vm="1">
        <f t="shared" ca="1" si="0"/>
        <v>#NAME?</v>
      </c>
      <c r="J7" s="11">
        <v>2</v>
      </c>
      <c r="K7" s="17">
        <v>0</v>
      </c>
      <c r="L7" s="18">
        <f t="shared" si="1"/>
        <v>2</v>
      </c>
      <c r="M7" s="19">
        <v>0</v>
      </c>
      <c r="N7" s="19">
        <f t="shared" si="2"/>
        <v>0</v>
      </c>
      <c r="O7" s="18" t="str">
        <f>IF(N7=0, "0", TEXT(N7/1000^(INT(LOG(N7, 1000))), "#,##0.0") &amp; CHAR(96 + INT(LOG(N7, 1000)) + 1))</f>
        <v>0</v>
      </c>
      <c r="Q7" s="64"/>
      <c r="R7" s="20">
        <v>1</v>
      </c>
      <c r="S7" s="20">
        <v>10</v>
      </c>
      <c r="T7" s="15">
        <v>200</v>
      </c>
      <c r="U7" s="16">
        <f>((S7/100)*T7*R7)</f>
        <v>20</v>
      </c>
      <c r="V7" s="16">
        <f>U7*60*24</f>
        <v>28800</v>
      </c>
    </row>
    <row r="8" spans="1:26" ht="19.7" customHeight="1">
      <c r="A8" s="10" t="s">
        <v>29</v>
      </c>
      <c r="B8" s="11" t="s">
        <v>18</v>
      </c>
      <c r="C8" s="11"/>
      <c r="D8" s="11" t="s">
        <v>30</v>
      </c>
      <c r="E8" s="11">
        <v>400000</v>
      </c>
      <c r="F8" s="11" t="s">
        <v>20</v>
      </c>
      <c r="G8" s="12" t="s">
        <v>35</v>
      </c>
      <c r="H8" s="11" t="e" vm="1">
        <f t="shared" ca="1" si="0"/>
        <v>#NAME?</v>
      </c>
      <c r="J8" s="11">
        <v>3</v>
      </c>
      <c r="K8" s="17">
        <v>0</v>
      </c>
      <c r="L8" s="18">
        <f t="shared" si="1"/>
        <v>3</v>
      </c>
      <c r="M8" s="19">
        <v>0</v>
      </c>
      <c r="N8" s="19">
        <f t="shared" si="2"/>
        <v>0</v>
      </c>
      <c r="O8" s="18" t="str">
        <f>IF(N8=0, "0", TEXT(N8/1000^(INT(LOG(N8, 1000))), "#,##0.0") &amp; CHAR(96 + INT(LOG(N8, 1000)) + 1))</f>
        <v>0</v>
      </c>
    </row>
    <row r="9" spans="1:26" ht="19.7" customHeight="1">
      <c r="A9" s="10" t="s">
        <v>36</v>
      </c>
      <c r="B9" s="11" t="s">
        <v>18</v>
      </c>
      <c r="C9" s="11"/>
      <c r="D9" s="11" t="s">
        <v>30</v>
      </c>
      <c r="E9" s="11">
        <v>600000</v>
      </c>
      <c r="F9" s="11" t="s">
        <v>20</v>
      </c>
      <c r="G9" s="12" t="s">
        <v>37</v>
      </c>
      <c r="H9" s="11" t="e" vm="1">
        <f t="shared" ca="1" si="0"/>
        <v>#NAME?</v>
      </c>
      <c r="J9" s="11">
        <v>4</v>
      </c>
      <c r="K9" s="17">
        <v>20</v>
      </c>
      <c r="L9" s="18">
        <f t="shared" si="1"/>
        <v>104</v>
      </c>
      <c r="M9" s="19">
        <v>0</v>
      </c>
      <c r="N9" s="19">
        <f t="shared" si="2"/>
        <v>80</v>
      </c>
      <c r="O9" s="18" t="str">
        <f t="shared" ref="O9:O40" si="3">IF(N9=0, "0", TEXT(N9/1000^(INT(LOG(N9, 1000))), "#,##0.0") &amp; CHAR(96 + INT(LOG(N9, 1000)) + 0))</f>
        <v>80.0`</v>
      </c>
      <c r="X9" s="21" t="s">
        <v>38</v>
      </c>
    </row>
    <row r="10" spans="1:26" ht="19.7" customHeight="1">
      <c r="A10" s="10" t="s">
        <v>36</v>
      </c>
      <c r="B10" s="11" t="s">
        <v>18</v>
      </c>
      <c r="C10" s="11"/>
      <c r="D10" s="11" t="s">
        <v>39</v>
      </c>
      <c r="E10" s="11">
        <v>22000</v>
      </c>
      <c r="F10" s="11" t="s">
        <v>40</v>
      </c>
      <c r="G10" s="12" t="s">
        <v>41</v>
      </c>
      <c r="H10" s="11" t="e" vm="1">
        <f t="shared" ca="1" si="0"/>
        <v>#NAME?</v>
      </c>
      <c r="J10" s="11">
        <v>5</v>
      </c>
      <c r="K10" s="17">
        <v>20</v>
      </c>
      <c r="L10" s="18">
        <f t="shared" si="1"/>
        <v>125</v>
      </c>
      <c r="M10" s="19">
        <v>0</v>
      </c>
      <c r="N10" s="19">
        <f t="shared" si="2"/>
        <v>100</v>
      </c>
      <c r="O10" s="18" t="str">
        <f t="shared" si="3"/>
        <v>100.0`</v>
      </c>
      <c r="Q10" s="61" t="s">
        <v>42</v>
      </c>
      <c r="R10" s="61"/>
      <c r="T10" s="63" t="s">
        <v>43</v>
      </c>
      <c r="U10" s="63"/>
      <c r="V10" s="63" t="s">
        <v>44</v>
      </c>
      <c r="W10" s="63"/>
      <c r="X10" s="6" t="s">
        <v>45</v>
      </c>
      <c r="Y10" s="6" t="s">
        <v>46</v>
      </c>
      <c r="Z10" s="6" t="s">
        <v>47</v>
      </c>
    </row>
    <row r="11" spans="1:26" ht="19.7" customHeight="1">
      <c r="A11" s="10" t="s">
        <v>36</v>
      </c>
      <c r="B11" s="11" t="s">
        <v>18</v>
      </c>
      <c r="C11" s="11"/>
      <c r="D11" s="11" t="s">
        <v>39</v>
      </c>
      <c r="E11" s="11">
        <v>22000</v>
      </c>
      <c r="F11" s="11" t="s">
        <v>48</v>
      </c>
      <c r="G11" s="12" t="s">
        <v>49</v>
      </c>
      <c r="H11" s="11" t="e" vm="1">
        <f t="shared" ca="1" si="0"/>
        <v>#NAME?</v>
      </c>
      <c r="J11" s="11">
        <v>6</v>
      </c>
      <c r="K11" s="17">
        <v>20</v>
      </c>
      <c r="L11" s="18">
        <f t="shared" si="1"/>
        <v>146</v>
      </c>
      <c r="M11" s="19">
        <v>1</v>
      </c>
      <c r="N11" s="19">
        <f t="shared" si="2"/>
        <v>120120</v>
      </c>
      <c r="O11" s="18" t="str">
        <f t="shared" si="3"/>
        <v>120.1a</v>
      </c>
      <c r="Q11" s="22" t="s">
        <v>50</v>
      </c>
      <c r="R11" s="23">
        <f>V7</f>
        <v>28800</v>
      </c>
      <c r="T11" s="11" t="s">
        <v>51</v>
      </c>
      <c r="U11" s="24">
        <v>6000</v>
      </c>
      <c r="V11" s="11" t="s">
        <v>51</v>
      </c>
      <c r="W11" s="20">
        <v>0</v>
      </c>
      <c r="X11" s="11" t="s">
        <v>51</v>
      </c>
      <c r="Y11" s="11">
        <f>COUNTIF($A$5:$A$55,X11)</f>
        <v>2</v>
      </c>
      <c r="Z11" s="11">
        <f>COUNTIFS($A$5:$A$54,X11,C$5:C$54,"판매")</f>
        <v>2</v>
      </c>
    </row>
    <row r="12" spans="1:26" ht="19.7" customHeight="1">
      <c r="A12" s="10" t="s">
        <v>29</v>
      </c>
      <c r="B12" s="11" t="s">
        <v>18</v>
      </c>
      <c r="C12" s="11"/>
      <c r="D12" s="11" t="s">
        <v>30</v>
      </c>
      <c r="E12" s="11">
        <v>400000</v>
      </c>
      <c r="F12" s="11" t="s">
        <v>48</v>
      </c>
      <c r="G12" s="12" t="s">
        <v>52</v>
      </c>
      <c r="H12" s="11" t="e" vm="1">
        <f t="shared" ca="1" si="0"/>
        <v>#NAME?</v>
      </c>
      <c r="J12" s="11">
        <v>7</v>
      </c>
      <c r="K12" s="17">
        <v>50</v>
      </c>
      <c r="L12" s="18">
        <f t="shared" si="1"/>
        <v>407</v>
      </c>
      <c r="M12" s="19">
        <v>10</v>
      </c>
      <c r="N12" s="19">
        <f t="shared" si="2"/>
        <v>1200350</v>
      </c>
      <c r="O12" s="18" t="str">
        <f t="shared" si="3"/>
        <v>1.2b</v>
      </c>
      <c r="Q12" s="11" t="s">
        <v>53</v>
      </c>
      <c r="R12" s="23">
        <f>$R$11/3</f>
        <v>9600</v>
      </c>
      <c r="T12" s="11" t="s">
        <v>17</v>
      </c>
      <c r="U12" s="24">
        <v>10000</v>
      </c>
      <c r="V12" s="11" t="s">
        <v>17</v>
      </c>
      <c r="W12" s="20">
        <v>20</v>
      </c>
      <c r="X12" s="11" t="s">
        <v>17</v>
      </c>
      <c r="Y12" s="11">
        <f>COUNTIF($A$5:$A$55,X12)</f>
        <v>14</v>
      </c>
      <c r="Z12" s="11">
        <f>COUNTIFS($A$5:$A$54,X12,C$5:C$54,"판매")</f>
        <v>6</v>
      </c>
    </row>
    <row r="13" spans="1:26" ht="19.7" customHeight="1">
      <c r="A13" s="10" t="s">
        <v>29</v>
      </c>
      <c r="B13" s="11" t="s">
        <v>18</v>
      </c>
      <c r="C13" s="11"/>
      <c r="D13" s="11" t="s">
        <v>30</v>
      </c>
      <c r="E13" s="11">
        <v>400000</v>
      </c>
      <c r="F13" s="11" t="s">
        <v>54</v>
      </c>
      <c r="G13" s="12" t="s">
        <v>55</v>
      </c>
      <c r="H13" s="11" t="e" vm="1">
        <f t="shared" ca="1" si="0"/>
        <v>#NAME?</v>
      </c>
      <c r="J13" s="11">
        <v>8</v>
      </c>
      <c r="K13" s="17">
        <v>50</v>
      </c>
      <c r="L13" s="18">
        <f t="shared" si="1"/>
        <v>458</v>
      </c>
      <c r="M13" s="19">
        <v>20</v>
      </c>
      <c r="N13" s="19">
        <f t="shared" si="2"/>
        <v>2400400</v>
      </c>
      <c r="O13" s="18" t="str">
        <f t="shared" si="3"/>
        <v>2.4b</v>
      </c>
      <c r="Q13" s="22" t="s">
        <v>56</v>
      </c>
      <c r="R13" s="23">
        <f>$R$11/6</f>
        <v>4800</v>
      </c>
      <c r="T13" s="11" t="s">
        <v>29</v>
      </c>
      <c r="U13" s="24">
        <v>30000</v>
      </c>
      <c r="V13" s="11" t="s">
        <v>29</v>
      </c>
      <c r="W13" s="20">
        <v>50</v>
      </c>
      <c r="X13" s="11" t="s">
        <v>29</v>
      </c>
      <c r="Y13" s="11">
        <f>COUNTIF($A$5:$A$55,X13)</f>
        <v>21</v>
      </c>
      <c r="Z13" s="11">
        <f>COUNTIFS($A$5:$A$54,X13,C$5:C$54,"판매")</f>
        <v>1</v>
      </c>
    </row>
    <row r="14" spans="1:26" ht="19.7" customHeight="1">
      <c r="A14" s="10" t="s">
        <v>29</v>
      </c>
      <c r="B14" s="11" t="s">
        <v>18</v>
      </c>
      <c r="C14" s="11"/>
      <c r="D14" s="11" t="s">
        <v>30</v>
      </c>
      <c r="E14" s="11">
        <v>400000</v>
      </c>
      <c r="F14" s="11" t="s">
        <v>57</v>
      </c>
      <c r="G14" s="12" t="s">
        <v>58</v>
      </c>
      <c r="H14" s="11" t="e" vm="1">
        <f t="shared" ca="1" si="0"/>
        <v>#NAME?</v>
      </c>
      <c r="J14" s="11">
        <v>9</v>
      </c>
      <c r="K14" s="17">
        <v>50</v>
      </c>
      <c r="L14" s="18">
        <f t="shared" si="1"/>
        <v>509</v>
      </c>
      <c r="M14" s="19">
        <v>50</v>
      </c>
      <c r="N14" s="19">
        <f t="shared" si="2"/>
        <v>6000450</v>
      </c>
      <c r="O14" s="18" t="str">
        <f t="shared" si="3"/>
        <v>6.0b</v>
      </c>
      <c r="Q14" s="11" t="s">
        <v>59</v>
      </c>
      <c r="R14" s="23">
        <f>$R$11/24</f>
        <v>1200</v>
      </c>
      <c r="T14" s="11"/>
      <c r="U14" s="24"/>
      <c r="V14" s="11" t="s">
        <v>36</v>
      </c>
      <c r="W14" s="20">
        <v>75</v>
      </c>
      <c r="X14" s="25" t="s">
        <v>36</v>
      </c>
      <c r="Y14" s="11">
        <f>COUNTIF($A$5:$A$55,X14)</f>
        <v>13</v>
      </c>
      <c r="Z14" s="11">
        <f>COUNTIFS($A$5:$A$54,X14,C$5:C$54,"판매")</f>
        <v>0</v>
      </c>
    </row>
    <row r="15" spans="1:26" ht="19.7" customHeight="1">
      <c r="A15" s="26" t="s">
        <v>51</v>
      </c>
      <c r="B15" s="27" t="s">
        <v>18</v>
      </c>
      <c r="C15" s="11" t="s">
        <v>60</v>
      </c>
      <c r="D15" s="27" t="s">
        <v>19</v>
      </c>
      <c r="E15" s="27">
        <v>0</v>
      </c>
      <c r="F15" s="27" t="s">
        <v>61</v>
      </c>
      <c r="G15" s="28" t="s">
        <v>62</v>
      </c>
      <c r="H15" s="27" t="e" vm="1">
        <f t="shared" ca="1" si="0"/>
        <v>#NAME?</v>
      </c>
      <c r="J15" s="11">
        <v>10</v>
      </c>
      <c r="K15" s="17">
        <v>50</v>
      </c>
      <c r="L15" s="18">
        <f t="shared" si="1"/>
        <v>560</v>
      </c>
      <c r="M15" s="19">
        <v>80</v>
      </c>
      <c r="N15" s="19">
        <f t="shared" si="2"/>
        <v>9600500</v>
      </c>
      <c r="O15" s="18" t="str">
        <f t="shared" si="3"/>
        <v>9.6b</v>
      </c>
    </row>
    <row r="16" spans="1:26" ht="19.7" customHeight="1">
      <c r="A16" s="10" t="s">
        <v>36</v>
      </c>
      <c r="B16" s="11" t="s">
        <v>18</v>
      </c>
      <c r="C16" s="11"/>
      <c r="D16" s="11" t="s">
        <v>39</v>
      </c>
      <c r="E16" s="11">
        <v>22000</v>
      </c>
      <c r="F16" s="11" t="s">
        <v>63</v>
      </c>
      <c r="G16" s="12" t="s">
        <v>64</v>
      </c>
      <c r="H16" s="11" t="e" vm="1">
        <f t="shared" ca="1" si="0"/>
        <v>#NAME?</v>
      </c>
      <c r="J16" s="11">
        <v>11</v>
      </c>
      <c r="K16" s="17">
        <v>70</v>
      </c>
      <c r="L16" s="18">
        <f t="shared" si="1"/>
        <v>851</v>
      </c>
      <c r="M16" s="19">
        <v>100</v>
      </c>
      <c r="N16" s="19">
        <f t="shared" si="2"/>
        <v>12000770</v>
      </c>
      <c r="O16" s="18" t="str">
        <f t="shared" si="3"/>
        <v>12.0b</v>
      </c>
      <c r="Q16" s="2" t="s">
        <v>65</v>
      </c>
    </row>
    <row r="17" spans="1:34" ht="19.7" customHeight="1">
      <c r="A17" s="10" t="s">
        <v>29</v>
      </c>
      <c r="B17" s="11" t="s">
        <v>18</v>
      </c>
      <c r="C17" s="11"/>
      <c r="D17" s="11" t="s">
        <v>30</v>
      </c>
      <c r="E17" s="11">
        <v>400000</v>
      </c>
      <c r="F17" s="11" t="s">
        <v>63</v>
      </c>
      <c r="G17" s="12" t="s">
        <v>66</v>
      </c>
      <c r="H17" s="11" t="e" vm="1">
        <f t="shared" ca="1" si="0"/>
        <v>#NAME?</v>
      </c>
      <c r="J17" s="11">
        <v>12</v>
      </c>
      <c r="K17" s="17">
        <v>70</v>
      </c>
      <c r="L17" s="18">
        <f t="shared" si="1"/>
        <v>922</v>
      </c>
      <c r="M17" s="19">
        <v>200</v>
      </c>
      <c r="N17" s="19">
        <f t="shared" si="2"/>
        <v>24000840</v>
      </c>
      <c r="O17" s="18" t="str">
        <f t="shared" si="3"/>
        <v>24.0b</v>
      </c>
      <c r="Q17" s="61" t="s">
        <v>67</v>
      </c>
      <c r="R17" s="61"/>
      <c r="S17" s="61"/>
    </row>
    <row r="18" spans="1:34" ht="19.7" customHeight="1">
      <c r="A18" s="10" t="s">
        <v>36</v>
      </c>
      <c r="B18" s="11" t="s">
        <v>18</v>
      </c>
      <c r="C18" s="11"/>
      <c r="D18" s="11" t="s">
        <v>39</v>
      </c>
      <c r="E18" s="11">
        <v>22000</v>
      </c>
      <c r="F18" s="11" t="s">
        <v>68</v>
      </c>
      <c r="G18" s="12" t="s">
        <v>69</v>
      </c>
      <c r="H18" s="11" t="e" vm="1">
        <f t="shared" ca="1" si="0"/>
        <v>#NAME?</v>
      </c>
      <c r="J18" s="11">
        <v>13</v>
      </c>
      <c r="K18" s="17">
        <v>70</v>
      </c>
      <c r="L18" s="18">
        <f t="shared" si="1"/>
        <v>993</v>
      </c>
      <c r="M18" s="19">
        <v>600</v>
      </c>
      <c r="N18" s="19">
        <f t="shared" si="2"/>
        <v>72000910</v>
      </c>
      <c r="O18" s="18" t="str">
        <f t="shared" si="3"/>
        <v>72.0b</v>
      </c>
      <c r="Q18" s="11"/>
      <c r="R18" s="11" t="s">
        <v>70</v>
      </c>
      <c r="S18" s="11" t="s">
        <v>71</v>
      </c>
    </row>
    <row r="19" spans="1:34" ht="19.7" customHeight="1">
      <c r="A19" s="10" t="s">
        <v>29</v>
      </c>
      <c r="B19" s="11" t="s">
        <v>18</v>
      </c>
      <c r="C19" s="11"/>
      <c r="D19" s="11" t="s">
        <v>30</v>
      </c>
      <c r="E19" s="11">
        <v>400000</v>
      </c>
      <c r="F19" s="11" t="s">
        <v>68</v>
      </c>
      <c r="G19" s="12" t="s">
        <v>72</v>
      </c>
      <c r="H19" s="11" t="e" vm="1">
        <f t="shared" ca="1" si="0"/>
        <v>#NAME?</v>
      </c>
      <c r="J19" s="11">
        <v>14</v>
      </c>
      <c r="K19" s="17">
        <v>70</v>
      </c>
      <c r="L19" s="18">
        <f t="shared" si="1"/>
        <v>1064</v>
      </c>
      <c r="M19" s="19">
        <v>900</v>
      </c>
      <c r="N19" s="19">
        <f t="shared" si="2"/>
        <v>108000980</v>
      </c>
      <c r="O19" s="18" t="str">
        <f t="shared" si="3"/>
        <v>108.0b</v>
      </c>
      <c r="Q19" s="29" t="s">
        <v>73</v>
      </c>
      <c r="R19" s="16">
        <f>U11*1</f>
        <v>6000</v>
      </c>
      <c r="S19" s="16">
        <f>U11*Z11</f>
        <v>12000</v>
      </c>
      <c r="X19"/>
      <c r="Y19"/>
      <c r="Z19"/>
      <c r="AA19"/>
      <c r="AB19"/>
      <c r="AC19"/>
      <c r="AD19"/>
      <c r="AE19"/>
      <c r="AF19"/>
      <c r="AG19"/>
    </row>
    <row r="20" spans="1:34" ht="19.7" customHeight="1">
      <c r="A20" s="10" t="s">
        <v>17</v>
      </c>
      <c r="B20" s="11" t="s">
        <v>18</v>
      </c>
      <c r="C20" s="11" t="s">
        <v>60</v>
      </c>
      <c r="D20" s="11" t="s">
        <v>19</v>
      </c>
      <c r="E20" s="11">
        <v>0</v>
      </c>
      <c r="F20" s="11" t="s">
        <v>68</v>
      </c>
      <c r="G20" s="12" t="s">
        <v>74</v>
      </c>
      <c r="H20" s="11" t="e" vm="1">
        <f t="shared" ca="1" si="0"/>
        <v>#NAME?</v>
      </c>
      <c r="J20" s="11">
        <v>15</v>
      </c>
      <c r="K20" s="17">
        <v>70</v>
      </c>
      <c r="L20" s="18">
        <f t="shared" si="1"/>
        <v>1135</v>
      </c>
      <c r="M20" s="19">
        <v>1200</v>
      </c>
      <c r="N20" s="19">
        <f t="shared" si="2"/>
        <v>144001050</v>
      </c>
      <c r="O20" s="18" t="str">
        <f t="shared" si="3"/>
        <v>144.0b</v>
      </c>
      <c r="Q20" s="29" t="s">
        <v>75</v>
      </c>
      <c r="R20" s="16">
        <f>U12*1</f>
        <v>10000</v>
      </c>
      <c r="S20" s="16">
        <f>U12*Z12</f>
        <v>60000</v>
      </c>
      <c r="U20" s="30"/>
      <c r="X20"/>
      <c r="Y20"/>
      <c r="Z20"/>
      <c r="AA20"/>
      <c r="AB20"/>
      <c r="AC20"/>
      <c r="AD20"/>
      <c r="AE20"/>
      <c r="AF20"/>
      <c r="AG20"/>
    </row>
    <row r="21" spans="1:34" ht="19.7" customHeight="1">
      <c r="A21" s="10" t="s">
        <v>36</v>
      </c>
      <c r="B21" s="11" t="s">
        <v>18</v>
      </c>
      <c r="C21" s="11"/>
      <c r="D21" s="11" t="s">
        <v>39</v>
      </c>
      <c r="E21" s="11">
        <v>22000</v>
      </c>
      <c r="F21" s="11" t="s">
        <v>76</v>
      </c>
      <c r="G21" s="12" t="s">
        <v>77</v>
      </c>
      <c r="H21" s="11" t="e" vm="1">
        <f t="shared" ca="1" si="0"/>
        <v>#NAME?</v>
      </c>
      <c r="J21" s="11">
        <v>16</v>
      </c>
      <c r="K21" s="17">
        <v>100</v>
      </c>
      <c r="L21" s="18">
        <f t="shared" si="1"/>
        <v>1716</v>
      </c>
      <c r="M21" s="19">
        <v>2000</v>
      </c>
      <c r="N21" s="19">
        <f t="shared" si="2"/>
        <v>240001600</v>
      </c>
      <c r="O21" s="18" t="str">
        <f t="shared" si="3"/>
        <v>240.0b</v>
      </c>
      <c r="Q21" s="29" t="s">
        <v>78</v>
      </c>
      <c r="R21" s="16">
        <f>U13*1</f>
        <v>30000</v>
      </c>
      <c r="S21" s="16">
        <f>U13*Z13</f>
        <v>30000</v>
      </c>
      <c r="T21" s="31"/>
      <c r="U21" s="31"/>
      <c r="V21" s="31"/>
      <c r="X21"/>
      <c r="Y21"/>
      <c r="Z21"/>
      <c r="AA21"/>
      <c r="AB21"/>
      <c r="AC21"/>
      <c r="AD21"/>
      <c r="AE21"/>
      <c r="AF21"/>
      <c r="AG21"/>
    </row>
    <row r="22" spans="1:34" ht="19.7" customHeight="1">
      <c r="A22" s="10" t="s">
        <v>17</v>
      </c>
      <c r="B22" s="11" t="s">
        <v>18</v>
      </c>
      <c r="C22" s="11"/>
      <c r="D22" s="11" t="s">
        <v>19</v>
      </c>
      <c r="E22" s="11">
        <v>0</v>
      </c>
      <c r="F22" s="11" t="s">
        <v>76</v>
      </c>
      <c r="G22" s="12" t="s">
        <v>79</v>
      </c>
      <c r="H22" s="11" t="e" vm="1">
        <f t="shared" ca="1" si="0"/>
        <v>#NAME?</v>
      </c>
      <c r="J22" s="11">
        <v>17</v>
      </c>
      <c r="K22" s="17">
        <v>100</v>
      </c>
      <c r="L22" s="18">
        <f t="shared" si="1"/>
        <v>1817</v>
      </c>
      <c r="M22" s="19">
        <v>2500</v>
      </c>
      <c r="N22" s="19">
        <f t="shared" si="2"/>
        <v>300001700</v>
      </c>
      <c r="O22" s="18" t="str">
        <f t="shared" si="3"/>
        <v>300.0b</v>
      </c>
      <c r="Q22" s="29" t="s">
        <v>80</v>
      </c>
      <c r="R22" s="16" t="s">
        <v>19</v>
      </c>
      <c r="S22" s="16" t="s">
        <v>19</v>
      </c>
      <c r="T22" s="61" t="s">
        <v>81</v>
      </c>
      <c r="U22" s="61"/>
      <c r="V22" s="61"/>
      <c r="X22"/>
      <c r="Y22"/>
      <c r="Z22"/>
      <c r="AA22"/>
      <c r="AB22"/>
      <c r="AC22"/>
      <c r="AD22"/>
      <c r="AE22"/>
      <c r="AF22"/>
      <c r="AG22"/>
      <c r="AH22"/>
    </row>
    <row r="23" spans="1:34" ht="19.7" customHeight="1">
      <c r="A23" s="10" t="s">
        <v>17</v>
      </c>
      <c r="B23" s="11" t="s">
        <v>82</v>
      </c>
      <c r="C23" s="11"/>
      <c r="D23" s="11" t="s">
        <v>19</v>
      </c>
      <c r="E23" s="11">
        <v>0</v>
      </c>
      <c r="F23" s="11" t="s">
        <v>20</v>
      </c>
      <c r="G23" s="12" t="s">
        <v>83</v>
      </c>
      <c r="H23" s="11" t="e" vm="1">
        <f t="shared" ca="1" si="0"/>
        <v>#NAME?</v>
      </c>
      <c r="J23" s="11">
        <v>18</v>
      </c>
      <c r="K23" s="17">
        <v>100</v>
      </c>
      <c r="L23" s="18">
        <f t="shared" si="1"/>
        <v>1918</v>
      </c>
      <c r="M23" s="19">
        <v>2987</v>
      </c>
      <c r="N23" s="19">
        <f t="shared" si="2"/>
        <v>358441800</v>
      </c>
      <c r="O23" s="18" t="str">
        <f t="shared" si="3"/>
        <v>358.4b</v>
      </c>
      <c r="Q23" s="62" t="s">
        <v>84</v>
      </c>
      <c r="R23" s="62"/>
      <c r="S23" s="19">
        <f>SUM(S19:S22)</f>
        <v>102000</v>
      </c>
      <c r="T23" s="11" t="s">
        <v>70</v>
      </c>
      <c r="U23" s="11" t="s">
        <v>71</v>
      </c>
      <c r="V23" s="11" t="s">
        <v>26</v>
      </c>
      <c r="X23"/>
      <c r="Y23"/>
      <c r="Z23"/>
      <c r="AA23"/>
      <c r="AB23"/>
      <c r="AC23"/>
      <c r="AD23"/>
      <c r="AE23"/>
      <c r="AF23"/>
      <c r="AG23"/>
      <c r="AH23"/>
    </row>
    <row r="24" spans="1:34" ht="19.7" customHeight="1">
      <c r="A24" s="10" t="s">
        <v>29</v>
      </c>
      <c r="B24" s="11" t="s">
        <v>82</v>
      </c>
      <c r="C24" s="11"/>
      <c r="D24" s="11" t="s">
        <v>30</v>
      </c>
      <c r="E24" s="11">
        <v>100000</v>
      </c>
      <c r="F24" s="11" t="s">
        <v>20</v>
      </c>
      <c r="G24" s="12" t="s">
        <v>85</v>
      </c>
      <c r="H24" s="11" t="e" vm="1">
        <f t="shared" ca="1" si="0"/>
        <v>#NAME?</v>
      </c>
      <c r="J24" s="11">
        <v>19</v>
      </c>
      <c r="K24" s="17">
        <v>100</v>
      </c>
      <c r="L24" s="18">
        <f t="shared" si="1"/>
        <v>2019</v>
      </c>
      <c r="M24" s="19">
        <v>4369</v>
      </c>
      <c r="N24" s="19">
        <f t="shared" si="2"/>
        <v>524281900</v>
      </c>
      <c r="O24" s="18" t="str">
        <f t="shared" si="3"/>
        <v>524.3b</v>
      </c>
      <c r="Q24" s="32" t="s">
        <v>86</v>
      </c>
      <c r="R24" s="33">
        <f ca="1">SUM(OFFSET($L$6, 0, 0, W12))</f>
        <v>16870</v>
      </c>
      <c r="S24" s="16">
        <f ca="1">R24*Y12</f>
        <v>236180</v>
      </c>
      <c r="T24" s="33">
        <f ca="1">SUM(OFFSET($N$6, 0, 0, W12))</f>
        <v>2544135550</v>
      </c>
      <c r="U24" s="16">
        <f ca="1">T24*Y12</f>
        <v>35617897700</v>
      </c>
      <c r="V24" s="11" t="str">
        <f ca="1">IF(U24=0, "0", TEXT(U24/1000^(INT(LOG(U24, 1000))), "#,##0.0") &amp; CHAR(96 + INT(LOG(U24, 1000)) + 0))</f>
        <v>35.6c</v>
      </c>
      <c r="X24"/>
      <c r="Y24"/>
      <c r="Z24"/>
      <c r="AA24"/>
      <c r="AB24"/>
      <c r="AC24"/>
      <c r="AD24"/>
      <c r="AE24"/>
      <c r="AF24"/>
      <c r="AG24"/>
      <c r="AH24"/>
    </row>
    <row r="25" spans="1:34" ht="19.7" customHeight="1">
      <c r="A25" s="10" t="s">
        <v>29</v>
      </c>
      <c r="B25" s="11" t="s">
        <v>82</v>
      </c>
      <c r="C25" s="11"/>
      <c r="D25" s="11" t="s">
        <v>30</v>
      </c>
      <c r="E25" s="11">
        <v>200000</v>
      </c>
      <c r="F25" s="11" t="s">
        <v>20</v>
      </c>
      <c r="G25" s="12" t="s">
        <v>87</v>
      </c>
      <c r="H25" s="11" t="e" vm="1">
        <f t="shared" ca="1" si="0"/>
        <v>#NAME?</v>
      </c>
      <c r="J25" s="11">
        <v>20</v>
      </c>
      <c r="K25" s="17">
        <v>100</v>
      </c>
      <c r="L25" s="18">
        <f t="shared" si="1"/>
        <v>2120</v>
      </c>
      <c r="M25" s="19">
        <v>6184</v>
      </c>
      <c r="N25" s="19">
        <f t="shared" si="2"/>
        <v>742082000</v>
      </c>
      <c r="O25" s="18" t="str">
        <f t="shared" si="3"/>
        <v>742.1b</v>
      </c>
      <c r="Q25" s="32" t="s">
        <v>88</v>
      </c>
      <c r="R25" s="33">
        <f ca="1">SUM(OFFSET($L$6, 0, 0, W13))</f>
        <v>246505</v>
      </c>
      <c r="S25" s="16">
        <f ca="1">R25*Y13</f>
        <v>5176605</v>
      </c>
      <c r="T25" s="33">
        <f ca="1">SUM(OFFSET($N$6, 0, 0, W13))</f>
        <v>990800878200</v>
      </c>
      <c r="U25" s="16">
        <f ca="1">T25*Y13</f>
        <v>20806818442200</v>
      </c>
      <c r="V25" s="11" t="str">
        <f ca="1">IF(U25=0, "0", TEXT(U25/1000^(INT(LOG(U25, 1000))), "#,##0.0") &amp; CHAR(96 + INT(LOG(U25, 1000)) + 0))</f>
        <v>20.8d</v>
      </c>
      <c r="X25"/>
      <c r="Y25"/>
      <c r="Z25"/>
      <c r="AA25"/>
      <c r="AB25"/>
      <c r="AC25"/>
      <c r="AD25"/>
      <c r="AE25"/>
      <c r="AF25"/>
      <c r="AG25"/>
      <c r="AH25"/>
    </row>
    <row r="26" spans="1:34" ht="19.7" customHeight="1">
      <c r="A26" s="10" t="s">
        <v>29</v>
      </c>
      <c r="B26" s="11" t="s">
        <v>82</v>
      </c>
      <c r="C26" s="11"/>
      <c r="D26" s="11" t="s">
        <v>30</v>
      </c>
      <c r="E26" s="11">
        <v>200000</v>
      </c>
      <c r="F26" s="11" t="s">
        <v>20</v>
      </c>
      <c r="G26" s="12" t="s">
        <v>89</v>
      </c>
      <c r="H26" s="11" t="e" vm="1">
        <f t="shared" ca="1" si="0"/>
        <v>#NAME?</v>
      </c>
      <c r="J26" s="11">
        <v>21</v>
      </c>
      <c r="K26" s="17">
        <v>130</v>
      </c>
      <c r="L26" s="18">
        <f t="shared" si="1"/>
        <v>2881</v>
      </c>
      <c r="M26" s="19">
        <v>8514</v>
      </c>
      <c r="N26" s="19">
        <f t="shared" si="2"/>
        <v>1021682730</v>
      </c>
      <c r="O26" s="18" t="str">
        <f t="shared" si="3"/>
        <v>1.0c</v>
      </c>
      <c r="Q26" s="32" t="s">
        <v>90</v>
      </c>
      <c r="R26" s="33">
        <f ca="1">SUM(OFFSET($L$6, 0, 0, W14))</f>
        <v>1050630</v>
      </c>
      <c r="S26" s="16">
        <f ca="1">R26*Y14</f>
        <v>13658190</v>
      </c>
      <c r="T26" s="33">
        <f ca="1">SUM(OFFSET($N$6, 0, 0, W14))</f>
        <v>10012004348500</v>
      </c>
      <c r="U26" s="16">
        <f ca="1">T26*Y14</f>
        <v>130156056530500</v>
      </c>
      <c r="V26" s="11" t="str">
        <f ca="1">IF(U26=0, "0", TEXT(U26/1000^(INT(LOG(U26, 1000))), "#,##0.0") &amp; CHAR(96 + INT(LOG(U26, 1000)) + 0))</f>
        <v>130.2d</v>
      </c>
    </row>
    <row r="27" spans="1:34" ht="19.7" customHeight="1">
      <c r="A27" s="10" t="s">
        <v>29</v>
      </c>
      <c r="B27" s="11" t="s">
        <v>82</v>
      </c>
      <c r="C27" s="11"/>
      <c r="D27" s="11" t="s">
        <v>30</v>
      </c>
      <c r="E27" s="11">
        <v>300000</v>
      </c>
      <c r="F27" s="11" t="s">
        <v>20</v>
      </c>
      <c r="G27" s="12" t="s">
        <v>91</v>
      </c>
      <c r="H27" s="11" t="e" vm="1">
        <f t="shared" ca="1" si="0"/>
        <v>#NAME?</v>
      </c>
      <c r="J27" s="11">
        <v>22</v>
      </c>
      <c r="K27" s="17">
        <v>130</v>
      </c>
      <c r="L27" s="18">
        <f t="shared" si="1"/>
        <v>3012</v>
      </c>
      <c r="M27" s="19">
        <v>11448</v>
      </c>
      <c r="N27" s="19">
        <f t="shared" si="2"/>
        <v>1373762860</v>
      </c>
      <c r="O27" s="18" t="str">
        <f t="shared" si="3"/>
        <v>1.4c</v>
      </c>
      <c r="Q27" s="62" t="s">
        <v>84</v>
      </c>
      <c r="R27" s="62"/>
      <c r="S27" s="19">
        <f ca="1">SUM(S24:S26)</f>
        <v>19070975</v>
      </c>
      <c r="T27" s="19">
        <f ca="1">SUM(T24:T26)</f>
        <v>11005349362250</v>
      </c>
      <c r="U27" s="19">
        <f ca="1">SUM(U24:U26)</f>
        <v>150998492870400</v>
      </c>
      <c r="V27" s="34" t="str">
        <f ca="1">IF(U27=0, "0", TEXT(U27/1000^(INT(LOG(U27, 1000))), "#,##0.0") &amp; CHAR(96 + INT(LOG(U27, 1000)) + 0))</f>
        <v>151.0d</v>
      </c>
      <c r="AA27" s="35"/>
      <c r="AB27" s="35"/>
      <c r="AD27"/>
    </row>
    <row r="28" spans="1:34" ht="19.7" customHeight="1">
      <c r="A28" s="10" t="s">
        <v>36</v>
      </c>
      <c r="B28" s="11" t="s">
        <v>82</v>
      </c>
      <c r="C28" s="11"/>
      <c r="D28" s="11" t="s">
        <v>39</v>
      </c>
      <c r="E28" s="11">
        <v>22000</v>
      </c>
      <c r="F28" s="11" t="s">
        <v>40</v>
      </c>
      <c r="G28" s="12" t="s">
        <v>92</v>
      </c>
      <c r="H28" s="11" t="e" vm="1">
        <f t="shared" ca="1" si="0"/>
        <v>#NAME?</v>
      </c>
      <c r="J28" s="11">
        <v>23</v>
      </c>
      <c r="K28" s="17">
        <v>130</v>
      </c>
      <c r="L28" s="18">
        <f t="shared" si="1"/>
        <v>3143</v>
      </c>
      <c r="M28" s="19">
        <v>15083</v>
      </c>
      <c r="N28" s="19">
        <f t="shared" si="2"/>
        <v>1809962990</v>
      </c>
      <c r="O28" s="18" t="str">
        <f t="shared" si="3"/>
        <v>1.8c</v>
      </c>
      <c r="Q28" s="58" t="s">
        <v>93</v>
      </c>
      <c r="R28" s="58"/>
      <c r="S28" s="24">
        <v>1000000</v>
      </c>
      <c r="X28"/>
      <c r="Y28"/>
      <c r="Z28"/>
      <c r="AA28"/>
      <c r="AB28"/>
      <c r="AC28"/>
      <c r="AD28"/>
      <c r="AE28"/>
      <c r="AF28"/>
      <c r="AG28"/>
    </row>
    <row r="29" spans="1:34" ht="19.7" customHeight="1">
      <c r="A29" s="10" t="s">
        <v>36</v>
      </c>
      <c r="B29" s="11" t="s">
        <v>82</v>
      </c>
      <c r="C29" s="11"/>
      <c r="D29" s="11" t="s">
        <v>39</v>
      </c>
      <c r="E29" s="11">
        <v>22000</v>
      </c>
      <c r="F29" s="11" t="s">
        <v>48</v>
      </c>
      <c r="G29" s="12" t="s">
        <v>94</v>
      </c>
      <c r="H29" s="11" t="e" vm="1">
        <f t="shared" ca="1" si="0"/>
        <v>#NAME?</v>
      </c>
      <c r="J29" s="11">
        <v>24</v>
      </c>
      <c r="K29" s="17">
        <v>130</v>
      </c>
      <c r="L29" s="18">
        <f t="shared" si="1"/>
        <v>3274</v>
      </c>
      <c r="M29" s="19">
        <v>19523</v>
      </c>
      <c r="N29" s="19">
        <f t="shared" si="2"/>
        <v>2342763120</v>
      </c>
      <c r="O29" s="18" t="str">
        <f t="shared" si="3"/>
        <v>2.3c</v>
      </c>
      <c r="Q29" s="62" t="s">
        <v>84</v>
      </c>
      <c r="R29" s="62"/>
      <c r="S29" s="19">
        <f ca="1">S27-S28</f>
        <v>18070975</v>
      </c>
      <c r="X29"/>
      <c r="Y29"/>
      <c r="Z29"/>
      <c r="AA29"/>
      <c r="AB29"/>
      <c r="AC29"/>
      <c r="AD29"/>
      <c r="AE29"/>
      <c r="AF29"/>
      <c r="AG29"/>
    </row>
    <row r="30" spans="1:34" ht="19.7" customHeight="1">
      <c r="A30" s="10" t="s">
        <v>17</v>
      </c>
      <c r="B30" s="11" t="s">
        <v>82</v>
      </c>
      <c r="C30" s="11" t="s">
        <v>60</v>
      </c>
      <c r="D30" s="11" t="s">
        <v>19</v>
      </c>
      <c r="E30" s="11">
        <v>0</v>
      </c>
      <c r="F30" s="11" t="s">
        <v>48</v>
      </c>
      <c r="G30" s="12" t="s">
        <v>95</v>
      </c>
      <c r="H30" s="11" t="e" vm="1">
        <f t="shared" ca="1" si="0"/>
        <v>#NAME?</v>
      </c>
      <c r="J30" s="11">
        <v>25</v>
      </c>
      <c r="K30" s="17">
        <v>130</v>
      </c>
      <c r="L30" s="18">
        <f t="shared" si="1"/>
        <v>3405</v>
      </c>
      <c r="M30" s="19">
        <v>24878</v>
      </c>
      <c r="N30" s="19">
        <f t="shared" si="2"/>
        <v>2985363250</v>
      </c>
      <c r="O30" s="18" t="str">
        <f t="shared" si="3"/>
        <v>3.0c</v>
      </c>
      <c r="Q30" s="58" t="s">
        <v>96</v>
      </c>
      <c r="R30" s="58"/>
      <c r="S30" s="24">
        <f>Z58</f>
        <v>3930000</v>
      </c>
      <c r="T30" s="19">
        <f ca="1">S29-S30</f>
        <v>14140975</v>
      </c>
      <c r="X30"/>
      <c r="Y30"/>
      <c r="Z30"/>
      <c r="AA30"/>
      <c r="AB30"/>
      <c r="AC30"/>
      <c r="AD30"/>
      <c r="AE30"/>
      <c r="AF30"/>
      <c r="AG30"/>
    </row>
    <row r="31" spans="1:34" ht="19.7" customHeight="1">
      <c r="A31" s="10" t="s">
        <v>29</v>
      </c>
      <c r="B31" s="11" t="s">
        <v>82</v>
      </c>
      <c r="C31" s="11"/>
      <c r="D31" s="11" t="s">
        <v>30</v>
      </c>
      <c r="E31" s="11">
        <v>200000</v>
      </c>
      <c r="F31" s="11" t="s">
        <v>48</v>
      </c>
      <c r="G31" s="12" t="s">
        <v>97</v>
      </c>
      <c r="H31" s="11" t="e" vm="1">
        <f t="shared" ca="1" si="0"/>
        <v>#NAME?</v>
      </c>
      <c r="J31" s="11">
        <v>26</v>
      </c>
      <c r="K31" s="17">
        <v>150</v>
      </c>
      <c r="L31" s="18">
        <f t="shared" si="1"/>
        <v>4076</v>
      </c>
      <c r="M31" s="19">
        <v>31266</v>
      </c>
      <c r="N31" s="19">
        <f t="shared" si="2"/>
        <v>3751923900</v>
      </c>
      <c r="O31" s="18" t="str">
        <f t="shared" si="3"/>
        <v>3.8c</v>
      </c>
      <c r="Q31" s="58" t="s">
        <v>98</v>
      </c>
      <c r="R31" s="58"/>
      <c r="S31" s="24">
        <f>S30*3</f>
        <v>11790000</v>
      </c>
      <c r="T31" s="19">
        <f ca="1">S29-S31</f>
        <v>6280975</v>
      </c>
      <c r="U31" s="31"/>
      <c r="V31" s="31"/>
      <c r="W31" s="31"/>
      <c r="X31"/>
      <c r="Y31"/>
      <c r="Z31"/>
      <c r="AA31"/>
      <c r="AB31"/>
      <c r="AC31"/>
      <c r="AD31"/>
      <c r="AE31"/>
      <c r="AF31"/>
      <c r="AG31"/>
    </row>
    <row r="32" spans="1:34" ht="19.7" customHeight="1">
      <c r="A32" s="10" t="s">
        <v>29</v>
      </c>
      <c r="B32" s="11" t="s">
        <v>82</v>
      </c>
      <c r="C32" s="11"/>
      <c r="D32" s="11" t="s">
        <v>30</v>
      </c>
      <c r="E32" s="11">
        <v>200000</v>
      </c>
      <c r="F32" s="11" t="s">
        <v>54</v>
      </c>
      <c r="G32" s="12" t="s">
        <v>99</v>
      </c>
      <c r="H32" s="11" t="e" vm="1">
        <f t="shared" ca="1" si="0"/>
        <v>#NAME?</v>
      </c>
      <c r="J32" s="11">
        <v>27</v>
      </c>
      <c r="K32" s="17">
        <v>150</v>
      </c>
      <c r="L32" s="18">
        <f t="shared" si="1"/>
        <v>4227</v>
      </c>
      <c r="M32" s="19">
        <v>38813</v>
      </c>
      <c r="N32" s="19">
        <f t="shared" si="2"/>
        <v>4657564050</v>
      </c>
      <c r="O32" s="18" t="str">
        <f t="shared" si="3"/>
        <v>4.7c</v>
      </c>
      <c r="Q32" s="58" t="s">
        <v>100</v>
      </c>
      <c r="R32" s="58"/>
      <c r="S32" s="24">
        <f>S30*3</f>
        <v>11790000</v>
      </c>
      <c r="T32" s="19">
        <f ca="1">S29-S32</f>
        <v>6280975</v>
      </c>
      <c r="U32" s="31"/>
      <c r="V32" s="31"/>
      <c r="W32" s="31"/>
      <c r="AA32"/>
    </row>
    <row r="33" spans="1:25" ht="19.7" customHeight="1">
      <c r="A33" s="10" t="s">
        <v>29</v>
      </c>
      <c r="B33" s="11" t="s">
        <v>82</v>
      </c>
      <c r="C33" s="11"/>
      <c r="D33" s="11" t="s">
        <v>30</v>
      </c>
      <c r="E33" s="11">
        <v>200000</v>
      </c>
      <c r="F33" s="11" t="s">
        <v>57</v>
      </c>
      <c r="G33" s="12" t="s">
        <v>101</v>
      </c>
      <c r="H33" s="11" t="e" vm="1">
        <f t="shared" ca="1" si="0"/>
        <v>#NAME?</v>
      </c>
      <c r="J33" s="11">
        <v>28</v>
      </c>
      <c r="K33" s="17">
        <v>150</v>
      </c>
      <c r="L33" s="18">
        <f t="shared" si="1"/>
        <v>4378</v>
      </c>
      <c r="M33" s="19">
        <v>47649</v>
      </c>
      <c r="N33" s="19">
        <f t="shared" si="2"/>
        <v>5717884200</v>
      </c>
      <c r="O33" s="18" t="str">
        <f t="shared" si="3"/>
        <v>5.7c</v>
      </c>
      <c r="Q33" s="31"/>
      <c r="R33" s="31"/>
      <c r="S33" s="31"/>
      <c r="T33" s="31"/>
      <c r="U33" s="31"/>
      <c r="V33" s="31"/>
      <c r="W33" s="31"/>
    </row>
    <row r="34" spans="1:25" ht="19.7" customHeight="1">
      <c r="A34" s="10" t="s">
        <v>36</v>
      </c>
      <c r="B34" s="11" t="s">
        <v>82</v>
      </c>
      <c r="C34" s="11"/>
      <c r="D34" s="11" t="s">
        <v>39</v>
      </c>
      <c r="E34" s="11">
        <v>22000</v>
      </c>
      <c r="F34" s="11" t="s">
        <v>63</v>
      </c>
      <c r="G34" s="12" t="s">
        <v>102</v>
      </c>
      <c r="H34" s="11" t="e" vm="1">
        <f t="shared" ca="1" si="0"/>
        <v>#NAME?</v>
      </c>
      <c r="J34" s="11">
        <v>29</v>
      </c>
      <c r="K34" s="17">
        <v>150</v>
      </c>
      <c r="L34" s="18">
        <f t="shared" si="1"/>
        <v>4529</v>
      </c>
      <c r="M34" s="19">
        <v>57916</v>
      </c>
      <c r="N34" s="19">
        <f t="shared" si="2"/>
        <v>6949924350</v>
      </c>
      <c r="O34" s="18" t="str">
        <f t="shared" si="3"/>
        <v>6.9c</v>
      </c>
      <c r="Q34" s="36"/>
      <c r="R34" s="59" t="s">
        <v>103</v>
      </c>
      <c r="S34" s="59" t="s">
        <v>104</v>
      </c>
      <c r="T34" s="60" t="s">
        <v>105</v>
      </c>
      <c r="U34" s="60" t="s">
        <v>104</v>
      </c>
      <c r="V34" s="61" t="s">
        <v>106</v>
      </c>
      <c r="W34" s="61"/>
      <c r="X34" s="61" t="s">
        <v>107</v>
      </c>
      <c r="Y34" s="61"/>
    </row>
    <row r="35" spans="1:25" ht="19.7" customHeight="1">
      <c r="A35" s="10" t="s">
        <v>17</v>
      </c>
      <c r="B35" s="11" t="s">
        <v>82</v>
      </c>
      <c r="C35" s="11" t="s">
        <v>60</v>
      </c>
      <c r="D35" s="11" t="s">
        <v>19</v>
      </c>
      <c r="E35" s="11">
        <v>0</v>
      </c>
      <c r="F35" s="11" t="s">
        <v>63</v>
      </c>
      <c r="G35" s="12" t="s">
        <v>108</v>
      </c>
      <c r="H35" s="11" t="e" vm="1">
        <f t="shared" ca="1" si="0"/>
        <v>#NAME?</v>
      </c>
      <c r="J35" s="11">
        <v>30</v>
      </c>
      <c r="K35" s="17">
        <v>150</v>
      </c>
      <c r="L35" s="18">
        <f t="shared" si="1"/>
        <v>4680</v>
      </c>
      <c r="M35" s="19">
        <v>69759</v>
      </c>
      <c r="N35" s="19">
        <f t="shared" si="2"/>
        <v>8371084500</v>
      </c>
      <c r="O35" s="18" t="str">
        <f t="shared" si="3"/>
        <v>8.4c</v>
      </c>
      <c r="Q35" s="57" t="s">
        <v>109</v>
      </c>
      <c r="R35" s="37" t="s">
        <v>51</v>
      </c>
      <c r="S35" s="38">
        <f>$S$19/$R$11</f>
        <v>0.41666666666666669</v>
      </c>
      <c r="T35" s="32" t="s">
        <v>17</v>
      </c>
      <c r="U35" s="38">
        <f ca="1">$S$24/$R$11</f>
        <v>8.2006944444444443</v>
      </c>
      <c r="V35" s="11" t="s">
        <v>106</v>
      </c>
      <c r="W35" s="39">
        <f ca="1">SUM(U35:U37,S35:S37)</f>
        <v>665.72829861111109</v>
      </c>
      <c r="X35" s="11" t="s">
        <v>107</v>
      </c>
      <c r="Y35" s="40">
        <f t="shared" ref="Y35:Y46" ca="1" si="4">W35/30</f>
        <v>22.190943287037037</v>
      </c>
    </row>
    <row r="36" spans="1:25" ht="19.7" customHeight="1">
      <c r="A36" s="10" t="s">
        <v>36</v>
      </c>
      <c r="B36" s="11" t="s">
        <v>82</v>
      </c>
      <c r="C36" s="11"/>
      <c r="D36" s="11" t="s">
        <v>39</v>
      </c>
      <c r="E36" s="11">
        <v>22000</v>
      </c>
      <c r="F36" s="11" t="s">
        <v>68</v>
      </c>
      <c r="G36" s="12" t="s">
        <v>110</v>
      </c>
      <c r="H36" s="11" t="e" vm="1">
        <f t="shared" ca="1" si="0"/>
        <v>#NAME?</v>
      </c>
      <c r="J36" s="11">
        <v>31</v>
      </c>
      <c r="K36" s="17">
        <v>180</v>
      </c>
      <c r="L36" s="18">
        <f t="shared" si="1"/>
        <v>5791</v>
      </c>
      <c r="M36" s="19">
        <v>83332</v>
      </c>
      <c r="N36" s="19">
        <f t="shared" si="2"/>
        <v>9999845580</v>
      </c>
      <c r="O36" s="18" t="str">
        <f t="shared" si="3"/>
        <v>10.0c</v>
      </c>
      <c r="Q36" s="57"/>
      <c r="R36" s="37" t="s">
        <v>17</v>
      </c>
      <c r="S36" s="38">
        <f>$S$20/$R$11</f>
        <v>2.0833333333333335</v>
      </c>
      <c r="T36" s="32" t="s">
        <v>29</v>
      </c>
      <c r="U36" s="38">
        <f ca="1">$S$25/$R$11</f>
        <v>179.74322916666668</v>
      </c>
      <c r="V36" s="25" t="s">
        <v>111</v>
      </c>
      <c r="W36" s="39">
        <f ca="1">S29/R11</f>
        <v>627.46440972222217</v>
      </c>
      <c r="X36" s="25" t="s">
        <v>112</v>
      </c>
      <c r="Y36" s="38">
        <f t="shared" ca="1" si="4"/>
        <v>20.915480324074071</v>
      </c>
    </row>
    <row r="37" spans="1:25" ht="19.7" customHeight="1">
      <c r="A37" s="10" t="s">
        <v>17</v>
      </c>
      <c r="B37" s="11" t="s">
        <v>82</v>
      </c>
      <c r="C37" s="11"/>
      <c r="D37" s="11" t="s">
        <v>19</v>
      </c>
      <c r="E37" s="11">
        <v>0</v>
      </c>
      <c r="F37" s="11" t="s">
        <v>68</v>
      </c>
      <c r="G37" s="12" t="s">
        <v>113</v>
      </c>
      <c r="H37" s="11" t="e" vm="1">
        <f t="shared" ref="H37:H54" ca="1" si="5">_xlfn.IFS($A37=$V$12,$W$12,$A37=$V$13,$W$13,$A37=$V$14,$W$14,1,0)</f>
        <v>#NAME?</v>
      </c>
      <c r="J37" s="11">
        <v>32</v>
      </c>
      <c r="K37" s="17">
        <v>180</v>
      </c>
      <c r="L37" s="18">
        <f t="shared" si="1"/>
        <v>5972</v>
      </c>
      <c r="M37" s="19">
        <v>98796</v>
      </c>
      <c r="N37" s="19">
        <f t="shared" si="2"/>
        <v>11855525760</v>
      </c>
      <c r="O37" s="18" t="str">
        <f t="shared" si="3"/>
        <v>11.9c</v>
      </c>
      <c r="Q37" s="57"/>
      <c r="R37" s="37" t="s">
        <v>29</v>
      </c>
      <c r="S37" s="38">
        <f>$S$21/$R$11</f>
        <v>1.0416666666666667</v>
      </c>
      <c r="T37" s="41" t="s">
        <v>36</v>
      </c>
      <c r="U37" s="38">
        <f ca="1">$S$26/$R$11</f>
        <v>474.24270833333333</v>
      </c>
      <c r="V37" s="11" t="s">
        <v>114</v>
      </c>
      <c r="W37" s="39">
        <f ca="1">T32/R11</f>
        <v>218.08940972222223</v>
      </c>
      <c r="X37" s="11" t="s">
        <v>115</v>
      </c>
      <c r="Y37" s="38">
        <f t="shared" ca="1" si="4"/>
        <v>7.2696469907407408</v>
      </c>
    </row>
    <row r="38" spans="1:25" ht="19.7" customHeight="1">
      <c r="A38" s="10" t="s">
        <v>29</v>
      </c>
      <c r="B38" s="11" t="s">
        <v>82</v>
      </c>
      <c r="C38" s="11" t="s">
        <v>60</v>
      </c>
      <c r="D38" s="11" t="s">
        <v>30</v>
      </c>
      <c r="E38" s="11">
        <v>200000</v>
      </c>
      <c r="F38" s="11" t="s">
        <v>68</v>
      </c>
      <c r="G38" s="12" t="s">
        <v>116</v>
      </c>
      <c r="H38" s="11" t="e" vm="1">
        <f t="shared" ca="1" si="5"/>
        <v>#NAME?</v>
      </c>
      <c r="J38" s="11">
        <v>33</v>
      </c>
      <c r="K38" s="17">
        <v>180</v>
      </c>
      <c r="L38" s="18">
        <f t="shared" ref="L38:L69" si="6">INT(J38+(J38*K38)+K38)</f>
        <v>6153</v>
      </c>
      <c r="M38" s="19">
        <v>116318</v>
      </c>
      <c r="N38" s="19">
        <f t="shared" ref="N38:N69" si="7">J38*K38+(M38*120000)</f>
        <v>13958165940</v>
      </c>
      <c r="O38" s="18" t="str">
        <f t="shared" si="3"/>
        <v>14.0c</v>
      </c>
      <c r="Q38" s="57" t="s">
        <v>117</v>
      </c>
      <c r="R38" s="37" t="s">
        <v>51</v>
      </c>
      <c r="S38" s="38">
        <f>$S$19/$R$12</f>
        <v>1.25</v>
      </c>
      <c r="T38" s="32" t="s">
        <v>17</v>
      </c>
      <c r="U38" s="38">
        <f ca="1">$S$24/$R$12</f>
        <v>24.602083333333333</v>
      </c>
      <c r="V38" s="11" t="s">
        <v>118</v>
      </c>
      <c r="W38" s="39">
        <f ca="1">SUM(U38:U40,S38:S40)</f>
        <v>1997.1848958333335</v>
      </c>
      <c r="X38" s="11" t="s">
        <v>107</v>
      </c>
      <c r="Y38" s="40">
        <f t="shared" ca="1" si="4"/>
        <v>66.572829861111117</v>
      </c>
    </row>
    <row r="39" spans="1:25" ht="19.7" customHeight="1">
      <c r="A39" s="10" t="s">
        <v>17</v>
      </c>
      <c r="B39" s="11" t="s">
        <v>82</v>
      </c>
      <c r="C39" s="11" t="s">
        <v>60</v>
      </c>
      <c r="D39" s="11" t="s">
        <v>19</v>
      </c>
      <c r="E39" s="11">
        <v>0</v>
      </c>
      <c r="F39" s="11" t="s">
        <v>119</v>
      </c>
      <c r="G39" s="12" t="s">
        <v>120</v>
      </c>
      <c r="H39" s="11" t="e" vm="1">
        <f t="shared" ca="1" si="5"/>
        <v>#NAME?</v>
      </c>
      <c r="J39" s="11">
        <v>34</v>
      </c>
      <c r="K39" s="17">
        <v>180</v>
      </c>
      <c r="L39" s="18">
        <f t="shared" si="6"/>
        <v>6334</v>
      </c>
      <c r="M39" s="19">
        <v>136074</v>
      </c>
      <c r="N39" s="19">
        <f t="shared" si="7"/>
        <v>16328886120</v>
      </c>
      <c r="O39" s="18" t="str">
        <f t="shared" si="3"/>
        <v>16.3c</v>
      </c>
      <c r="Q39" s="57"/>
      <c r="R39" s="37" t="s">
        <v>17</v>
      </c>
      <c r="S39" s="38">
        <f>$S$20/$R$12</f>
        <v>6.25</v>
      </c>
      <c r="T39" s="32" t="s">
        <v>29</v>
      </c>
      <c r="U39" s="38">
        <f ca="1">$S$25/$R$12</f>
        <v>539.22968749999995</v>
      </c>
      <c r="V39" s="25" t="s">
        <v>111</v>
      </c>
      <c r="W39" s="39">
        <f ca="1">S29/R12</f>
        <v>1882.3932291666667</v>
      </c>
      <c r="X39" s="25" t="s">
        <v>112</v>
      </c>
      <c r="Y39" s="38">
        <f t="shared" ca="1" si="4"/>
        <v>62.746440972222224</v>
      </c>
    </row>
    <row r="40" spans="1:25" ht="19.7" customHeight="1">
      <c r="A40" s="10" t="s">
        <v>29</v>
      </c>
      <c r="B40" s="11" t="s">
        <v>82</v>
      </c>
      <c r="C40" s="11"/>
      <c r="D40" s="11" t="s">
        <v>30</v>
      </c>
      <c r="E40" s="11">
        <v>200000</v>
      </c>
      <c r="F40" s="11" t="s">
        <v>119</v>
      </c>
      <c r="G40" s="12" t="s">
        <v>121</v>
      </c>
      <c r="H40" s="11" t="e" vm="1">
        <f t="shared" ca="1" si="5"/>
        <v>#NAME?</v>
      </c>
      <c r="J40" s="11">
        <v>35</v>
      </c>
      <c r="K40" s="17">
        <v>200</v>
      </c>
      <c r="L40" s="18">
        <f t="shared" si="6"/>
        <v>7235</v>
      </c>
      <c r="M40" s="19">
        <v>158246</v>
      </c>
      <c r="N40" s="19">
        <f t="shared" si="7"/>
        <v>18989527000</v>
      </c>
      <c r="O40" s="18" t="str">
        <f t="shared" si="3"/>
        <v>19.0c</v>
      </c>
      <c r="Q40" s="57"/>
      <c r="R40" s="37" t="s">
        <v>29</v>
      </c>
      <c r="S40" s="38">
        <f>$S$21/$R$12</f>
        <v>3.125</v>
      </c>
      <c r="T40" s="41" t="s">
        <v>36</v>
      </c>
      <c r="U40" s="38">
        <f ca="1">$S$26/$R$12</f>
        <v>1422.7281250000001</v>
      </c>
      <c r="V40" s="11" t="s">
        <v>114</v>
      </c>
      <c r="W40" s="39">
        <f ca="1">T32/R12</f>
        <v>654.26822916666663</v>
      </c>
      <c r="X40" s="11" t="s">
        <v>115</v>
      </c>
      <c r="Y40" s="38">
        <f t="shared" ca="1" si="4"/>
        <v>21.808940972222221</v>
      </c>
    </row>
    <row r="41" spans="1:25" ht="19.7" customHeight="1">
      <c r="A41" s="10" t="s">
        <v>29</v>
      </c>
      <c r="B41" s="11" t="s">
        <v>82</v>
      </c>
      <c r="C41" s="11"/>
      <c r="D41" s="11" t="s">
        <v>30</v>
      </c>
      <c r="E41" s="11">
        <v>200000</v>
      </c>
      <c r="F41" s="11" t="s">
        <v>119</v>
      </c>
      <c r="G41" s="12" t="s">
        <v>122</v>
      </c>
      <c r="H41" s="11" t="e" vm="1">
        <f t="shared" ca="1" si="5"/>
        <v>#NAME?</v>
      </c>
      <c r="J41" s="11">
        <v>36</v>
      </c>
      <c r="K41" s="17">
        <v>200</v>
      </c>
      <c r="L41" s="18">
        <f t="shared" si="6"/>
        <v>7436</v>
      </c>
      <c r="M41" s="19">
        <v>183023</v>
      </c>
      <c r="N41" s="19">
        <f t="shared" si="7"/>
        <v>21962767200</v>
      </c>
      <c r="O41" s="18" t="str">
        <f t="shared" ref="O41:O72" si="8">IF(N41=0, "0", TEXT(N41/1000^(INT(LOG(N41, 1000))), "#,##0.0") &amp; CHAR(96 + INT(LOG(N41, 1000)) + 0))</f>
        <v>22.0c</v>
      </c>
      <c r="Q41" s="57" t="s">
        <v>123</v>
      </c>
      <c r="R41" s="37" t="s">
        <v>51</v>
      </c>
      <c r="S41" s="38">
        <f>$S$19/$R$13</f>
        <v>2.5</v>
      </c>
      <c r="T41" s="32" t="s">
        <v>17</v>
      </c>
      <c r="U41" s="38">
        <f ca="1">$S$24/$R$13</f>
        <v>49.204166666666666</v>
      </c>
      <c r="V41" s="11" t="s">
        <v>118</v>
      </c>
      <c r="W41" s="39">
        <f ca="1">SUM(U41:U43,S41:S43)</f>
        <v>3994.369791666667</v>
      </c>
      <c r="X41" s="11" t="s">
        <v>107</v>
      </c>
      <c r="Y41" s="40">
        <f t="shared" ca="1" si="4"/>
        <v>133.14565972222223</v>
      </c>
    </row>
    <row r="42" spans="1:25" ht="19.7" customHeight="1">
      <c r="A42" s="10" t="s">
        <v>36</v>
      </c>
      <c r="B42" s="11" t="s">
        <v>82</v>
      </c>
      <c r="C42" s="11"/>
      <c r="D42" s="11" t="s">
        <v>39</v>
      </c>
      <c r="E42" s="11">
        <v>22000</v>
      </c>
      <c r="F42" s="11" t="s">
        <v>76</v>
      </c>
      <c r="G42" s="12" t="s">
        <v>124</v>
      </c>
      <c r="H42" s="11" t="e" vm="1">
        <f t="shared" ca="1" si="5"/>
        <v>#NAME?</v>
      </c>
      <c r="J42" s="11">
        <v>37</v>
      </c>
      <c r="K42" s="17">
        <v>200</v>
      </c>
      <c r="L42" s="18">
        <f t="shared" si="6"/>
        <v>7637</v>
      </c>
      <c r="M42" s="19">
        <v>210602</v>
      </c>
      <c r="N42" s="19">
        <f t="shared" si="7"/>
        <v>25272247400</v>
      </c>
      <c r="O42" s="18" t="str">
        <f t="shared" si="8"/>
        <v>25.3c</v>
      </c>
      <c r="Q42" s="57"/>
      <c r="R42" s="37" t="s">
        <v>17</v>
      </c>
      <c r="S42" s="38">
        <f>$S$20/$R$13</f>
        <v>12.5</v>
      </c>
      <c r="T42" s="32" t="s">
        <v>29</v>
      </c>
      <c r="U42" s="38">
        <f ca="1">$S$25/$R$13</f>
        <v>1078.4593749999999</v>
      </c>
      <c r="V42" s="25" t="s">
        <v>111</v>
      </c>
      <c r="W42" s="39">
        <f ca="1">S29/R13</f>
        <v>3764.7864583333335</v>
      </c>
      <c r="X42" s="25" t="s">
        <v>112</v>
      </c>
      <c r="Y42" s="38">
        <f t="shared" ca="1" si="4"/>
        <v>125.49288194444445</v>
      </c>
    </row>
    <row r="43" spans="1:25" ht="19.7" customHeight="1">
      <c r="A43" s="10" t="s">
        <v>17</v>
      </c>
      <c r="B43" s="11" t="s">
        <v>82</v>
      </c>
      <c r="C43" s="11"/>
      <c r="D43" s="11" t="s">
        <v>30</v>
      </c>
      <c r="E43" s="11">
        <v>200000</v>
      </c>
      <c r="F43" s="11" t="s">
        <v>76</v>
      </c>
      <c r="G43" s="12" t="s">
        <v>125</v>
      </c>
      <c r="H43" s="11" t="e" vm="1">
        <f t="shared" ca="1" si="5"/>
        <v>#NAME?</v>
      </c>
      <c r="J43" s="11">
        <v>38</v>
      </c>
      <c r="K43" s="17">
        <v>200</v>
      </c>
      <c r="L43" s="18">
        <f t="shared" si="6"/>
        <v>7838</v>
      </c>
      <c r="M43" s="19">
        <v>241187</v>
      </c>
      <c r="N43" s="19">
        <f t="shared" si="7"/>
        <v>28942447600</v>
      </c>
      <c r="O43" s="18" t="str">
        <f t="shared" si="8"/>
        <v>28.9c</v>
      </c>
      <c r="Q43" s="57"/>
      <c r="R43" s="37" t="s">
        <v>29</v>
      </c>
      <c r="S43" s="38">
        <f>$S$21/$R$13</f>
        <v>6.25</v>
      </c>
      <c r="T43" s="41" t="s">
        <v>36</v>
      </c>
      <c r="U43" s="38">
        <f ca="1">$S$26/$R$13</f>
        <v>2845.4562500000002</v>
      </c>
      <c r="V43" s="11" t="s">
        <v>114</v>
      </c>
      <c r="W43" s="39">
        <f ca="1">T32/R13</f>
        <v>1308.5364583333333</v>
      </c>
      <c r="X43" s="11" t="s">
        <v>115</v>
      </c>
      <c r="Y43" s="38">
        <f t="shared" ca="1" si="4"/>
        <v>43.617881944444441</v>
      </c>
    </row>
    <row r="44" spans="1:25" ht="19.7" customHeight="1">
      <c r="A44" s="10" t="s">
        <v>17</v>
      </c>
      <c r="B44" s="11" t="s">
        <v>82</v>
      </c>
      <c r="C44" s="11"/>
      <c r="D44" s="11" t="s">
        <v>19</v>
      </c>
      <c r="E44" s="11">
        <v>0</v>
      </c>
      <c r="F44" s="11" t="s">
        <v>76</v>
      </c>
      <c r="G44" s="12" t="s">
        <v>126</v>
      </c>
      <c r="H44" s="11" t="e" vm="1">
        <f t="shared" ca="1" si="5"/>
        <v>#NAME?</v>
      </c>
      <c r="J44" s="11">
        <v>39</v>
      </c>
      <c r="K44" s="17">
        <v>200</v>
      </c>
      <c r="L44" s="18">
        <f t="shared" si="6"/>
        <v>8039</v>
      </c>
      <c r="M44" s="19">
        <v>274988</v>
      </c>
      <c r="N44" s="19">
        <f t="shared" si="7"/>
        <v>32998567800</v>
      </c>
      <c r="O44" s="18" t="str">
        <f t="shared" si="8"/>
        <v>33.0c</v>
      </c>
      <c r="Q44" s="57" t="s">
        <v>127</v>
      </c>
      <c r="R44" s="37" t="s">
        <v>51</v>
      </c>
      <c r="S44" s="38">
        <f>$S$19/$R$14</f>
        <v>10</v>
      </c>
      <c r="T44" s="32" t="s">
        <v>17</v>
      </c>
      <c r="U44" s="38">
        <f ca="1">$S$24/$R$14</f>
        <v>196.81666666666666</v>
      </c>
      <c r="V44" s="11" t="s">
        <v>106</v>
      </c>
      <c r="W44" s="39">
        <f ca="1">SUM(U44:U46,S44:S46)</f>
        <v>15977.479166666668</v>
      </c>
      <c r="X44" s="11" t="s">
        <v>107</v>
      </c>
      <c r="Y44" s="40">
        <f t="shared" ca="1" si="4"/>
        <v>532.58263888888894</v>
      </c>
    </row>
    <row r="45" spans="1:25" ht="19.7" customHeight="1">
      <c r="A45" s="10" t="s">
        <v>29</v>
      </c>
      <c r="B45" s="11" t="s">
        <v>128</v>
      </c>
      <c r="C45" s="11"/>
      <c r="D45" s="11" t="s">
        <v>30</v>
      </c>
      <c r="E45" s="11">
        <v>200000</v>
      </c>
      <c r="F45" s="11" t="s">
        <v>20</v>
      </c>
      <c r="G45" s="12" t="s">
        <v>129</v>
      </c>
      <c r="H45" s="11" t="e" vm="1">
        <f t="shared" ca="1" si="5"/>
        <v>#NAME?</v>
      </c>
      <c r="J45" s="11">
        <v>40</v>
      </c>
      <c r="K45" s="17">
        <v>200</v>
      </c>
      <c r="L45" s="18">
        <f t="shared" si="6"/>
        <v>8240</v>
      </c>
      <c r="M45" s="19">
        <v>312223</v>
      </c>
      <c r="N45" s="19">
        <f t="shared" si="7"/>
        <v>37466768000</v>
      </c>
      <c r="O45" s="18" t="str">
        <f t="shared" si="8"/>
        <v>37.5c</v>
      </c>
      <c r="Q45" s="57"/>
      <c r="R45" s="37" t="s">
        <v>17</v>
      </c>
      <c r="S45" s="38">
        <f>$S$20/$R$14</f>
        <v>50</v>
      </c>
      <c r="T45" s="32" t="s">
        <v>29</v>
      </c>
      <c r="U45" s="38">
        <f ca="1">$S$25/$R$14</f>
        <v>4313.8374999999996</v>
      </c>
      <c r="V45" s="25" t="s">
        <v>111</v>
      </c>
      <c r="W45" s="39">
        <f ca="1">S29/R14</f>
        <v>15059.145833333334</v>
      </c>
      <c r="X45" s="25" t="s">
        <v>112</v>
      </c>
      <c r="Y45" s="38">
        <f t="shared" ca="1" si="4"/>
        <v>501.97152777777779</v>
      </c>
    </row>
    <row r="46" spans="1:25" ht="19.7" customHeight="1">
      <c r="A46" s="10" t="s">
        <v>29</v>
      </c>
      <c r="B46" s="11" t="s">
        <v>128</v>
      </c>
      <c r="C46" s="11"/>
      <c r="D46" s="11" t="s">
        <v>30</v>
      </c>
      <c r="E46" s="11">
        <v>200000</v>
      </c>
      <c r="F46" s="11" t="s">
        <v>40</v>
      </c>
      <c r="G46" s="12" t="s">
        <v>130</v>
      </c>
      <c r="H46" s="11" t="e" vm="1">
        <f t="shared" ca="1" si="5"/>
        <v>#NAME?</v>
      </c>
      <c r="J46" s="11">
        <v>41</v>
      </c>
      <c r="K46" s="17">
        <v>260</v>
      </c>
      <c r="L46" s="18">
        <f t="shared" si="6"/>
        <v>10961</v>
      </c>
      <c r="M46" s="19">
        <v>353117</v>
      </c>
      <c r="N46" s="19">
        <f t="shared" si="7"/>
        <v>42374050660</v>
      </c>
      <c r="O46" s="18" t="str">
        <f t="shared" si="8"/>
        <v>42.4c</v>
      </c>
      <c r="Q46" s="57"/>
      <c r="R46" s="37" t="s">
        <v>29</v>
      </c>
      <c r="S46" s="38">
        <f>$S$21/$R$14</f>
        <v>25</v>
      </c>
      <c r="T46" s="41" t="s">
        <v>36</v>
      </c>
      <c r="U46" s="38">
        <f ca="1">$S$26/$R$14</f>
        <v>11381.825000000001</v>
      </c>
      <c r="V46" s="11" t="s">
        <v>114</v>
      </c>
      <c r="W46" s="39">
        <f ca="1">T32/R14</f>
        <v>5234.145833333333</v>
      </c>
      <c r="X46" s="11" t="s">
        <v>115</v>
      </c>
      <c r="Y46" s="38">
        <f t="shared" ca="1" si="4"/>
        <v>174.47152777777777</v>
      </c>
    </row>
    <row r="47" spans="1:25" ht="19.7" customHeight="1">
      <c r="A47" s="10" t="s">
        <v>29</v>
      </c>
      <c r="B47" s="11" t="s">
        <v>128</v>
      </c>
      <c r="C47" s="11"/>
      <c r="D47" s="11" t="s">
        <v>30</v>
      </c>
      <c r="E47" s="11">
        <v>200000</v>
      </c>
      <c r="F47" s="11" t="s">
        <v>48</v>
      </c>
      <c r="G47" s="12" t="s">
        <v>131</v>
      </c>
      <c r="H47" s="11" t="e" vm="1">
        <f t="shared" ca="1" si="5"/>
        <v>#NAME?</v>
      </c>
      <c r="J47" s="11">
        <v>42</v>
      </c>
      <c r="K47" s="17">
        <v>260</v>
      </c>
      <c r="L47" s="18">
        <f t="shared" si="6"/>
        <v>11222</v>
      </c>
      <c r="M47" s="19">
        <v>397903</v>
      </c>
      <c r="N47" s="19">
        <f t="shared" si="7"/>
        <v>47748370920</v>
      </c>
      <c r="O47" s="18" t="str">
        <f t="shared" si="8"/>
        <v>47.7c</v>
      </c>
      <c r="Q47"/>
      <c r="R47"/>
      <c r="S47"/>
      <c r="T47"/>
      <c r="U47"/>
      <c r="V47"/>
      <c r="W47"/>
      <c r="X47"/>
      <c r="Y47"/>
    </row>
    <row r="48" spans="1:25" ht="19.7" customHeight="1">
      <c r="A48" s="26" t="s">
        <v>51</v>
      </c>
      <c r="B48" s="27" t="s">
        <v>128</v>
      </c>
      <c r="C48" s="11" t="s">
        <v>60</v>
      </c>
      <c r="D48" s="27" t="s">
        <v>19</v>
      </c>
      <c r="E48" s="27">
        <v>0</v>
      </c>
      <c r="F48" s="27" t="s">
        <v>61</v>
      </c>
      <c r="G48" s="28" t="s">
        <v>132</v>
      </c>
      <c r="H48" s="27" t="e" vm="1">
        <f t="shared" ca="1" si="5"/>
        <v>#NAME?</v>
      </c>
      <c r="J48" s="11">
        <v>43</v>
      </c>
      <c r="K48" s="17">
        <v>260</v>
      </c>
      <c r="L48" s="18">
        <f t="shared" si="6"/>
        <v>11483</v>
      </c>
      <c r="M48" s="19">
        <v>446820</v>
      </c>
      <c r="N48" s="19">
        <f t="shared" si="7"/>
        <v>53618411180</v>
      </c>
      <c r="O48" s="18" t="str">
        <f t="shared" si="8"/>
        <v>53.6c</v>
      </c>
      <c r="Q48" s="35" t="s">
        <v>133</v>
      </c>
      <c r="R48" s="42">
        <v>3489112</v>
      </c>
      <c r="S48" s="43">
        <f>R48*20</f>
        <v>69782240</v>
      </c>
      <c r="T48" s="43">
        <f>S48*7</f>
        <v>488475680</v>
      </c>
      <c r="U48" s="18" t="str">
        <f>IF(T48=0, "0", TEXT(T48/1000^(INT(LOG(T48, 1000))), "#,##0.0") &amp; CHAR(96 + INT(LOG(T48, 1000)) + 0))</f>
        <v>488.5b</v>
      </c>
      <c r="V48"/>
      <c r="W48"/>
      <c r="X48"/>
      <c r="Y48"/>
    </row>
    <row r="49" spans="1:26" ht="19.7" customHeight="1">
      <c r="A49" s="10" t="s">
        <v>36</v>
      </c>
      <c r="B49" s="11" t="s">
        <v>128</v>
      </c>
      <c r="C49" s="11"/>
      <c r="D49" s="11" t="s">
        <v>19</v>
      </c>
      <c r="E49" s="11">
        <v>0</v>
      </c>
      <c r="F49" s="11" t="s">
        <v>63</v>
      </c>
      <c r="G49" s="12" t="s">
        <v>134</v>
      </c>
      <c r="H49" s="11" t="e" vm="1">
        <f t="shared" ca="1" si="5"/>
        <v>#NAME?</v>
      </c>
      <c r="J49" s="11">
        <v>44</v>
      </c>
      <c r="K49" s="17">
        <v>260</v>
      </c>
      <c r="L49" s="18">
        <f t="shared" si="6"/>
        <v>11744</v>
      </c>
      <c r="M49" s="19">
        <v>500115</v>
      </c>
      <c r="N49" s="19">
        <f t="shared" si="7"/>
        <v>60013811440</v>
      </c>
      <c r="O49" s="18" t="str">
        <f t="shared" si="8"/>
        <v>60.0c</v>
      </c>
      <c r="Q49" s="35" t="s">
        <v>135</v>
      </c>
      <c r="R49" s="42">
        <v>18454695</v>
      </c>
      <c r="S49" s="43">
        <f>R49*20</f>
        <v>369093900</v>
      </c>
      <c r="T49" s="43">
        <f>S49*7</f>
        <v>2583657300</v>
      </c>
      <c r="U49" s="18" t="str">
        <f>IF(T49=0, "0", TEXT(T49/1000^(INT(LOG(T49, 1000))), "#,##0.0") &amp; CHAR(96 + INT(LOG(T49, 1000)) + 0))</f>
        <v>2.6c</v>
      </c>
    </row>
    <row r="50" spans="1:26" ht="19.7" customHeight="1">
      <c r="A50" s="10" t="s">
        <v>36</v>
      </c>
      <c r="B50" s="11" t="s">
        <v>128</v>
      </c>
      <c r="C50" s="11"/>
      <c r="D50" s="11" t="s">
        <v>19</v>
      </c>
      <c r="E50" s="11">
        <v>0</v>
      </c>
      <c r="F50" s="11" t="s">
        <v>63</v>
      </c>
      <c r="G50" s="12" t="s">
        <v>136</v>
      </c>
      <c r="H50" s="11" t="e" vm="1">
        <f t="shared" ca="1" si="5"/>
        <v>#NAME?</v>
      </c>
      <c r="J50" s="11">
        <v>45</v>
      </c>
      <c r="K50" s="17">
        <v>260</v>
      </c>
      <c r="L50" s="18">
        <f t="shared" si="6"/>
        <v>12005</v>
      </c>
      <c r="M50" s="19">
        <v>558040</v>
      </c>
      <c r="N50" s="19">
        <f t="shared" si="7"/>
        <v>66964811700</v>
      </c>
      <c r="O50" s="18" t="str">
        <f t="shared" si="8"/>
        <v>67.0c</v>
      </c>
      <c r="Q50" s="31"/>
      <c r="R50" s="31"/>
      <c r="S50" s="31"/>
    </row>
    <row r="51" spans="1:26" ht="19.7" customHeight="1">
      <c r="A51" s="10" t="s">
        <v>17</v>
      </c>
      <c r="B51" s="11" t="s">
        <v>128</v>
      </c>
      <c r="C51" s="11" t="s">
        <v>60</v>
      </c>
      <c r="D51" s="11" t="s">
        <v>19</v>
      </c>
      <c r="E51" s="11">
        <v>0</v>
      </c>
      <c r="F51" s="11" t="s">
        <v>63</v>
      </c>
      <c r="G51" s="12" t="s">
        <v>137</v>
      </c>
      <c r="H51" s="11" t="e" vm="1">
        <f t="shared" ca="1" si="5"/>
        <v>#NAME?</v>
      </c>
      <c r="J51" s="11">
        <v>46</v>
      </c>
      <c r="K51" s="17">
        <v>260</v>
      </c>
      <c r="L51" s="18">
        <f t="shared" si="6"/>
        <v>12266</v>
      </c>
      <c r="M51" s="19">
        <v>620858</v>
      </c>
      <c r="N51" s="19">
        <f t="shared" si="7"/>
        <v>74502971960</v>
      </c>
      <c r="O51" s="18" t="str">
        <f t="shared" si="8"/>
        <v>74.5c</v>
      </c>
      <c r="Q51" s="31"/>
      <c r="R51" s="31"/>
      <c r="S51" s="31"/>
      <c r="W51" s="31"/>
    </row>
    <row r="52" spans="1:26" ht="19.7" customHeight="1">
      <c r="A52" s="10" t="s">
        <v>17</v>
      </c>
      <c r="B52" s="11" t="s">
        <v>128</v>
      </c>
      <c r="C52" s="11" t="s">
        <v>60</v>
      </c>
      <c r="D52" s="11" t="s">
        <v>19</v>
      </c>
      <c r="E52" s="11">
        <v>0</v>
      </c>
      <c r="F52" s="11" t="s">
        <v>138</v>
      </c>
      <c r="G52" s="12" t="s">
        <v>139</v>
      </c>
      <c r="H52" s="11" t="e" vm="1">
        <f t="shared" ca="1" si="5"/>
        <v>#NAME?</v>
      </c>
      <c r="J52" s="11">
        <v>47</v>
      </c>
      <c r="K52" s="17">
        <v>260</v>
      </c>
      <c r="L52" s="18">
        <f t="shared" si="6"/>
        <v>12527</v>
      </c>
      <c r="M52" s="19">
        <v>688836</v>
      </c>
      <c r="N52" s="19">
        <f t="shared" si="7"/>
        <v>82660332220</v>
      </c>
      <c r="O52" s="18" t="str">
        <f t="shared" si="8"/>
        <v>82.7c</v>
      </c>
      <c r="Q52" s="2" t="s">
        <v>140</v>
      </c>
    </row>
    <row r="53" spans="1:26" ht="19.7" customHeight="1">
      <c r="A53" s="10" t="s">
        <v>17</v>
      </c>
      <c r="B53" s="11" t="s">
        <v>128</v>
      </c>
      <c r="C53" s="11"/>
      <c r="D53" s="11" t="s">
        <v>19</v>
      </c>
      <c r="E53" s="11">
        <v>0</v>
      </c>
      <c r="F53" s="11" t="s">
        <v>76</v>
      </c>
      <c r="G53" s="12" t="s">
        <v>141</v>
      </c>
      <c r="H53" s="11" t="e" vm="1">
        <f t="shared" ca="1" si="5"/>
        <v>#NAME?</v>
      </c>
      <c r="J53" s="11">
        <v>48</v>
      </c>
      <c r="K53" s="17">
        <v>260</v>
      </c>
      <c r="L53" s="18">
        <f t="shared" si="6"/>
        <v>12788</v>
      </c>
      <c r="M53" s="19">
        <v>762249</v>
      </c>
      <c r="N53" s="19">
        <f t="shared" si="7"/>
        <v>91469892480</v>
      </c>
      <c r="O53" s="18" t="str">
        <f t="shared" si="8"/>
        <v>91.5c</v>
      </c>
      <c r="Q53" s="58" t="s">
        <v>142</v>
      </c>
      <c r="R53" s="58"/>
      <c r="S53" s="20">
        <v>0.5</v>
      </c>
    </row>
    <row r="54" spans="1:26" ht="19.7" customHeight="1">
      <c r="A54" s="10" t="s">
        <v>17</v>
      </c>
      <c r="B54" s="11" t="s">
        <v>128</v>
      </c>
      <c r="C54" s="11"/>
      <c r="D54" s="11" t="s">
        <v>19</v>
      </c>
      <c r="E54" s="11">
        <v>0</v>
      </c>
      <c r="F54" s="11" t="s">
        <v>76</v>
      </c>
      <c r="G54" s="12" t="s">
        <v>143</v>
      </c>
      <c r="H54" s="11" t="e" vm="1">
        <f t="shared" ca="1" si="5"/>
        <v>#NAME?</v>
      </c>
      <c r="J54" s="11">
        <v>49</v>
      </c>
      <c r="K54" s="17">
        <v>260</v>
      </c>
      <c r="L54" s="18">
        <f t="shared" si="6"/>
        <v>13049</v>
      </c>
      <c r="M54" s="19">
        <v>841379</v>
      </c>
      <c r="N54" s="19">
        <f t="shared" si="7"/>
        <v>100965492740</v>
      </c>
      <c r="O54" s="18" t="str">
        <f t="shared" si="8"/>
        <v>101.0c</v>
      </c>
    </row>
    <row r="55" spans="1:26" ht="19.7" customHeight="1">
      <c r="J55" s="11">
        <v>50</v>
      </c>
      <c r="K55" s="17">
        <v>260</v>
      </c>
      <c r="L55" s="18">
        <f t="shared" si="6"/>
        <v>13310</v>
      </c>
      <c r="M55" s="19">
        <v>926516</v>
      </c>
      <c r="N55" s="19">
        <f t="shared" si="7"/>
        <v>111181933000</v>
      </c>
      <c r="O55" s="18" t="str">
        <f t="shared" si="8"/>
        <v>111.2c</v>
      </c>
      <c r="Q55" s="8"/>
      <c r="R55" s="9" t="s">
        <v>144</v>
      </c>
      <c r="S55" s="9" t="s">
        <v>145</v>
      </c>
      <c r="T55" s="8" t="s">
        <v>146</v>
      </c>
      <c r="U55" s="8" t="s">
        <v>147</v>
      </c>
      <c r="V55" s="9" t="s">
        <v>148</v>
      </c>
      <c r="W55" s="9" t="s">
        <v>149</v>
      </c>
      <c r="X55" s="8" t="s">
        <v>150</v>
      </c>
      <c r="Y55" s="9" t="s">
        <v>151</v>
      </c>
      <c r="Z55" s="9" t="s">
        <v>152</v>
      </c>
    </row>
    <row r="56" spans="1:26" ht="19.7" customHeight="1">
      <c r="J56" s="11">
        <v>51</v>
      </c>
      <c r="K56" s="17">
        <v>350</v>
      </c>
      <c r="L56" s="18">
        <f t="shared" si="6"/>
        <v>18251</v>
      </c>
      <c r="M56" s="19">
        <v>1017956</v>
      </c>
      <c r="N56" s="19">
        <f t="shared" si="7"/>
        <v>122154737850</v>
      </c>
      <c r="O56" s="18" t="str">
        <f t="shared" si="8"/>
        <v>122.2c</v>
      </c>
      <c r="Q56" s="15" t="s">
        <v>153</v>
      </c>
      <c r="R56" s="11">
        <v>10000</v>
      </c>
      <c r="S56" s="15">
        <v>8</v>
      </c>
      <c r="T56" s="44">
        <f>R56*S56</f>
        <v>80000</v>
      </c>
      <c r="U56" s="45">
        <v>10000</v>
      </c>
      <c r="V56" s="45">
        <v>3000</v>
      </c>
      <c r="W56" s="46">
        <f>T56-V56</f>
        <v>77000</v>
      </c>
      <c r="X56" s="47">
        <f>ROUNDDOWN(W56/S53,-4)</f>
        <v>150000</v>
      </c>
      <c r="Y56" s="11">
        <v>12</v>
      </c>
      <c r="Z56" s="19">
        <f>X56*Y56</f>
        <v>1800000</v>
      </c>
    </row>
    <row r="57" spans="1:26" ht="19.7" customHeight="1">
      <c r="J57" s="11">
        <v>52</v>
      </c>
      <c r="K57" s="17">
        <v>350</v>
      </c>
      <c r="L57" s="18">
        <f t="shared" si="6"/>
        <v>18602</v>
      </c>
      <c r="M57" s="19">
        <v>1116004</v>
      </c>
      <c r="N57" s="19">
        <f t="shared" si="7"/>
        <v>133920498200</v>
      </c>
      <c r="O57" s="18" t="str">
        <f t="shared" si="8"/>
        <v>133.9c</v>
      </c>
      <c r="Q57" s="15" t="s">
        <v>154</v>
      </c>
      <c r="R57" s="11">
        <v>30000</v>
      </c>
      <c r="S57" s="15">
        <v>12</v>
      </c>
      <c r="T57" s="45">
        <f>R57*S57</f>
        <v>360000</v>
      </c>
      <c r="U57" s="45">
        <v>10000</v>
      </c>
      <c r="V57" s="45">
        <v>3000</v>
      </c>
      <c r="W57" s="46">
        <f>T57-V57</f>
        <v>357000</v>
      </c>
      <c r="X57" s="47">
        <f>ROUNDDOWN(W57/S53,-4)</f>
        <v>710000</v>
      </c>
      <c r="Y57" s="11">
        <v>3</v>
      </c>
      <c r="Z57" s="19">
        <f>X57*Y57</f>
        <v>2130000</v>
      </c>
    </row>
    <row r="58" spans="1:26" ht="19.7" customHeight="1">
      <c r="J58" s="11">
        <v>53</v>
      </c>
      <c r="K58" s="17">
        <v>350</v>
      </c>
      <c r="L58" s="18">
        <f t="shared" si="6"/>
        <v>18953</v>
      </c>
      <c r="M58" s="19">
        <v>1220969</v>
      </c>
      <c r="N58" s="19">
        <f t="shared" si="7"/>
        <v>146516298550</v>
      </c>
      <c r="O58" s="18" t="str">
        <f t="shared" si="8"/>
        <v>146.5c</v>
      </c>
      <c r="Q58" s="44"/>
      <c r="R58" s="15"/>
      <c r="S58" s="15"/>
      <c r="T58" s="44"/>
      <c r="U58" s="44"/>
      <c r="V58" s="45"/>
      <c r="W58" s="44"/>
      <c r="X58" s="44"/>
      <c r="Y58" s="15"/>
      <c r="Z58" s="15">
        <f>SUM(Z56:Z57)</f>
        <v>3930000</v>
      </c>
    </row>
    <row r="59" spans="1:26" ht="19.7" customHeight="1">
      <c r="J59" s="11">
        <v>54</v>
      </c>
      <c r="K59" s="17">
        <v>350</v>
      </c>
      <c r="L59" s="18">
        <f t="shared" si="6"/>
        <v>19304</v>
      </c>
      <c r="M59" s="19">
        <v>1333171</v>
      </c>
      <c r="N59" s="19">
        <f t="shared" si="7"/>
        <v>159980538900</v>
      </c>
      <c r="O59" s="18" t="str">
        <f t="shared" si="8"/>
        <v>160.0c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9.7" customHeight="1">
      <c r="J60" s="11">
        <v>55</v>
      </c>
      <c r="K60" s="17">
        <v>350</v>
      </c>
      <c r="L60" s="18">
        <f t="shared" si="6"/>
        <v>19655</v>
      </c>
      <c r="M60" s="19">
        <v>1452933</v>
      </c>
      <c r="N60" s="19">
        <f t="shared" si="7"/>
        <v>174351979250</v>
      </c>
      <c r="O60" s="18" t="str">
        <f t="shared" si="8"/>
        <v>174.4c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9.7" customHeight="1">
      <c r="J61" s="11">
        <v>56</v>
      </c>
      <c r="K61" s="17">
        <v>350</v>
      </c>
      <c r="L61" s="18">
        <f t="shared" si="6"/>
        <v>20006</v>
      </c>
      <c r="M61" s="19">
        <v>1580589</v>
      </c>
      <c r="N61" s="19">
        <f t="shared" si="7"/>
        <v>189670699600</v>
      </c>
      <c r="O61" s="18" t="str">
        <f t="shared" si="8"/>
        <v>189.7c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9.7" customHeight="1">
      <c r="J62" s="11">
        <v>57</v>
      </c>
      <c r="K62" s="17">
        <v>350</v>
      </c>
      <c r="L62" s="18">
        <f t="shared" si="6"/>
        <v>20357</v>
      </c>
      <c r="M62" s="19">
        <v>1716477</v>
      </c>
      <c r="N62" s="19">
        <f t="shared" si="7"/>
        <v>205977259950</v>
      </c>
      <c r="O62" s="18" t="str">
        <f t="shared" si="8"/>
        <v>206.0c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9.7" customHeight="1">
      <c r="J63" s="11">
        <v>58</v>
      </c>
      <c r="K63" s="17">
        <v>400</v>
      </c>
      <c r="L63" s="18">
        <f t="shared" si="6"/>
        <v>23658</v>
      </c>
      <c r="M63" s="19">
        <v>1860945</v>
      </c>
      <c r="N63" s="19">
        <f t="shared" si="7"/>
        <v>223313423200</v>
      </c>
      <c r="O63" s="18" t="str">
        <f t="shared" si="8"/>
        <v>223.3c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9.7" customHeight="1">
      <c r="J64" s="11">
        <v>59</v>
      </c>
      <c r="K64" s="17">
        <v>400</v>
      </c>
      <c r="L64" s="18">
        <f t="shared" si="6"/>
        <v>24059</v>
      </c>
      <c r="M64" s="19">
        <v>2014346</v>
      </c>
      <c r="N64" s="19">
        <f t="shared" si="7"/>
        <v>241721543600</v>
      </c>
      <c r="O64" s="18" t="str">
        <f t="shared" si="8"/>
        <v>241.7c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0:26" ht="19.7" customHeight="1">
      <c r="J65" s="11">
        <v>60</v>
      </c>
      <c r="K65" s="17">
        <v>500</v>
      </c>
      <c r="L65" s="18">
        <f t="shared" si="6"/>
        <v>30560</v>
      </c>
      <c r="M65" s="19">
        <v>2177041</v>
      </c>
      <c r="N65" s="19">
        <f t="shared" si="7"/>
        <v>261244950000</v>
      </c>
      <c r="O65" s="18" t="str">
        <f t="shared" si="8"/>
        <v>261.2c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0:26" ht="19.7" customHeight="1">
      <c r="J66" s="11">
        <v>61</v>
      </c>
      <c r="K66" s="17">
        <v>500</v>
      </c>
      <c r="L66" s="18">
        <f t="shared" si="6"/>
        <v>31061</v>
      </c>
      <c r="M66" s="19">
        <v>2349398</v>
      </c>
      <c r="N66" s="19">
        <f t="shared" si="7"/>
        <v>281927790500</v>
      </c>
      <c r="O66" s="18" t="str">
        <f t="shared" si="8"/>
        <v>281.9c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0:26" ht="19.7" customHeight="1">
      <c r="J67" s="11">
        <v>62</v>
      </c>
      <c r="K67" s="17">
        <v>500</v>
      </c>
      <c r="L67" s="18">
        <f t="shared" si="6"/>
        <v>31562</v>
      </c>
      <c r="M67" s="19">
        <v>2531792</v>
      </c>
      <c r="N67" s="19">
        <f t="shared" si="7"/>
        <v>303815071000</v>
      </c>
      <c r="O67" s="18" t="str">
        <f t="shared" si="8"/>
        <v>303.8c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0:26" ht="19.7" customHeight="1">
      <c r="J68" s="11">
        <v>63</v>
      </c>
      <c r="K68" s="17">
        <v>500</v>
      </c>
      <c r="L68" s="18">
        <f t="shared" si="6"/>
        <v>32063</v>
      </c>
      <c r="M68" s="19">
        <v>2724605</v>
      </c>
      <c r="N68" s="19">
        <f t="shared" si="7"/>
        <v>326952631500</v>
      </c>
      <c r="O68" s="18" t="str">
        <f t="shared" si="8"/>
        <v>327.0c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0:26" ht="19.7" customHeight="1">
      <c r="J69" s="11">
        <v>64</v>
      </c>
      <c r="K69" s="17">
        <v>500</v>
      </c>
      <c r="L69" s="18">
        <f t="shared" si="6"/>
        <v>32564</v>
      </c>
      <c r="M69" s="19">
        <v>2928228</v>
      </c>
      <c r="N69" s="19">
        <f t="shared" si="7"/>
        <v>351387392000</v>
      </c>
      <c r="O69" s="18" t="str">
        <f t="shared" si="8"/>
        <v>351.4c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0:26" ht="19.7" customHeight="1">
      <c r="J70" s="11">
        <v>65</v>
      </c>
      <c r="K70" s="17">
        <v>500</v>
      </c>
      <c r="L70" s="18">
        <f t="shared" ref="L70:L80" si="9">INT(J70+(J70*K70)+K70)</f>
        <v>33065</v>
      </c>
      <c r="M70" s="19">
        <v>3143056</v>
      </c>
      <c r="N70" s="19">
        <f t="shared" ref="N70:N80" si="10">J70*K70+(M70*120000)</f>
        <v>377166752500</v>
      </c>
      <c r="O70" s="18" t="str">
        <f t="shared" si="8"/>
        <v>377.2c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0:26" ht="19.7" customHeight="1">
      <c r="J71" s="11">
        <v>66</v>
      </c>
      <c r="K71" s="17">
        <v>580</v>
      </c>
      <c r="L71" s="18">
        <f t="shared" si="9"/>
        <v>38926</v>
      </c>
      <c r="M71" s="19">
        <v>3369493</v>
      </c>
      <c r="N71" s="19">
        <f t="shared" si="10"/>
        <v>404339198280</v>
      </c>
      <c r="O71" s="18" t="str">
        <f t="shared" si="8"/>
        <v>404.3c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0:26" ht="19.7" customHeight="1">
      <c r="J72" s="11">
        <v>67</v>
      </c>
      <c r="K72" s="17">
        <v>580</v>
      </c>
      <c r="L72" s="18">
        <f t="shared" si="9"/>
        <v>39507</v>
      </c>
      <c r="M72" s="19">
        <v>3607950</v>
      </c>
      <c r="N72" s="19">
        <f t="shared" si="10"/>
        <v>432954038860</v>
      </c>
      <c r="O72" s="18" t="str">
        <f t="shared" si="8"/>
        <v>433.0c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0:26" ht="19.7" customHeight="1">
      <c r="J73" s="11">
        <v>68</v>
      </c>
      <c r="K73" s="17">
        <v>580</v>
      </c>
      <c r="L73" s="18">
        <f t="shared" si="9"/>
        <v>40088</v>
      </c>
      <c r="M73" s="19">
        <v>3858845</v>
      </c>
      <c r="N73" s="19">
        <f t="shared" si="10"/>
        <v>463061439440</v>
      </c>
      <c r="O73" s="18" t="str">
        <f t="shared" ref="O73:O81" si="11">IF(N73=0, "0", TEXT(N73/1000^(INT(LOG(N73, 1000))), "#,##0.0") &amp; CHAR(96 + INT(LOG(N73, 1000)) + 0))</f>
        <v>463.1c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0:26" ht="19.7" customHeight="1">
      <c r="J74" s="11">
        <v>69</v>
      </c>
      <c r="K74" s="17">
        <v>580</v>
      </c>
      <c r="L74" s="18">
        <f t="shared" si="9"/>
        <v>40669</v>
      </c>
      <c r="M74" s="19">
        <v>4122604</v>
      </c>
      <c r="N74" s="19">
        <f t="shared" si="10"/>
        <v>494712520020</v>
      </c>
      <c r="O74" s="18" t="str">
        <f t="shared" si="11"/>
        <v>494.7c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0:26" ht="19.7" customHeight="1">
      <c r="J75" s="11">
        <v>70</v>
      </c>
      <c r="K75" s="17">
        <v>580</v>
      </c>
      <c r="L75" s="18">
        <f t="shared" si="9"/>
        <v>41250</v>
      </c>
      <c r="M75" s="19">
        <v>4399659</v>
      </c>
      <c r="N75" s="19">
        <f t="shared" si="10"/>
        <v>527959120600</v>
      </c>
      <c r="O75" s="18" t="str">
        <f t="shared" si="11"/>
        <v>528.0c</v>
      </c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0:26" ht="19.7" customHeight="1">
      <c r="J76" s="11">
        <v>71</v>
      </c>
      <c r="K76" s="17">
        <v>600</v>
      </c>
      <c r="L76" s="18">
        <f t="shared" si="9"/>
        <v>43271</v>
      </c>
      <c r="M76" s="19">
        <v>4690449</v>
      </c>
      <c r="N76" s="19">
        <f t="shared" si="10"/>
        <v>562853922600</v>
      </c>
      <c r="O76" s="18" t="str">
        <f t="shared" si="11"/>
        <v>562.9c</v>
      </c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0:26" ht="19.7" customHeight="1">
      <c r="J77" s="11">
        <v>72</v>
      </c>
      <c r="K77" s="17">
        <v>600</v>
      </c>
      <c r="L77" s="18">
        <f t="shared" si="9"/>
        <v>43872</v>
      </c>
      <c r="M77" s="19">
        <v>4995420</v>
      </c>
      <c r="N77" s="19">
        <f t="shared" si="10"/>
        <v>599450443200</v>
      </c>
      <c r="O77" s="18" t="str">
        <f t="shared" si="11"/>
        <v>599.5c</v>
      </c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0:26" ht="19.7" customHeight="1">
      <c r="J78" s="11">
        <v>73</v>
      </c>
      <c r="K78" s="17">
        <v>600</v>
      </c>
      <c r="L78" s="18">
        <f t="shared" si="9"/>
        <v>44473</v>
      </c>
      <c r="M78" s="19">
        <v>5315028</v>
      </c>
      <c r="N78" s="19">
        <f t="shared" si="10"/>
        <v>637803403800</v>
      </c>
      <c r="O78" s="18" t="str">
        <f t="shared" si="11"/>
        <v>637.8c</v>
      </c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0:26" ht="19.7" customHeight="1">
      <c r="J79" s="11">
        <v>74</v>
      </c>
      <c r="K79" s="17">
        <v>600</v>
      </c>
      <c r="L79" s="18">
        <f t="shared" si="9"/>
        <v>45074</v>
      </c>
      <c r="M79" s="19">
        <v>5649731</v>
      </c>
      <c r="N79" s="19">
        <f t="shared" si="10"/>
        <v>677967764400</v>
      </c>
      <c r="O79" s="18" t="str">
        <f t="shared" si="11"/>
        <v>678.0c</v>
      </c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0:26" ht="19.7" customHeight="1">
      <c r="J80" s="11">
        <v>75</v>
      </c>
      <c r="K80" s="17">
        <v>700</v>
      </c>
      <c r="L80" s="18">
        <f t="shared" si="9"/>
        <v>53275</v>
      </c>
      <c r="M80" s="19">
        <v>6000000</v>
      </c>
      <c r="N80" s="19">
        <f t="shared" si="10"/>
        <v>720000052500</v>
      </c>
      <c r="O80" s="18" t="str">
        <f t="shared" si="11"/>
        <v>720.0c</v>
      </c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0:26" ht="19.7" customHeight="1">
      <c r="J81" s="11" t="s">
        <v>118</v>
      </c>
      <c r="K81" s="38"/>
      <c r="L81" s="18">
        <f>SUM(L6:L80)</f>
        <v>1050630</v>
      </c>
      <c r="M81" s="11"/>
      <c r="N81" s="16">
        <f>SUM(N6:N80)</f>
        <v>10012004348500</v>
      </c>
      <c r="O81" s="18" t="str">
        <f t="shared" si="11"/>
        <v>10.0d</v>
      </c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0:26" ht="19.7" customHeight="1"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0:26" ht="19.7" customHeight="1"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0:26" ht="19.7" customHeight="1"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0:26" ht="19.7" customHeight="1"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0:26" ht="19.7" customHeight="1"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0:26" ht="19.7" customHeight="1">
      <c r="Q87" s="31"/>
      <c r="R87" s="31"/>
      <c r="S87" s="31"/>
      <c r="T87" s="31"/>
      <c r="U87" s="31"/>
      <c r="V87" s="31"/>
    </row>
    <row r="88" spans="10:26" ht="19.7" customHeight="1">
      <c r="Q88" s="31"/>
      <c r="R88" s="31"/>
      <c r="S88" s="31"/>
      <c r="T88" s="31"/>
      <c r="U88" s="31"/>
      <c r="V88" s="31"/>
    </row>
    <row r="89" spans="10:26" ht="19.7" customHeight="1">
      <c r="Q89" s="31"/>
      <c r="R89" s="31"/>
      <c r="S89" s="31"/>
      <c r="T89" s="31"/>
      <c r="U89" s="31"/>
      <c r="V89" s="31"/>
    </row>
    <row r="90" spans="10:26" ht="19.7" customHeight="1">
      <c r="Q90" s="31"/>
      <c r="R90" s="31"/>
      <c r="S90" s="31"/>
      <c r="T90" s="31"/>
      <c r="U90" s="31"/>
      <c r="V90" s="31"/>
    </row>
    <row r="91" spans="10:26" ht="19.7" customHeight="1"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0:26" ht="19.7" customHeight="1"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0:26" ht="19.7" customHeight="1"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0:26" ht="19.7" customHeight="1"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0:26" ht="19.7" customHeight="1">
      <c r="Q95" s="11" t="s">
        <v>155</v>
      </c>
      <c r="R95" s="11">
        <v>1</v>
      </c>
      <c r="S95" s="16">
        <f ca="1">R26*R95</f>
        <v>1050630</v>
      </c>
      <c r="T95" s="48">
        <f ca="1">$S$53*S95</f>
        <v>525315</v>
      </c>
      <c r="U95" s="11"/>
      <c r="V95" s="49">
        <v>0.4</v>
      </c>
      <c r="W95" s="48">
        <f ca="1">T95-T95*V95</f>
        <v>315189</v>
      </c>
      <c r="X95" s="31"/>
      <c r="Y95" s="50">
        <f>Y14/R95</f>
        <v>13</v>
      </c>
      <c r="Z95" s="51">
        <f ca="1">W95*Y95</f>
        <v>4097457</v>
      </c>
    </row>
    <row r="96" spans="10:26" ht="19.7" customHeight="1"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7:27" ht="19.7" customHeight="1">
      <c r="Q97" s="31"/>
      <c r="R97" s="31"/>
      <c r="S97" s="31"/>
      <c r="T97" s="31"/>
      <c r="U97" s="31"/>
      <c r="V97" s="31"/>
    </row>
    <row r="98" spans="17:27" ht="19.7" customHeight="1">
      <c r="Q98" s="31"/>
      <c r="R98" s="31"/>
      <c r="S98" s="31"/>
      <c r="T98" s="31"/>
      <c r="U98" s="31"/>
      <c r="V98" s="31"/>
    </row>
    <row r="101" spans="17:27" ht="19.7" customHeight="1">
      <c r="X101" s="31" t="s">
        <v>153</v>
      </c>
      <c r="Y101" s="31">
        <f>X102/S53</f>
        <v>20000</v>
      </c>
      <c r="Z101" s="31"/>
      <c r="AA101" s="31"/>
    </row>
    <row r="102" spans="17:27" ht="19.7" customHeight="1">
      <c r="X102" s="2">
        <v>10000</v>
      </c>
      <c r="Y102" s="2">
        <v>40000</v>
      </c>
      <c r="AA102" s="2" t="s">
        <v>156</v>
      </c>
    </row>
    <row r="103" spans="17:27" ht="19.7" customHeight="1">
      <c r="Q103" s="2" t="s">
        <v>11</v>
      </c>
      <c r="R103" s="2" t="s">
        <v>157</v>
      </c>
      <c r="S103" s="2" t="s">
        <v>158</v>
      </c>
      <c r="T103" s="2" t="s">
        <v>159</v>
      </c>
      <c r="U103" s="2" t="s">
        <v>15</v>
      </c>
      <c r="V103" s="2" t="s">
        <v>16</v>
      </c>
      <c r="X103" s="31"/>
      <c r="Y103" s="31" t="s">
        <v>160</v>
      </c>
      <c r="Z103" s="31">
        <f>Y102*12</f>
        <v>480000</v>
      </c>
      <c r="AA103" s="31"/>
    </row>
    <row r="104" spans="17:27" ht="19.7" customHeight="1">
      <c r="Q104" s="2" t="s">
        <v>161</v>
      </c>
      <c r="R104" s="2">
        <v>4158</v>
      </c>
      <c r="S104" s="2">
        <v>7.4999999999999997E-2</v>
      </c>
      <c r="T104" s="31"/>
      <c r="U104" s="2">
        <f>(S104*200*R104)*60*24</f>
        <v>89812800</v>
      </c>
      <c r="X104" s="31"/>
      <c r="Y104" s="31"/>
      <c r="Z104" s="31"/>
      <c r="AA104" s="31"/>
    </row>
    <row r="105" spans="17:27" ht="19.7" customHeight="1">
      <c r="T105" s="31"/>
      <c r="X105" s="31" t="s">
        <v>154</v>
      </c>
      <c r="Y105" s="31"/>
      <c r="Z105" s="31"/>
      <c r="AA105" s="2">
        <f ca="1">W36*R11</f>
        <v>18070975</v>
      </c>
    </row>
    <row r="106" spans="17:27" ht="19.7" customHeight="1">
      <c r="X106" s="31">
        <v>30000</v>
      </c>
      <c r="Y106" s="31">
        <f>Y102*3</f>
        <v>120000</v>
      </c>
      <c r="Z106" s="31">
        <f>Y102*3*3</f>
        <v>360000</v>
      </c>
      <c r="AA106" s="52">
        <f>(Z106+Z103)*20</f>
        <v>16800000</v>
      </c>
    </row>
    <row r="107" spans="17:27" ht="19.7" customHeight="1">
      <c r="X107" s="31"/>
      <c r="Y107" s="31" t="s">
        <v>162</v>
      </c>
      <c r="Z107" s="31"/>
      <c r="AA107" s="31">
        <f ca="1">AA105-AA106</f>
        <v>1270975</v>
      </c>
    </row>
    <row r="108" spans="17:27" ht="19.7" customHeight="1">
      <c r="X108" s="31"/>
      <c r="Y108" s="31"/>
      <c r="Z108" s="31"/>
      <c r="AA108" s="31">
        <f ca="1">AA107/R116</f>
        <v>44.131076388888886</v>
      </c>
    </row>
    <row r="109" spans="17:27" ht="19.7" customHeight="1">
      <c r="X109" s="31" t="s">
        <v>163</v>
      </c>
      <c r="Y109" s="31"/>
      <c r="Z109" s="31"/>
      <c r="AA109" s="53">
        <f ca="1">AA108/30</f>
        <v>1.4710358796296295</v>
      </c>
    </row>
    <row r="110" spans="17:27" ht="19.7" customHeight="1">
      <c r="X110" s="31"/>
      <c r="Y110" s="31"/>
      <c r="Z110" s="31"/>
      <c r="AA110" s="31"/>
    </row>
    <row r="111" spans="17:27" ht="19.7" customHeight="1">
      <c r="X111" s="31"/>
      <c r="Y111" s="31"/>
      <c r="Z111" s="31"/>
      <c r="AA111" s="31"/>
    </row>
    <row r="114" spans="17:26" ht="19.7" customHeight="1">
      <c r="Q114" s="2" t="s">
        <v>164</v>
      </c>
    </row>
    <row r="115" spans="17:26" ht="19.7" customHeight="1">
      <c r="Q115" s="54" t="s">
        <v>165</v>
      </c>
      <c r="R115" s="54" t="s">
        <v>166</v>
      </c>
      <c r="S115" s="54" t="s">
        <v>167</v>
      </c>
      <c r="T115" s="54"/>
      <c r="U115" s="54" t="s">
        <v>168</v>
      </c>
      <c r="V115" s="54" t="s">
        <v>169</v>
      </c>
      <c r="W115" s="54" t="s">
        <v>145</v>
      </c>
      <c r="X115" s="31"/>
      <c r="Y115" s="54" t="s">
        <v>170</v>
      </c>
      <c r="Z115" s="54" t="s">
        <v>171</v>
      </c>
    </row>
    <row r="116" spans="17:26" ht="19.7" customHeight="1">
      <c r="Q116" s="11">
        <v>1</v>
      </c>
      <c r="R116" s="11">
        <f t="shared" ref="R116:R121" si="12">$R$11*Q116</f>
        <v>28800</v>
      </c>
      <c r="S116" s="48">
        <f>S53*R116</f>
        <v>14400</v>
      </c>
      <c r="T116" s="11"/>
      <c r="U116" s="11" t="s">
        <v>172</v>
      </c>
      <c r="V116" s="49">
        <v>0.1</v>
      </c>
      <c r="W116" s="48">
        <f t="shared" ref="W116:W121" si="13">S116-S116*V116</f>
        <v>12960</v>
      </c>
      <c r="X116" s="31"/>
      <c r="Y116" s="55">
        <f t="shared" ref="Y116:Y121" ca="1" si="14">INT($S$27/R116)</f>
        <v>662</v>
      </c>
      <c r="Z116" s="51">
        <f t="shared" ref="Z116:Z121" ca="1" si="15">W116*Y116</f>
        <v>8579520</v>
      </c>
    </row>
    <row r="117" spans="17:26" ht="19.7" customHeight="1">
      <c r="Q117" s="11">
        <v>3</v>
      </c>
      <c r="R117" s="11">
        <f t="shared" si="12"/>
        <v>86400</v>
      </c>
      <c r="S117" s="48">
        <f>$S$116*Q117</f>
        <v>43200</v>
      </c>
      <c r="T117" s="11"/>
      <c r="U117" s="11"/>
      <c r="V117" s="49">
        <v>0.2</v>
      </c>
      <c r="W117" s="48">
        <f t="shared" si="13"/>
        <v>34560</v>
      </c>
      <c r="X117" s="31"/>
      <c r="Y117" s="55">
        <f t="shared" ca="1" si="14"/>
        <v>220</v>
      </c>
      <c r="Z117" s="51">
        <f t="shared" ca="1" si="15"/>
        <v>7603200</v>
      </c>
    </row>
    <row r="118" spans="17:26" ht="19.7" customHeight="1">
      <c r="Q118" s="11">
        <v>7</v>
      </c>
      <c r="R118" s="11">
        <f t="shared" si="12"/>
        <v>201600</v>
      </c>
      <c r="S118" s="48">
        <f>$S$116*Q118</f>
        <v>100800</v>
      </c>
      <c r="T118" s="11"/>
      <c r="U118" s="11"/>
      <c r="V118" s="49">
        <v>0.25</v>
      </c>
      <c r="W118" s="48">
        <f t="shared" si="13"/>
        <v>75600</v>
      </c>
      <c r="X118" s="31"/>
      <c r="Y118" s="55">
        <f t="shared" ca="1" si="14"/>
        <v>94</v>
      </c>
      <c r="Z118" s="51">
        <f t="shared" ca="1" si="15"/>
        <v>7106400</v>
      </c>
    </row>
    <row r="119" spans="17:26" ht="19.7" customHeight="1">
      <c r="Q119" s="11">
        <v>22</v>
      </c>
      <c r="R119" s="11">
        <f t="shared" si="12"/>
        <v>633600</v>
      </c>
      <c r="S119" s="48">
        <f>$S$116*Q119</f>
        <v>316800</v>
      </c>
      <c r="T119" s="11"/>
      <c r="U119" s="11"/>
      <c r="V119" s="49">
        <v>0.3</v>
      </c>
      <c r="W119" s="48">
        <f t="shared" si="13"/>
        <v>221760</v>
      </c>
      <c r="X119" s="31"/>
      <c r="Y119" s="55">
        <f t="shared" ca="1" si="14"/>
        <v>30</v>
      </c>
      <c r="Z119" s="51">
        <f t="shared" ca="1" si="15"/>
        <v>6652800</v>
      </c>
    </row>
    <row r="120" spans="17:26" ht="19.7" customHeight="1">
      <c r="Q120" s="11">
        <v>24</v>
      </c>
      <c r="R120" s="11">
        <f t="shared" si="12"/>
        <v>691200</v>
      </c>
      <c r="S120" s="48">
        <f>$S$116*Q120</f>
        <v>345600</v>
      </c>
      <c r="T120" s="11"/>
      <c r="U120" s="11"/>
      <c r="V120" s="49">
        <v>0.4</v>
      </c>
      <c r="W120" s="48">
        <f t="shared" si="13"/>
        <v>207360</v>
      </c>
      <c r="X120" s="31"/>
      <c r="Y120" s="55">
        <f t="shared" ca="1" si="14"/>
        <v>27</v>
      </c>
      <c r="Z120" s="51">
        <f t="shared" ca="1" si="15"/>
        <v>5598720</v>
      </c>
    </row>
    <row r="121" spans="17:26" ht="19.7" customHeight="1">
      <c r="Q121" s="11">
        <v>30</v>
      </c>
      <c r="R121" s="11">
        <f t="shared" si="12"/>
        <v>864000</v>
      </c>
      <c r="S121" s="48">
        <f>$S$116*Q121</f>
        <v>432000</v>
      </c>
      <c r="T121" s="11"/>
      <c r="U121" s="11"/>
      <c r="V121" s="49">
        <v>0.5</v>
      </c>
      <c r="W121" s="48">
        <f t="shared" si="13"/>
        <v>216000</v>
      </c>
      <c r="X121" s="31"/>
      <c r="Y121" s="55">
        <f t="shared" ca="1" si="14"/>
        <v>22</v>
      </c>
      <c r="Z121" s="51">
        <f t="shared" ca="1" si="15"/>
        <v>4752000</v>
      </c>
    </row>
    <row r="122" spans="17:26" ht="19.7" customHeight="1">
      <c r="X122" s="31"/>
      <c r="Z122" s="56">
        <f ca="1">S121*Y121</f>
        <v>9504000</v>
      </c>
    </row>
    <row r="123" spans="17:26" ht="19.7" customHeight="1">
      <c r="Q123" s="31" t="s">
        <v>173</v>
      </c>
      <c r="R123" s="31"/>
      <c r="S123" s="31"/>
    </row>
    <row r="124" spans="17:26" ht="19.7" customHeight="1">
      <c r="Q124" s="54"/>
      <c r="R124" s="54" t="s">
        <v>166</v>
      </c>
      <c r="S124" s="54" t="s">
        <v>174</v>
      </c>
      <c r="T124" s="54" t="s">
        <v>167</v>
      </c>
      <c r="U124" s="54" t="s">
        <v>168</v>
      </c>
      <c r="V124" s="54" t="s">
        <v>169</v>
      </c>
      <c r="W124" s="54" t="s">
        <v>145</v>
      </c>
      <c r="X124" s="31"/>
    </row>
    <row r="125" spans="17:26" ht="19.7" customHeight="1">
      <c r="Q125" s="11" t="s">
        <v>175</v>
      </c>
      <c r="R125" s="11">
        <v>1</v>
      </c>
      <c r="S125" s="16">
        <f ca="1">R24*R125</f>
        <v>16870</v>
      </c>
      <c r="T125" s="48">
        <f t="shared" ref="T125:T131" ca="1" si="16">$S$53*S125</f>
        <v>8435</v>
      </c>
      <c r="U125" s="11"/>
      <c r="V125" s="49">
        <v>0.05</v>
      </c>
      <c r="W125" s="48">
        <f t="shared" ref="W125:W131" ca="1" si="17">T125-T125*V125</f>
        <v>8013.25</v>
      </c>
      <c r="X125" s="31"/>
    </row>
    <row r="126" spans="17:26" ht="19.7" customHeight="1">
      <c r="Q126" s="11" t="s">
        <v>175</v>
      </c>
      <c r="R126" s="11">
        <v>3</v>
      </c>
      <c r="S126" s="16">
        <f ca="1">R24*R126</f>
        <v>50610</v>
      </c>
      <c r="T126" s="48">
        <f t="shared" ca="1" si="16"/>
        <v>25305</v>
      </c>
      <c r="U126" s="11"/>
      <c r="V126" s="49">
        <v>0.1</v>
      </c>
      <c r="W126" s="48">
        <f t="shared" ca="1" si="17"/>
        <v>22774.5</v>
      </c>
      <c r="X126" s="31"/>
    </row>
    <row r="127" spans="17:26" ht="19.7" customHeight="1">
      <c r="Q127" s="11" t="s">
        <v>176</v>
      </c>
      <c r="R127" s="11">
        <v>1</v>
      </c>
      <c r="S127" s="16">
        <f ca="1">$R$25*R127</f>
        <v>246505</v>
      </c>
      <c r="T127" s="48">
        <f t="shared" ca="1" si="16"/>
        <v>123252.5</v>
      </c>
      <c r="U127" s="11"/>
      <c r="V127" s="49">
        <v>0.1</v>
      </c>
      <c r="W127" s="48">
        <f t="shared" ca="1" si="17"/>
        <v>110927.25</v>
      </c>
      <c r="X127" s="31"/>
    </row>
    <row r="128" spans="17:26" ht="19.7" customHeight="1">
      <c r="Q128" s="11" t="s">
        <v>176</v>
      </c>
      <c r="R128" s="11">
        <v>2</v>
      </c>
      <c r="S128" s="16">
        <f ca="1">$R$25*R128</f>
        <v>493010</v>
      </c>
      <c r="T128" s="48">
        <f t="shared" ca="1" si="16"/>
        <v>246505</v>
      </c>
      <c r="U128" s="11"/>
      <c r="V128" s="49">
        <v>0.2</v>
      </c>
      <c r="W128" s="48">
        <f t="shared" ca="1" si="17"/>
        <v>197204</v>
      </c>
      <c r="X128" s="31"/>
    </row>
    <row r="129" spans="17:26" ht="19.7" customHeight="1">
      <c r="Q129" s="11" t="s">
        <v>176</v>
      </c>
      <c r="R129" s="11">
        <v>5</v>
      </c>
      <c r="S129" s="16">
        <f ca="1">$R$25*R129</f>
        <v>1232525</v>
      </c>
      <c r="T129" s="48">
        <f t="shared" ca="1" si="16"/>
        <v>616262.5</v>
      </c>
      <c r="U129" s="11"/>
      <c r="V129" s="49">
        <v>0.5</v>
      </c>
      <c r="W129" s="48">
        <f t="shared" ca="1" si="17"/>
        <v>308131.25</v>
      </c>
      <c r="X129" s="31"/>
    </row>
    <row r="130" spans="17:26" ht="19.7" customHeight="1">
      <c r="Q130" s="11" t="s">
        <v>177</v>
      </c>
      <c r="R130" s="11">
        <v>5</v>
      </c>
      <c r="S130" s="16">
        <f ca="1">R26*R130</f>
        <v>5253150</v>
      </c>
      <c r="T130" s="48">
        <f t="shared" ca="1" si="16"/>
        <v>2626575</v>
      </c>
      <c r="U130" s="11"/>
      <c r="V130" s="49"/>
      <c r="W130" s="48">
        <f t="shared" ca="1" si="17"/>
        <v>2626575</v>
      </c>
      <c r="X130" s="31"/>
      <c r="Y130" s="50">
        <f>Y14/R130</f>
        <v>2.6</v>
      </c>
      <c r="Z130" s="51">
        <f ca="1">W130*Y130</f>
        <v>6829095</v>
      </c>
    </row>
    <row r="131" spans="17:26" ht="19.7" customHeight="1">
      <c r="Q131" s="11" t="s">
        <v>177</v>
      </c>
      <c r="R131" s="11">
        <v>10</v>
      </c>
      <c r="S131" s="16">
        <f ca="1">R26*R131</f>
        <v>10506300</v>
      </c>
      <c r="T131" s="48">
        <f t="shared" ca="1" si="16"/>
        <v>5253150</v>
      </c>
      <c r="U131" s="11"/>
      <c r="V131" s="49">
        <v>0.75</v>
      </c>
      <c r="W131" s="48">
        <f t="shared" ca="1" si="17"/>
        <v>1313287.5</v>
      </c>
      <c r="X131" s="31"/>
      <c r="Y131" s="50">
        <f>Y14/R131</f>
        <v>1.3</v>
      </c>
      <c r="Z131" s="51">
        <f ca="1">W131*Y131</f>
        <v>1707273.75</v>
      </c>
    </row>
    <row r="132" spans="17:26" ht="19.7" customHeight="1">
      <c r="U132" s="31"/>
      <c r="W132" s="31"/>
      <c r="X132" s="2" t="s">
        <v>178</v>
      </c>
      <c r="Y132" s="2">
        <v>139380</v>
      </c>
      <c r="Z132" s="56">
        <f ca="1">Z131*2+Z130*2</f>
        <v>17072737.5</v>
      </c>
    </row>
    <row r="133" spans="17:26" ht="19.7" customHeight="1">
      <c r="Q133" s="31"/>
      <c r="U133" s="31"/>
      <c r="W133" s="31"/>
      <c r="X133" s="2" t="s">
        <v>179</v>
      </c>
      <c r="Y133" s="2">
        <v>89380</v>
      </c>
      <c r="Z133" s="56">
        <f ca="1">Z131+(Z130*2)</f>
        <v>15365463.75</v>
      </c>
    </row>
    <row r="134" spans="17:26" ht="19.7" customHeight="1"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</sheetData>
  <mergeCells count="24">
    <mergeCell ref="J4:L4"/>
    <mergeCell ref="M4:O4"/>
    <mergeCell ref="Q5:Q7"/>
    <mergeCell ref="Q10:R10"/>
    <mergeCell ref="T10:U10"/>
    <mergeCell ref="V10:W10"/>
    <mergeCell ref="Q17:S17"/>
    <mergeCell ref="T22:V22"/>
    <mergeCell ref="Q23:R23"/>
    <mergeCell ref="Q27:R27"/>
    <mergeCell ref="T34:U34"/>
    <mergeCell ref="V34:W34"/>
    <mergeCell ref="X34:Y34"/>
    <mergeCell ref="Q35:Q37"/>
    <mergeCell ref="Q28:R28"/>
    <mergeCell ref="Q29:R29"/>
    <mergeCell ref="Q30:R30"/>
    <mergeCell ref="Q31:R31"/>
    <mergeCell ref="Q32:R32"/>
    <mergeCell ref="Q38:Q40"/>
    <mergeCell ref="Q41:Q43"/>
    <mergeCell ref="Q44:Q46"/>
    <mergeCell ref="Q53:R53"/>
    <mergeCell ref="R34:S34"/>
  </mergeCells>
  <phoneticPr fontId="9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시트1_2_2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석환 최</cp:lastModifiedBy>
  <cp:revision>286</cp:revision>
  <dcterms:created xsi:type="dcterms:W3CDTF">2024-12-17T19:29:22Z</dcterms:created>
  <dcterms:modified xsi:type="dcterms:W3CDTF">2024-12-19T11:02:57Z</dcterms:modified>
  <dc:language>ko-KR</dc:language>
</cp:coreProperties>
</file>