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il6\Desktop\2022Fall\Data_Visualization\assignments\as2\"/>
    </mc:Choice>
  </mc:AlternateContent>
  <xr:revisionPtr revIDLastSave="0" documentId="13_ncr:1_{9F823F08-6DF0-4655-8090-6A6E5A9FA22D}" xr6:coauthVersionLast="47" xr6:coauthVersionMax="47" xr10:uidLastSave="{00000000-0000-0000-0000-000000000000}"/>
  <workbookProtection workbookAlgorithmName="SHA-512" workbookHashValue="Ks+AdszOln5C1N9EjKpzKx+hXfTPfWcQPpVyZRd2HB2gQNfYr+stIuQ7gBUCD6w1Q0H3LmRCJUkhMlz85kpZtQ==" workbookSaltValue="S58iDNoBCiZXj4kvALx4Zw==" workbookSpinCount="100000" lockStructure="1"/>
  <bookViews>
    <workbookView xWindow="-120" yWindow="-120" windowWidth="29040" windowHeight="15720" tabRatio="705" activeTab="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I" localSheetId="5">#REF!</definedName>
    <definedName name="\I">#REF!</definedName>
    <definedName name="\P" localSheetId="5">#REF!</definedName>
    <definedName name="\P">#REF!</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s="1"/>
  <c r="J16" i="15" s="1"/>
  <c r="C10" i="15"/>
  <c r="D10" i="15" s="1"/>
  <c r="J10" i="15" s="1"/>
  <c r="C15" i="15"/>
  <c r="D15" i="15" s="1"/>
  <c r="C12" i="15"/>
  <c r="D12" i="15" s="1"/>
  <c r="C17" i="15"/>
  <c r="D17" i="15" s="1"/>
  <c r="C57" i="15"/>
  <c r="D57" i="15" s="1"/>
  <c r="I57" i="15" s="1"/>
  <c r="C32" i="15"/>
  <c r="D32" i="15" s="1"/>
  <c r="C30" i="15"/>
  <c r="D30" i="15" s="1"/>
  <c r="L30" i="15" s="1"/>
  <c r="C82" i="15"/>
  <c r="D82" i="15" s="1"/>
  <c r="J82" i="15" s="1"/>
  <c r="C37" i="15"/>
  <c r="D37" i="15" s="1"/>
  <c r="G37" i="15" s="1"/>
  <c r="C55" i="15"/>
  <c r="D55" i="15" s="1"/>
  <c r="C92" i="15"/>
  <c r="D92" i="15" s="1"/>
  <c r="G92" i="15" s="1"/>
  <c r="C21" i="15"/>
  <c r="D21" i="15" s="1"/>
  <c r="C31" i="15"/>
  <c r="D31" i="15" s="1"/>
  <c r="C14" i="15"/>
  <c r="D14" i="15" s="1"/>
  <c r="C95" i="15"/>
  <c r="D95" i="15" s="1"/>
  <c r="C69" i="15"/>
  <c r="D69" i="15" s="1"/>
  <c r="C28" i="15"/>
  <c r="D28" i="15" s="1"/>
  <c r="C20" i="15"/>
  <c r="D20" i="15" s="1"/>
  <c r="C24" i="15"/>
  <c r="D24" i="15" s="1"/>
  <c r="J24" i="15" s="1"/>
  <c r="C52" i="15"/>
  <c r="D52" i="15" s="1"/>
  <c r="C18" i="15"/>
  <c r="D18" i="15" s="1"/>
  <c r="J18" i="15" s="1"/>
  <c r="C25" i="15"/>
  <c r="D25" i="15" s="1"/>
  <c r="C51" i="15"/>
  <c r="D51" i="15" s="1"/>
  <c r="J51" i="15" s="1"/>
  <c r="C53" i="15"/>
  <c r="D53" i="15" s="1"/>
  <c r="J53" i="15" s="1"/>
  <c r="C137" i="15"/>
  <c r="D137" i="15" s="1"/>
  <c r="C36" i="15"/>
  <c r="D36" i="15" s="1"/>
  <c r="G36" i="15" s="1"/>
  <c r="C29" i="15"/>
  <c r="D29" i="15" s="1"/>
  <c r="C66" i="15"/>
  <c r="D66" i="15" s="1"/>
  <c r="C22" i="15"/>
  <c r="D22" i="15" s="1"/>
  <c r="C40" i="15"/>
  <c r="D40" i="15" s="1"/>
  <c r="C39" i="15"/>
  <c r="D39" i="15" s="1"/>
  <c r="J39" i="15" s="1"/>
  <c r="C58" i="15"/>
  <c r="D58" i="15" s="1"/>
  <c r="C44" i="15"/>
  <c r="D44" i="15" s="1"/>
  <c r="L44" i="15" s="1"/>
  <c r="C106" i="15"/>
  <c r="D106" i="15" s="1"/>
  <c r="J106" i="15" s="1"/>
  <c r="C76" i="15"/>
  <c r="D76" i="15" s="1"/>
  <c r="I76" i="15" s="1"/>
  <c r="C99" i="15"/>
  <c r="D99" i="15" s="1"/>
  <c r="C45" i="15"/>
  <c r="D45" i="15" s="1"/>
  <c r="H45" i="15" s="1"/>
  <c r="C26" i="15"/>
  <c r="D26" i="15" s="1"/>
  <c r="L26" i="15" s="1"/>
  <c r="C49" i="15"/>
  <c r="D49" i="15" s="1"/>
  <c r="C104" i="15"/>
  <c r="D104" i="15" s="1"/>
  <c r="J104" i="15" s="1"/>
  <c r="C47" i="15"/>
  <c r="D47" i="15" s="1"/>
  <c r="L47" i="15" s="1"/>
  <c r="C111" i="15"/>
  <c r="D111" i="15" s="1"/>
  <c r="J111" i="15" s="1"/>
  <c r="C33" i="15"/>
  <c r="D33" i="15" s="1"/>
  <c r="F33" i="15" s="1"/>
  <c r="C34" i="15"/>
  <c r="D34" i="15" s="1"/>
  <c r="C68" i="15"/>
  <c r="D68" i="15" s="1"/>
  <c r="C27" i="15"/>
  <c r="D27" i="15" s="1"/>
  <c r="J27" i="15" s="1"/>
  <c r="C38" i="15"/>
  <c r="D38" i="15" s="1"/>
  <c r="C50" i="15"/>
  <c r="D50" i="15" s="1"/>
  <c r="J50" i="15" s="1"/>
  <c r="C73" i="15"/>
  <c r="D73" i="15" s="1"/>
  <c r="J73" i="15" s="1"/>
  <c r="C46" i="15"/>
  <c r="D46" i="15" s="1"/>
  <c r="I46" i="15" s="1"/>
  <c r="C42" i="15"/>
  <c r="D42" i="15" s="1"/>
  <c r="F42" i="15" s="1"/>
  <c r="C23" i="15"/>
  <c r="D23" i="15" s="1"/>
  <c r="J23" i="15" s="1"/>
  <c r="C54" i="15"/>
  <c r="D54" i="15" s="1"/>
  <c r="C77" i="15"/>
  <c r="D77" i="15" s="1"/>
  <c r="J77" i="15" s="1"/>
  <c r="C72" i="15"/>
  <c r="D72" i="15" s="1"/>
  <c r="C84" i="15"/>
  <c r="D84" i="15" s="1"/>
  <c r="L84" i="15" s="1"/>
  <c r="C63" i="15"/>
  <c r="D63" i="15" s="1"/>
  <c r="J63" i="15" s="1"/>
  <c r="C93" i="15"/>
  <c r="D93" i="15" s="1"/>
  <c r="J93" i="15" s="1"/>
  <c r="C56" i="15"/>
  <c r="D56" i="15" s="1"/>
  <c r="H56" i="15" s="1"/>
  <c r="C103" i="15"/>
  <c r="D103" i="15" s="1"/>
  <c r="C86" i="15"/>
  <c r="D86" i="15" s="1"/>
  <c r="C64" i="15"/>
  <c r="D64" i="15" s="1"/>
  <c r="C74" i="15"/>
  <c r="D74" i="15" s="1"/>
  <c r="C125" i="15"/>
  <c r="D125" i="15" s="1"/>
  <c r="H125" i="15" s="1"/>
  <c r="C79" i="15"/>
  <c r="D79" i="15" s="1"/>
  <c r="L79" i="15" s="1"/>
  <c r="C43" i="15"/>
  <c r="D43" i="15" s="1"/>
  <c r="L43" i="15" s="1"/>
  <c r="C83" i="15"/>
  <c r="D83" i="15" s="1"/>
  <c r="C101" i="15"/>
  <c r="D101" i="15" s="1"/>
  <c r="J101" i="15" s="1"/>
  <c r="C59" i="15"/>
  <c r="D59" i="15" s="1"/>
  <c r="F59" i="15" s="1"/>
  <c r="C110" i="15"/>
  <c r="D110" i="15" s="1"/>
  <c r="C35" i="15"/>
  <c r="D35" i="15" s="1"/>
  <c r="C60" i="15"/>
  <c r="D60" i="15" s="1"/>
  <c r="H60" i="15" s="1"/>
  <c r="C78" i="15"/>
  <c r="D78" i="15" s="1"/>
  <c r="C114" i="15"/>
  <c r="D114" i="15" s="1"/>
  <c r="J114" i="15" s="1"/>
  <c r="C122" i="15"/>
  <c r="D122" i="15" s="1"/>
  <c r="F122" i="15" s="1"/>
  <c r="C119" i="15"/>
  <c r="D119" i="15" s="1"/>
  <c r="F119" i="15" s="1"/>
  <c r="C67" i="15"/>
  <c r="D67" i="15" s="1"/>
  <c r="L67" i="15" s="1"/>
  <c r="C97" i="15"/>
  <c r="D97" i="15" s="1"/>
  <c r="C89" i="15"/>
  <c r="D89" i="15"/>
  <c r="J89" i="15" s="1"/>
  <c r="C62" i="15"/>
  <c r="D62" i="15" s="1"/>
  <c r="I62" i="15" s="1"/>
  <c r="C124" i="15"/>
  <c r="D124" i="15" s="1"/>
  <c r="J124" i="15" s="1"/>
  <c r="C112" i="15"/>
  <c r="D112" i="15" s="1"/>
  <c r="L112" i="15" s="1"/>
  <c r="C87" i="15"/>
  <c r="D87" i="15" s="1"/>
  <c r="L87" i="15" s="1"/>
  <c r="C134" i="15"/>
  <c r="D134" i="15" s="1"/>
  <c r="H134" i="15" s="1"/>
  <c r="C81" i="15"/>
  <c r="D81" i="15" s="1"/>
  <c r="F81" i="15" s="1"/>
  <c r="C91" i="15"/>
  <c r="D91" i="15"/>
  <c r="J91" i="15" s="1"/>
  <c r="C70" i="15"/>
  <c r="D70" i="15" s="1"/>
  <c r="C98" i="15"/>
  <c r="D98" i="15" s="1"/>
  <c r="G98" i="15" s="1"/>
  <c r="C128" i="15"/>
  <c r="D128" i="15" s="1"/>
  <c r="L128" i="15" s="1"/>
  <c r="C131" i="15"/>
  <c r="D131" i="15" s="1"/>
  <c r="C88" i="15"/>
  <c r="D88" i="15" s="1"/>
  <c r="J88" i="15" s="1"/>
  <c r="C126" i="15"/>
  <c r="D126" i="15" s="1"/>
  <c r="C133" i="15"/>
  <c r="D133" i="15" s="1"/>
  <c r="I133" i="15" s="1"/>
  <c r="C117" i="15"/>
  <c r="D117" i="15" s="1"/>
  <c r="F117" i="15" s="1"/>
  <c r="C135" i="15"/>
  <c r="D135" i="15" s="1"/>
  <c r="J135" i="15" s="1"/>
  <c r="C141" i="15"/>
  <c r="D141" i="15" s="1"/>
  <c r="J141" i="15" s="1"/>
  <c r="C85" i="15"/>
  <c r="D85" i="15" s="1"/>
  <c r="C127" i="15"/>
  <c r="D127" i="15" s="1"/>
  <c r="C107" i="15"/>
  <c r="D107" i="15" s="1"/>
  <c r="F107" i="15" s="1"/>
  <c r="C146" i="15"/>
  <c r="D146" i="15" s="1"/>
  <c r="J146" i="15" s="1"/>
  <c r="C151" i="15"/>
  <c r="D151" i="15" s="1"/>
  <c r="C115" i="15"/>
  <c r="D115" i="15" s="1"/>
  <c r="F115" i="15" s="1"/>
  <c r="C75" i="15"/>
  <c r="D75" i="15" s="1"/>
  <c r="J75" i="15" s="1"/>
  <c r="C109" i="15"/>
  <c r="D109" i="15" s="1"/>
  <c r="J109" i="15" s="1"/>
  <c r="C108" i="15"/>
  <c r="D108" i="15" s="1"/>
  <c r="H108" i="15" s="1"/>
  <c r="C140" i="15"/>
  <c r="D140" i="15" s="1"/>
  <c r="J140" i="15" s="1"/>
  <c r="C143" i="15"/>
  <c r="D143" i="15" s="1"/>
  <c r="H143" i="15" s="1"/>
  <c r="C123" i="15"/>
  <c r="D123" i="15" s="1"/>
  <c r="I123" i="15" s="1"/>
  <c r="C153" i="15"/>
  <c r="D153" i="15" s="1"/>
  <c r="G153" i="15" s="1"/>
  <c r="C142" i="15"/>
  <c r="D142" i="15" s="1"/>
  <c r="F142" i="15" s="1"/>
  <c r="C145" i="15"/>
  <c r="D145" i="15" s="1"/>
  <c r="C138" i="15"/>
  <c r="D138" i="15" s="1"/>
  <c r="C160" i="15"/>
  <c r="D160" i="15" s="1"/>
  <c r="J160" i="15" s="1"/>
  <c r="C132" i="15"/>
  <c r="D132" i="15" s="1"/>
  <c r="J132" i="15" s="1"/>
  <c r="C154" i="15"/>
  <c r="D154" i="15" s="1"/>
  <c r="H154" i="15" s="1"/>
  <c r="C159" i="15"/>
  <c r="D159" i="15" s="1"/>
  <c r="L159" i="15" s="1"/>
  <c r="C156" i="15"/>
  <c r="D156" i="15" s="1"/>
  <c r="F156" i="15" s="1"/>
  <c r="C157" i="15"/>
  <c r="D157" i="15" s="1"/>
  <c r="J157" i="15" s="1"/>
  <c r="C13" i="15"/>
  <c r="D13" i="15" s="1"/>
  <c r="C149" i="15"/>
  <c r="D149" i="15" s="1"/>
  <c r="J149" i="15" s="1"/>
  <c r="C144" i="15"/>
  <c r="D144" i="15" s="1"/>
  <c r="F144" i="15" s="1"/>
  <c r="C155" i="15"/>
  <c r="D155" i="15" s="1"/>
  <c r="G155" i="15" s="1"/>
  <c r="C71" i="15"/>
  <c r="D71" i="15" s="1"/>
  <c r="J71" i="15" s="1"/>
  <c r="C148" i="15"/>
  <c r="D148" i="15" s="1"/>
  <c r="F148" i="15" s="1"/>
  <c r="C136" i="15"/>
  <c r="D136" i="15" s="1"/>
  <c r="J136" i="15" s="1"/>
  <c r="C130" i="15"/>
  <c r="D130" i="15" s="1"/>
  <c r="J130" i="15" s="1"/>
  <c r="C102" i="15"/>
  <c r="D102" i="15" s="1"/>
  <c r="F102" i="15" s="1"/>
  <c r="C65" i="15"/>
  <c r="D65" i="15" s="1"/>
  <c r="C113" i="15"/>
  <c r="D113" i="15" s="1"/>
  <c r="C120" i="15"/>
  <c r="D120" i="15" s="1"/>
  <c r="J120" i="15" s="1"/>
  <c r="C139" i="15"/>
  <c r="D139" i="15" s="1"/>
  <c r="G139" i="15" s="1"/>
  <c r="C105" i="15"/>
  <c r="D105" i="15" s="1"/>
  <c r="I105" i="15" s="1"/>
  <c r="C118" i="15"/>
  <c r="D118" i="15" s="1"/>
  <c r="C129" i="15"/>
  <c r="D129" i="15" s="1"/>
  <c r="I129" i="15" s="1"/>
  <c r="C147" i="15"/>
  <c r="D147" i="15" s="1"/>
  <c r="J147" i="15" s="1"/>
  <c r="C61" i="15"/>
  <c r="D61" i="15" s="1"/>
  <c r="J61" i="15" s="1"/>
  <c r="C80" i="15"/>
  <c r="D80" i="15" s="1"/>
  <c r="J80" i="15" s="1"/>
  <c r="C158" i="15"/>
  <c r="D158" i="15" s="1"/>
  <c r="J158" i="15" s="1"/>
  <c r="C100" i="15"/>
  <c r="D100" i="15" s="1"/>
  <c r="J100" i="15" s="1"/>
  <c r="C152" i="15"/>
  <c r="D152" i="15" s="1"/>
  <c r="H152" i="15" s="1"/>
  <c r="C94" i="15"/>
  <c r="D94" i="15" s="1"/>
  <c r="C41" i="15"/>
  <c r="D41" i="15" s="1"/>
  <c r="C48" i="15"/>
  <c r="D48" i="15" s="1"/>
  <c r="C116" i="15"/>
  <c r="D116" i="15" s="1"/>
  <c r="F116" i="15" s="1"/>
  <c r="C161" i="15"/>
  <c r="D161" i="15" s="1"/>
  <c r="J161" i="15" s="1"/>
  <c r="C121" i="15"/>
  <c r="D121" i="15" s="1"/>
  <c r="J121" i="15" s="1"/>
  <c r="C96" i="15"/>
  <c r="D96" i="15" s="1"/>
  <c r="C90" i="15"/>
  <c r="D90" i="15" s="1"/>
  <c r="H90" i="15" s="1"/>
  <c r="C150" i="15"/>
  <c r="D150" i="15" s="1"/>
  <c r="J150" i="15" s="1"/>
  <c r="C19" i="15"/>
  <c r="D19" i="15" s="1"/>
  <c r="J19" i="15" s="1"/>
  <c r="C11" i="15"/>
  <c r="D11" i="15" s="1"/>
  <c r="J11" i="15" s="1"/>
  <c r="K16" i="15"/>
  <c r="K12" i="15"/>
  <c r="K57" i="15"/>
  <c r="K17" i="15"/>
  <c r="K51" i="15"/>
  <c r="K15" i="15"/>
  <c r="K55" i="15"/>
  <c r="K18" i="15"/>
  <c r="K37" i="15"/>
  <c r="K52" i="15"/>
  <c r="K13" i="15"/>
  <c r="K137" i="15"/>
  <c r="K14" i="15"/>
  <c r="K22" i="15"/>
  <c r="K28" i="15"/>
  <c r="K76" i="15"/>
  <c r="K69" i="15"/>
  <c r="K20" i="15"/>
  <c r="K58" i="15"/>
  <c r="H31" i="15"/>
  <c r="K31" i="15"/>
  <c r="F53" i="15"/>
  <c r="K53" i="15"/>
  <c r="K21" i="15"/>
  <c r="K26" i="15"/>
  <c r="K45" i="15"/>
  <c r="K47" i="15"/>
  <c r="K24" i="15"/>
  <c r="K40" i="15"/>
  <c r="K36" i="15"/>
  <c r="K46" i="15"/>
  <c r="K34" i="15"/>
  <c r="K33" i="15"/>
  <c r="K29" i="15"/>
  <c r="K44" i="15"/>
  <c r="G68" i="15"/>
  <c r="I68" i="15"/>
  <c r="K68" i="15"/>
  <c r="K42" i="15"/>
  <c r="K25" i="15"/>
  <c r="K99" i="15"/>
  <c r="G54" i="15"/>
  <c r="K54" i="15"/>
  <c r="K104" i="15"/>
  <c r="K72" i="15"/>
  <c r="G59" i="15"/>
  <c r="K59" i="15"/>
  <c r="K84" i="15"/>
  <c r="K125" i="15"/>
  <c r="K103" i="15"/>
  <c r="K64" i="15"/>
  <c r="F134" i="15"/>
  <c r="K134" i="15"/>
  <c r="K77" i="15"/>
  <c r="K62" i="15"/>
  <c r="K87" i="15"/>
  <c r="K43" i="15"/>
  <c r="K70" i="15"/>
  <c r="K119" i="15"/>
  <c r="K98" i="15"/>
  <c r="K124" i="15"/>
  <c r="K89" i="15"/>
  <c r="K112" i="15"/>
  <c r="K60" i="15"/>
  <c r="K128" i="15"/>
  <c r="K122" i="15"/>
  <c r="K81" i="15"/>
  <c r="L81" i="15"/>
  <c r="K131" i="15"/>
  <c r="K143" i="15"/>
  <c r="K88" i="15"/>
  <c r="K127" i="15"/>
  <c r="K133" i="15"/>
  <c r="K145" i="15"/>
  <c r="K146" i="15"/>
  <c r="K140" i="15"/>
  <c r="K153" i="15"/>
  <c r="K117" i="15"/>
  <c r="K108" i="15"/>
  <c r="K107" i="15"/>
  <c r="L107" i="15"/>
  <c r="K123" i="15"/>
  <c r="K142" i="15"/>
  <c r="K109" i="15"/>
  <c r="K132" i="15"/>
  <c r="K138" i="15"/>
  <c r="K126" i="15"/>
  <c r="K149" i="15"/>
  <c r="K144" i="15"/>
  <c r="K85" i="15"/>
  <c r="K151" i="15"/>
  <c r="K154" i="15"/>
  <c r="K156" i="15"/>
  <c r="K157" i="15"/>
  <c r="F155" i="15"/>
  <c r="K155" i="15"/>
  <c r="K71" i="15"/>
  <c r="K97" i="15"/>
  <c r="K148" i="15"/>
  <c r="K101" i="15"/>
  <c r="K136" i="15"/>
  <c r="K63" i="15"/>
  <c r="G30" i="15"/>
  <c r="K30" i="15"/>
  <c r="K115" i="15"/>
  <c r="K130" i="15"/>
  <c r="K114" i="15"/>
  <c r="K159" i="15"/>
  <c r="K102" i="15"/>
  <c r="K65" i="15"/>
  <c r="K113" i="15"/>
  <c r="K120" i="15"/>
  <c r="K74" i="15"/>
  <c r="I67" i="15"/>
  <c r="K67" i="15"/>
  <c r="K79" i="15"/>
  <c r="K95" i="15"/>
  <c r="F139" i="15"/>
  <c r="K139" i="15"/>
  <c r="K105" i="15"/>
  <c r="K118" i="15"/>
  <c r="K38" i="15"/>
  <c r="K56" i="15"/>
  <c r="K129" i="15"/>
  <c r="K147" i="15"/>
  <c r="K78" i="15"/>
  <c r="K61" i="15"/>
  <c r="K93" i="15"/>
  <c r="K80" i="15"/>
  <c r="K49" i="15"/>
  <c r="K66" i="15"/>
  <c r="K92" i="15"/>
  <c r="K158" i="15"/>
  <c r="K75" i="15"/>
  <c r="K100" i="15"/>
  <c r="K152" i="15"/>
  <c r="K94" i="15"/>
  <c r="K141" i="15"/>
  <c r="K41" i="15"/>
  <c r="K32" i="15"/>
  <c r="K160" i="15"/>
  <c r="K110" i="15"/>
  <c r="K48" i="15"/>
  <c r="K116" i="15"/>
  <c r="K135" i="15"/>
  <c r="K27" i="15"/>
  <c r="K91" i="15"/>
  <c r="K82" i="15"/>
  <c r="K83" i="15"/>
  <c r="K161" i="15"/>
  <c r="K73" i="15"/>
  <c r="K106" i="15"/>
  <c r="K35" i="15"/>
  <c r="F39" i="15"/>
  <c r="K39" i="15"/>
  <c r="K121" i="15"/>
  <c r="K50" i="15"/>
  <c r="K96" i="15"/>
  <c r="K90" i="15"/>
  <c r="K111" i="15"/>
  <c r="K150" i="15"/>
  <c r="F23" i="15"/>
  <c r="G23" i="15"/>
  <c r="H23" i="15"/>
  <c r="I23" i="15"/>
  <c r="K23" i="15"/>
  <c r="L23" i="15"/>
  <c r="K19" i="15"/>
  <c r="K11" i="15"/>
  <c r="K86" i="15"/>
  <c r="K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H144" i="15"/>
  <c r="H146" i="15"/>
  <c r="I90" i="15"/>
  <c r="G57" i="15"/>
  <c r="L57" i="15"/>
  <c r="H120" i="15"/>
  <c r="F140" i="15"/>
  <c r="G120" i="15"/>
  <c r="G34" i="15"/>
  <c r="L34" i="15"/>
  <c r="J34" i="15"/>
  <c r="J52" i="15"/>
  <c r="G52" i="15"/>
  <c r="L52" i="15"/>
  <c r="H52" i="15"/>
  <c r="J31" i="15"/>
  <c r="G31" i="15"/>
  <c r="L3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 r="J127" i="15" l="1"/>
  <c r="G127" i="15"/>
  <c r="I119" i="15"/>
  <c r="G101" i="15"/>
  <c r="G87" i="15"/>
  <c r="I101" i="15"/>
  <c r="G80" i="15"/>
  <c r="F87" i="15"/>
  <c r="I87" i="15"/>
  <c r="H119" i="15"/>
  <c r="L80" i="15"/>
  <c r="F161" i="15"/>
  <c r="I161" i="15"/>
  <c r="H101" i="15"/>
  <c r="F101" i="15"/>
  <c r="L144" i="15"/>
  <c r="G144" i="15"/>
  <c r="L101" i="15"/>
  <c r="H132" i="15"/>
  <c r="L149" i="15"/>
  <c r="F120" i="15"/>
  <c r="I158" i="15"/>
  <c r="G76" i="15"/>
  <c r="F92" i="15"/>
  <c r="I112" i="15"/>
  <c r="I128" i="15"/>
  <c r="L121" i="15"/>
  <c r="I120" i="15"/>
  <c r="F61" i="15"/>
  <c r="G158" i="15"/>
  <c r="L132" i="15"/>
  <c r="L155" i="15"/>
  <c r="G132" i="15"/>
  <c r="F158" i="15"/>
  <c r="L140" i="15"/>
  <c r="H158" i="15"/>
  <c r="L120" i="15"/>
  <c r="L158" i="15"/>
  <c r="F67" i="15"/>
  <c r="I124" i="15"/>
  <c r="H141" i="15"/>
  <c r="L75" i="15"/>
  <c r="F76" i="15"/>
  <c r="G128" i="15"/>
  <c r="G56" i="15"/>
  <c r="J76" i="15"/>
  <c r="H128" i="15"/>
  <c r="I149" i="15"/>
  <c r="I122" i="15"/>
  <c r="J128" i="15"/>
  <c r="L116" i="15"/>
  <c r="L61" i="15"/>
  <c r="H149" i="15"/>
  <c r="G122" i="15"/>
  <c r="L56" i="15"/>
  <c r="G149" i="15"/>
  <c r="L42" i="15"/>
  <c r="I33" i="15"/>
  <c r="H116" i="15"/>
  <c r="I61" i="15"/>
  <c r="F149" i="15"/>
  <c r="I109" i="15"/>
  <c r="J33" i="15"/>
  <c r="H76" i="15"/>
  <c r="F128" i="15"/>
  <c r="G116" i="15"/>
  <c r="H61" i="15"/>
  <c r="I56" i="15"/>
  <c r="I42" i="15"/>
  <c r="H33" i="15"/>
  <c r="L76" i="15"/>
  <c r="G61" i="15"/>
  <c r="G71" i="15"/>
  <c r="I111" i="15"/>
  <c r="F154" i="15"/>
  <c r="F75" i="15"/>
  <c r="L71" i="15"/>
  <c r="F111" i="15"/>
  <c r="F124" i="15"/>
  <c r="G143" i="15"/>
  <c r="H106" i="15"/>
  <c r="I75" i="15"/>
  <c r="G46" i="15"/>
  <c r="L11" i="15"/>
  <c r="L93" i="15"/>
  <c r="G114" i="15"/>
  <c r="J46" i="15"/>
  <c r="H11" i="15"/>
  <c r="I81" i="15"/>
  <c r="F141" i="15"/>
  <c r="H111" i="15"/>
  <c r="G106" i="15"/>
  <c r="I114" i="15"/>
  <c r="I30" i="15"/>
  <c r="F98" i="15"/>
  <c r="H124" i="15"/>
  <c r="G75" i="15"/>
  <c r="I11" i="15"/>
  <c r="G111" i="15"/>
  <c r="G39" i="15"/>
  <c r="F106" i="15"/>
  <c r="H114" i="15"/>
  <c r="H30" i="15"/>
  <c r="G133" i="15"/>
  <c r="L51" i="15"/>
  <c r="G141" i="15"/>
  <c r="F147" i="15"/>
  <c r="G159" i="15"/>
  <c r="L146" i="15"/>
  <c r="G11" i="15"/>
  <c r="F114" i="15"/>
  <c r="H147" i="15"/>
  <c r="L141" i="15"/>
  <c r="H93" i="15"/>
  <c r="F11" i="15"/>
  <c r="L106" i="15"/>
  <c r="I93" i="15"/>
  <c r="L147" i="15"/>
  <c r="L124" i="15"/>
  <c r="L16" i="15"/>
  <c r="F93" i="15"/>
  <c r="H46" i="15"/>
  <c r="I147" i="15"/>
  <c r="L111" i="15"/>
  <c r="I141" i="15"/>
  <c r="H123" i="15"/>
  <c r="G93" i="15"/>
  <c r="H75" i="15"/>
  <c r="I106" i="15"/>
  <c r="G147" i="15"/>
  <c r="L114" i="15"/>
  <c r="G123" i="15"/>
  <c r="G124" i="15"/>
  <c r="F63" i="15"/>
  <c r="L142" i="15"/>
  <c r="L135" i="15"/>
  <c r="G63" i="15"/>
  <c r="F82" i="15"/>
  <c r="G104" i="15"/>
  <c r="H157" i="15"/>
  <c r="H82" i="15"/>
  <c r="I19" i="15"/>
  <c r="F150" i="15"/>
  <c r="I135" i="15"/>
  <c r="G79" i="15"/>
  <c r="G62" i="15"/>
  <c r="H19" i="15"/>
  <c r="H135" i="15"/>
  <c r="G129" i="15"/>
  <c r="F79" i="15"/>
  <c r="G47" i="15"/>
  <c r="H79" i="15"/>
  <c r="F19" i="15"/>
  <c r="G19" i="15"/>
  <c r="G135" i="15"/>
  <c r="F129" i="15"/>
  <c r="G82" i="15"/>
  <c r="G157" i="15"/>
  <c r="L19" i="15"/>
  <c r="I82" i="15"/>
  <c r="L115" i="15"/>
  <c r="I63" i="15"/>
  <c r="L157" i="15"/>
  <c r="H63" i="15"/>
  <c r="L150" i="15"/>
  <c r="F50" i="15"/>
  <c r="L136" i="15"/>
  <c r="L156" i="15"/>
  <c r="G50" i="15"/>
  <c r="L104" i="15"/>
  <c r="I150" i="15"/>
  <c r="F135" i="15"/>
  <c r="I100" i="15"/>
  <c r="L129" i="15"/>
  <c r="I115" i="15"/>
  <c r="L63" i="15"/>
  <c r="I136" i="15"/>
  <c r="H156" i="15"/>
  <c r="I142" i="15"/>
  <c r="H107" i="15"/>
  <c r="L143" i="15"/>
  <c r="H81" i="15"/>
  <c r="I53" i="15"/>
  <c r="H150" i="15"/>
  <c r="H100" i="15"/>
  <c r="G115" i="15"/>
  <c r="H136" i="15"/>
  <c r="G156" i="15"/>
  <c r="G142" i="15"/>
  <c r="G107" i="15"/>
  <c r="F104" i="15"/>
  <c r="G150" i="15"/>
  <c r="G136" i="15"/>
  <c r="F136" i="15"/>
  <c r="H133" i="15"/>
  <c r="H84" i="15"/>
  <c r="G69" i="15"/>
  <c r="L69" i="15"/>
  <c r="H22" i="15"/>
  <c r="L22" i="15"/>
  <c r="J14" i="15"/>
  <c r="H14" i="15"/>
  <c r="G14" i="15"/>
  <c r="I14" i="15"/>
  <c r="F14" i="15"/>
  <c r="L14" i="15"/>
  <c r="J66" i="15"/>
  <c r="G66" i="15"/>
  <c r="H66" i="15"/>
  <c r="I66" i="15"/>
  <c r="L66" i="15"/>
  <c r="F66" i="15"/>
  <c r="G28" i="15"/>
  <c r="L28" i="15"/>
  <c r="H28" i="15"/>
  <c r="I28" i="15"/>
  <c r="J28" i="15"/>
  <c r="F28" i="15"/>
  <c r="J145" i="15"/>
  <c r="F145" i="15"/>
  <c r="G145" i="15"/>
  <c r="H145" i="15"/>
  <c r="I145" i="15"/>
  <c r="I17" i="15"/>
  <c r="H17" i="15"/>
  <c r="L17" i="15"/>
  <c r="J17" i="15"/>
  <c r="F17" i="15"/>
  <c r="G17" i="15"/>
  <c r="L90" i="15"/>
  <c r="F159" i="15"/>
  <c r="L73" i="15"/>
  <c r="I117" i="15"/>
  <c r="H16" i="15"/>
  <c r="J47" i="15"/>
  <c r="H71" i="15"/>
  <c r="F160" i="15"/>
  <c r="F80" i="15"/>
  <c r="G90" i="15"/>
  <c r="J159" i="15"/>
  <c r="I146" i="15"/>
  <c r="I144" i="15"/>
  <c r="G100" i="15"/>
  <c r="H67" i="15"/>
  <c r="I71" i="15"/>
  <c r="G117" i="15"/>
  <c r="G140" i="15"/>
  <c r="I59" i="15"/>
  <c r="G16" i="15"/>
  <c r="H127" i="15"/>
  <c r="L82" i="15"/>
  <c r="H104" i="15"/>
  <c r="H161" i="15"/>
  <c r="I80" i="15"/>
  <c r="J90" i="15"/>
  <c r="G146" i="15"/>
  <c r="J144" i="15"/>
  <c r="L50" i="15"/>
  <c r="L39" i="15"/>
  <c r="H73" i="15"/>
  <c r="L139" i="15"/>
  <c r="I148" i="15"/>
  <c r="L154" i="15"/>
  <c r="L153" i="15"/>
  <c r="L134" i="15"/>
  <c r="H44" i="15"/>
  <c r="I47" i="15"/>
  <c r="F100" i="15"/>
  <c r="L125" i="15"/>
  <c r="J26" i="15"/>
  <c r="I140" i="15"/>
  <c r="I160" i="15"/>
  <c r="L24" i="15"/>
  <c r="H80" i="15"/>
  <c r="I159" i="15"/>
  <c r="F146" i="15"/>
  <c r="L105" i="15"/>
  <c r="I10" i="15"/>
  <c r="G73" i="15"/>
  <c r="L160" i="15"/>
  <c r="H148" i="15"/>
  <c r="I60" i="15"/>
  <c r="I73" i="15"/>
  <c r="H140" i="15"/>
  <c r="G161" i="15"/>
  <c r="G24" i="15"/>
  <c r="H159" i="15"/>
  <c r="G105" i="15"/>
  <c r="I50" i="15"/>
  <c r="I39" i="15"/>
  <c r="F73" i="15"/>
  <c r="G27" i="15"/>
  <c r="L100" i="15"/>
  <c r="H139" i="15"/>
  <c r="G148" i="15"/>
  <c r="I154" i="15"/>
  <c r="H153" i="15"/>
  <c r="I134" i="15"/>
  <c r="F90" i="15"/>
  <c r="F71" i="15"/>
  <c r="H160" i="15"/>
  <c r="L161" i="15"/>
  <c r="H50" i="15"/>
  <c r="H39" i="15"/>
  <c r="F27" i="15"/>
  <c r="G160" i="15"/>
  <c r="I84" i="15"/>
  <c r="I104" i="15"/>
  <c r="J97" i="15"/>
  <c r="G97" i="15"/>
  <c r="H97" i="15"/>
  <c r="I97" i="15"/>
  <c r="L97" i="15"/>
  <c r="F97" i="15"/>
  <c r="J110" i="15"/>
  <c r="F110" i="15"/>
  <c r="G110" i="15"/>
  <c r="H110" i="15"/>
  <c r="I110" i="15"/>
  <c r="L110" i="15"/>
  <c r="J64" i="15"/>
  <c r="G64" i="15"/>
  <c r="L64" i="15"/>
  <c r="F64" i="15"/>
  <c r="I64" i="15"/>
  <c r="F58" i="15"/>
  <c r="H58" i="15"/>
  <c r="I58" i="15"/>
  <c r="L58" i="15"/>
  <c r="J113" i="15"/>
  <c r="G113" i="15"/>
  <c r="H113" i="15"/>
  <c r="I113" i="15"/>
  <c r="L113" i="15"/>
  <c r="F113" i="15"/>
  <c r="J32" i="15"/>
  <c r="G32" i="15"/>
  <c r="H32" i="15"/>
  <c r="I32" i="15"/>
  <c r="L32" i="15"/>
  <c r="F32" i="15"/>
  <c r="J65" i="15"/>
  <c r="L65" i="15"/>
  <c r="F65" i="15"/>
  <c r="G65" i="15"/>
  <c r="H65" i="15"/>
  <c r="I65" i="15"/>
  <c r="F138" i="15"/>
  <c r="H138" i="15"/>
  <c r="I138" i="15"/>
  <c r="L138" i="15"/>
  <c r="G138" i="15"/>
  <c r="G131" i="15"/>
  <c r="L131" i="15"/>
  <c r="F131" i="15"/>
  <c r="H131" i="15"/>
  <c r="I131" i="15"/>
  <c r="L40" i="15"/>
  <c r="J40" i="15"/>
  <c r="F40" i="15"/>
  <c r="G40" i="15"/>
  <c r="H40" i="15"/>
  <c r="I40" i="15"/>
  <c r="H137" i="15"/>
  <c r="I137" i="15"/>
  <c r="L137" i="15"/>
  <c r="G137" i="15"/>
  <c r="J137" i="15"/>
  <c r="F137" i="15"/>
  <c r="I20" i="15"/>
  <c r="J20" i="15"/>
  <c r="F20" i="15"/>
  <c r="G20" i="15"/>
  <c r="L20" i="15"/>
  <c r="H20" i="15"/>
  <c r="F72" i="15"/>
  <c r="H72" i="15"/>
  <c r="L72" i="15"/>
  <c r="G72" i="15"/>
  <c r="I72" i="15"/>
  <c r="H95" i="15"/>
  <c r="G95" i="15"/>
  <c r="J95" i="15"/>
  <c r="L95" i="15"/>
  <c r="I95" i="15"/>
  <c r="F95" i="15"/>
  <c r="J48" i="15"/>
  <c r="L48" i="15"/>
  <c r="H48" i="15"/>
  <c r="G48" i="15"/>
  <c r="F48" i="15"/>
  <c r="I48" i="15"/>
  <c r="J85" i="15"/>
  <c r="H85" i="15"/>
  <c r="F85" i="15"/>
  <c r="G85" i="15"/>
  <c r="I85" i="15"/>
  <c r="L99" i="15"/>
  <c r="I99" i="15"/>
  <c r="J99" i="15"/>
  <c r="F99" i="15"/>
  <c r="G99" i="15"/>
  <c r="H99" i="15"/>
  <c r="J41" i="15"/>
  <c r="F41" i="15"/>
  <c r="L41" i="15"/>
  <c r="G41" i="15"/>
  <c r="H41" i="15"/>
  <c r="I41" i="15"/>
  <c r="J151" i="15"/>
  <c r="F151" i="15"/>
  <c r="G151" i="15"/>
  <c r="H151" i="15"/>
  <c r="I151" i="15"/>
  <c r="L151" i="15"/>
  <c r="G15" i="15"/>
  <c r="F15" i="15"/>
  <c r="L15" i="15"/>
  <c r="H15" i="15"/>
  <c r="J15" i="15"/>
  <c r="I15" i="15"/>
  <c r="J35" i="15"/>
  <c r="L35" i="15"/>
  <c r="F35" i="15"/>
  <c r="G35" i="15"/>
  <c r="H35" i="15"/>
  <c r="I35" i="15"/>
  <c r="J74" i="15"/>
  <c r="G74" i="15"/>
  <c r="H74" i="15"/>
  <c r="I74" i="15"/>
  <c r="L74" i="15"/>
  <c r="F74" i="15"/>
  <c r="L29" i="15"/>
  <c r="H29" i="15"/>
  <c r="I29" i="15"/>
  <c r="F29" i="15"/>
  <c r="J29" i="15"/>
  <c r="G29" i="15"/>
  <c r="J70" i="15"/>
  <c r="G70" i="15"/>
  <c r="H70" i="15"/>
  <c r="I70" i="15"/>
  <c r="L70" i="15"/>
  <c r="F70" i="15"/>
  <c r="J25" i="15"/>
  <c r="G25" i="15"/>
  <c r="F25" i="15"/>
  <c r="I25" i="15"/>
  <c r="L25" i="15"/>
  <c r="H25" i="15"/>
  <c r="L55" i="15"/>
  <c r="F55" i="15"/>
  <c r="J55" i="15"/>
  <c r="H55" i="15"/>
  <c r="G55" i="15"/>
  <c r="I55" i="15"/>
  <c r="L12" i="15"/>
  <c r="F12" i="15"/>
  <c r="I12" i="15"/>
  <c r="H12" i="15"/>
  <c r="J12" i="15"/>
  <c r="F89" i="15"/>
  <c r="H91" i="15"/>
  <c r="J36" i="15"/>
  <c r="H10" i="15"/>
  <c r="G91" i="15"/>
  <c r="F77" i="15"/>
  <c r="G22" i="15"/>
  <c r="G44" i="15"/>
  <c r="F22" i="15"/>
  <c r="G89" i="15"/>
  <c r="L10" i="15"/>
  <c r="F152" i="15"/>
  <c r="L130" i="15"/>
  <c r="L77" i="15"/>
  <c r="F44" i="15"/>
  <c r="I69" i="15"/>
  <c r="L18" i="15"/>
  <c r="I91" i="15"/>
  <c r="J22" i="15"/>
  <c r="L89" i="15"/>
  <c r="I89" i="15"/>
  <c r="I36" i="15"/>
  <c r="F69" i="15"/>
  <c r="I44" i="15"/>
  <c r="I127" i="15"/>
  <c r="H89" i="15"/>
  <c r="I77" i="15"/>
  <c r="H36" i="15"/>
  <c r="I18" i="15"/>
  <c r="J44" i="15"/>
  <c r="L36" i="15"/>
  <c r="F127" i="15"/>
  <c r="F91" i="15"/>
  <c r="F10" i="15"/>
  <c r="L91" i="15"/>
  <c r="H77" i="15"/>
  <c r="F36" i="15"/>
  <c r="H18" i="15"/>
  <c r="G10" i="15"/>
  <c r="L127" i="15"/>
  <c r="G77" i="15"/>
  <c r="J78" i="15"/>
  <c r="L78" i="15"/>
  <c r="G78" i="15"/>
  <c r="I78" i="15"/>
  <c r="H78" i="15"/>
  <c r="F78" i="15"/>
  <c r="J83" i="15"/>
  <c r="F83" i="15"/>
  <c r="G83" i="15"/>
  <c r="H83" i="15"/>
  <c r="L83" i="15"/>
  <c r="I83" i="15"/>
  <c r="J86" i="15"/>
  <c r="F86" i="15"/>
  <c r="H86" i="15"/>
  <c r="L86" i="15"/>
  <c r="I86" i="15"/>
  <c r="J49" i="15"/>
  <c r="F49" i="15"/>
  <c r="G49" i="15"/>
  <c r="H49" i="15"/>
  <c r="I49" i="15"/>
  <c r="L49" i="15"/>
  <c r="G86" i="15"/>
  <c r="J126" i="15"/>
  <c r="H126" i="15"/>
  <c r="F126" i="15"/>
  <c r="G126" i="15"/>
  <c r="I126" i="15"/>
  <c r="L126" i="15"/>
  <c r="I94" i="15"/>
  <c r="J94" i="15"/>
  <c r="F94" i="15"/>
  <c r="G94" i="15"/>
  <c r="H94" i="15"/>
  <c r="L94" i="15"/>
  <c r="J118" i="15"/>
  <c r="H118" i="15"/>
  <c r="I118" i="15"/>
  <c r="L118" i="15"/>
  <c r="G118" i="15"/>
  <c r="H13" i="15"/>
  <c r="G13" i="15"/>
  <c r="I13" i="15"/>
  <c r="F13" i="15"/>
  <c r="L13" i="15"/>
  <c r="J13" i="15"/>
  <c r="J108" i="15"/>
  <c r="F108" i="15"/>
  <c r="L108" i="15"/>
  <c r="I108" i="15"/>
  <c r="G108" i="15"/>
  <c r="J96" i="15"/>
  <c r="L96" i="15"/>
  <c r="G96" i="15"/>
  <c r="F96" i="15"/>
  <c r="I96" i="15"/>
  <c r="J102" i="15"/>
  <c r="H102" i="15"/>
  <c r="I102" i="15"/>
  <c r="L102" i="15"/>
  <c r="G102" i="15"/>
  <c r="J38" i="15"/>
  <c r="L38" i="15"/>
  <c r="F38" i="15"/>
  <c r="G38" i="15"/>
  <c r="I38" i="15"/>
  <c r="H21" i="15"/>
  <c r="I21" i="15"/>
  <c r="J21" i="15"/>
  <c r="L21" i="15"/>
  <c r="F21" i="15"/>
  <c r="G21" i="15"/>
  <c r="H96" i="15"/>
  <c r="H38" i="15"/>
  <c r="F118" i="15"/>
  <c r="F57" i="15"/>
  <c r="H57" i="15"/>
  <c r="H105" i="15"/>
  <c r="H27" i="15"/>
  <c r="L109" i="15"/>
  <c r="F112" i="15"/>
  <c r="J129" i="15"/>
  <c r="H129" i="15"/>
  <c r="J107" i="15"/>
  <c r="I107" i="15"/>
  <c r="F133" i="15"/>
  <c r="J133" i="15"/>
  <c r="L133" i="15"/>
  <c r="F62" i="15"/>
  <c r="H62" i="15"/>
  <c r="J62" i="15"/>
  <c r="L62" i="15"/>
  <c r="I31" i="15"/>
  <c r="F31" i="15"/>
  <c r="G152" i="15"/>
  <c r="J152" i="15"/>
  <c r="J60" i="15"/>
  <c r="G60" i="15"/>
  <c r="J43" i="15"/>
  <c r="G43" i="15"/>
  <c r="F103" i="15"/>
  <c r="J103" i="15"/>
  <c r="H103" i="15"/>
  <c r="I103" i="15"/>
  <c r="L103" i="15"/>
  <c r="F26" i="15"/>
  <c r="G26" i="15"/>
  <c r="H26" i="15"/>
  <c r="J92" i="15"/>
  <c r="H92" i="15"/>
  <c r="F157" i="15"/>
  <c r="J57" i="15"/>
  <c r="F105" i="15"/>
  <c r="I130" i="15"/>
  <c r="I157" i="15"/>
  <c r="H109" i="15"/>
  <c r="I88" i="15"/>
  <c r="F60" i="15"/>
  <c r="I43" i="15"/>
  <c r="J139" i="15"/>
  <c r="I139" i="15"/>
  <c r="J156" i="15"/>
  <c r="I156" i="15"/>
  <c r="G81" i="15"/>
  <c r="J81" i="15"/>
  <c r="J79" i="15"/>
  <c r="I79" i="15"/>
  <c r="F56" i="15"/>
  <c r="J56" i="15"/>
  <c r="F54" i="15"/>
  <c r="H54" i="15"/>
  <c r="I54" i="15"/>
  <c r="J54" i="15"/>
  <c r="L54" i="15"/>
  <c r="L68" i="15"/>
  <c r="F68" i="15"/>
  <c r="J68" i="15"/>
  <c r="H68" i="15"/>
  <c r="F45" i="15"/>
  <c r="G45" i="15"/>
  <c r="J45" i="15"/>
  <c r="I45" i="15"/>
  <c r="L45" i="15"/>
  <c r="F52" i="15"/>
  <c r="I52" i="15"/>
  <c r="F16" i="15"/>
  <c r="I16" i="15"/>
  <c r="I26" i="15"/>
  <c r="G88" i="15"/>
  <c r="J105" i="15"/>
  <c r="I121" i="15"/>
  <c r="H130" i="15"/>
  <c r="I132" i="15"/>
  <c r="G109" i="15"/>
  <c r="H43" i="15"/>
  <c r="I116" i="15"/>
  <c r="J116" i="15"/>
  <c r="L148" i="15"/>
  <c r="J148" i="15"/>
  <c r="H142" i="15"/>
  <c r="J142" i="15"/>
  <c r="H115" i="15"/>
  <c r="J115" i="15"/>
  <c r="J134" i="15"/>
  <c r="G134" i="15"/>
  <c r="F125" i="15"/>
  <c r="G125" i="15"/>
  <c r="J125" i="15"/>
  <c r="I125" i="15"/>
  <c r="F34" i="15"/>
  <c r="H34" i="15"/>
  <c r="I34" i="15"/>
  <c r="F24" i="15"/>
  <c r="H24" i="15"/>
  <c r="I24" i="15"/>
  <c r="L88" i="15"/>
  <c r="H88" i="15"/>
  <c r="H121" i="15"/>
  <c r="L27" i="15"/>
  <c r="L152" i="15"/>
  <c r="L92" i="15"/>
  <c r="G130" i="15"/>
  <c r="F109" i="15"/>
  <c r="F43" i="15"/>
  <c r="G154" i="15"/>
  <c r="J154" i="15"/>
  <c r="I153" i="15"/>
  <c r="J153" i="15"/>
  <c r="F153" i="15"/>
  <c r="H87" i="15"/>
  <c r="J87" i="15"/>
  <c r="G67" i="15"/>
  <c r="J67" i="15"/>
  <c r="G42" i="15"/>
  <c r="H42" i="15"/>
  <c r="J42" i="15"/>
  <c r="G33" i="15"/>
  <c r="L33" i="15"/>
  <c r="G53" i="15"/>
  <c r="H53" i="15"/>
  <c r="L53" i="15"/>
  <c r="H37" i="15"/>
  <c r="I37" i="15"/>
  <c r="L37" i="15"/>
  <c r="J37" i="15"/>
  <c r="F37" i="15"/>
  <c r="G121" i="15"/>
  <c r="F130" i="15"/>
  <c r="I155" i="15"/>
  <c r="J155" i="15"/>
  <c r="F123" i="15"/>
  <c r="L123" i="15"/>
  <c r="J123" i="15"/>
  <c r="L98" i="15"/>
  <c r="J98" i="15"/>
  <c r="H98" i="15"/>
  <c r="H112" i="15"/>
  <c r="J112" i="15"/>
  <c r="G119" i="15"/>
  <c r="J119" i="15"/>
  <c r="L119" i="15"/>
  <c r="J84" i="15"/>
  <c r="G84" i="15"/>
  <c r="F46" i="15"/>
  <c r="L46" i="15"/>
  <c r="H51" i="15"/>
  <c r="I51" i="15"/>
  <c r="G51" i="15"/>
  <c r="F51" i="15"/>
  <c r="F88" i="15"/>
  <c r="F121" i="15"/>
  <c r="I27" i="15"/>
  <c r="I152" i="15"/>
  <c r="I92" i="15"/>
  <c r="H155" i="15"/>
  <c r="F132" i="15"/>
  <c r="L60" i="15"/>
  <c r="G112" i="15"/>
  <c r="I98" i="15"/>
  <c r="G103" i="15"/>
  <c r="F84" i="15"/>
  <c r="I143" i="15"/>
  <c r="J143" i="15"/>
  <c r="F143" i="15"/>
  <c r="L117" i="15"/>
  <c r="H117" i="15"/>
  <c r="J117" i="15"/>
  <c r="L122" i="15"/>
  <c r="H122" i="15"/>
  <c r="J122" i="15"/>
  <c r="H59" i="15"/>
  <c r="L59" i="15"/>
  <c r="J59" i="15"/>
  <c r="H47" i="15"/>
  <c r="F47" i="15"/>
  <c r="F30" i="15"/>
  <c r="J30" i="15"/>
  <c r="G12" i="15"/>
  <c r="J58" i="15"/>
  <c r="J69" i="15"/>
  <c r="J138" i="15"/>
  <c r="J131" i="15"/>
  <c r="J72" i="15"/>
  <c r="L85" i="15"/>
  <c r="L145" i="15"/>
  <c r="H64" i="15"/>
  <c r="G58" i="15"/>
  <c r="H69" i="15"/>
  <c r="I22" i="15"/>
  <c r="G18" i="15"/>
  <c r="F18" i="15"/>
  <c r="A29" i="15" l="1"/>
  <c r="A72" i="15"/>
  <c r="A20" i="15"/>
  <c r="A126" i="15"/>
  <c r="A50" i="15"/>
  <c r="A71" i="15"/>
  <c r="A125" i="15"/>
  <c r="A139" i="15"/>
  <c r="A57" i="15"/>
  <c r="A152" i="15"/>
  <c r="A31" i="15"/>
  <c r="A65" i="15"/>
  <c r="A33" i="15"/>
  <c r="A52" i="15"/>
  <c r="A17" i="15"/>
  <c r="A100" i="15"/>
  <c r="A97" i="15"/>
  <c r="A64" i="15"/>
  <c r="A114" i="15"/>
  <c r="A146" i="15"/>
  <c r="A66" i="15"/>
  <c r="A106" i="15"/>
  <c r="A86" i="15"/>
  <c r="A117" i="15"/>
  <c r="A75" i="15"/>
  <c r="A24" i="15"/>
  <c r="A79" i="15"/>
  <c r="A44" i="15"/>
  <c r="A27" i="15"/>
  <c r="A135" i="15"/>
  <c r="A74" i="15"/>
  <c r="A61" i="15"/>
  <c r="A51" i="15"/>
  <c r="A73" i="15"/>
  <c r="A87" i="15"/>
  <c r="A131" i="15"/>
  <c r="A84" i="15"/>
  <c r="A103" i="15"/>
  <c r="A138" i="15"/>
  <c r="A59" i="15"/>
  <c r="A123" i="15"/>
  <c r="A37" i="15"/>
  <c r="A116" i="15"/>
  <c r="A45" i="15"/>
  <c r="A54" i="15"/>
  <c r="A81" i="15"/>
  <c r="A92" i="15"/>
  <c r="A39" i="15"/>
  <c r="A10" i="15"/>
  <c r="A145" i="15"/>
  <c r="A40" i="15"/>
  <c r="A141" i="15"/>
  <c r="A41" i="15"/>
  <c r="A150" i="15"/>
  <c r="A113" i="15"/>
  <c r="A151" i="15"/>
  <c r="A15" i="15"/>
  <c r="A26" i="15"/>
  <c r="A49" i="15"/>
  <c r="A118" i="15"/>
  <c r="A47" i="15"/>
  <c r="A19" i="15"/>
  <c r="A55" i="15"/>
  <c r="A93" i="15"/>
  <c r="A22" i="15"/>
  <c r="A119" i="15"/>
  <c r="A42" i="15"/>
  <c r="A153" i="15"/>
  <c r="A134" i="15"/>
  <c r="A107" i="15"/>
  <c r="A91" i="15"/>
  <c r="A38" i="15"/>
  <c r="A157" i="15"/>
  <c r="A147" i="15"/>
  <c r="A32" i="15"/>
  <c r="A136" i="15"/>
  <c r="A149" i="15"/>
  <c r="A120" i="15"/>
  <c r="A140" i="15"/>
  <c r="A101" i="15"/>
  <c r="A53" i="15"/>
  <c r="A78" i="15"/>
  <c r="A133" i="15"/>
  <c r="A58" i="15"/>
  <c r="A143" i="15"/>
  <c r="A115" i="15"/>
  <c r="A43" i="15"/>
  <c r="A62" i="15"/>
  <c r="A21" i="15"/>
  <c r="A77" i="15"/>
  <c r="A121" i="15"/>
  <c r="A11" i="15"/>
  <c r="A82" i="15"/>
  <c r="A109" i="15"/>
  <c r="A63" i="15"/>
  <c r="A46" i="15"/>
  <c r="A85" i="15"/>
  <c r="A111" i="15"/>
  <c r="A36" i="15"/>
  <c r="A89" i="15"/>
  <c r="A98" i="15"/>
  <c r="A102" i="15"/>
  <c r="A122" i="15"/>
  <c r="A112" i="15"/>
  <c r="A155" i="15"/>
  <c r="A154" i="15"/>
  <c r="A156" i="15"/>
  <c r="A129" i="15"/>
  <c r="A108" i="15"/>
  <c r="A94" i="15"/>
  <c r="A80" i="15"/>
  <c r="A28" i="15"/>
  <c r="A16" i="15"/>
  <c r="A88" i="15"/>
  <c r="A90" i="15"/>
  <c r="A158" i="15"/>
  <c r="A144" i="15"/>
  <c r="A14" i="15"/>
  <c r="A83" i="15"/>
  <c r="A148" i="15"/>
  <c r="A18" i="15"/>
  <c r="A12" i="15"/>
  <c r="A25" i="15"/>
  <c r="A105" i="15"/>
  <c r="A48" i="15"/>
  <c r="A124" i="15"/>
  <c r="A161" i="15"/>
  <c r="A69" i="15"/>
  <c r="A30" i="15"/>
  <c r="A67" i="15"/>
  <c r="A142" i="15"/>
  <c r="A68" i="15"/>
  <c r="A56" i="15"/>
  <c r="A60" i="15"/>
  <c r="A137" i="15"/>
  <c r="A128" i="15"/>
  <c r="A96" i="15"/>
  <c r="A13" i="15"/>
  <c r="A70" i="15"/>
  <c r="A99" i="15"/>
  <c r="A160" i="15"/>
  <c r="A34" i="15"/>
  <c r="A23" i="15"/>
  <c r="A76" i="15"/>
  <c r="A130" i="15"/>
  <c r="A95" i="15"/>
  <c r="A104" i="15"/>
  <c r="A35" i="15"/>
  <c r="A110" i="15"/>
  <c r="A132" i="15"/>
  <c r="A159" i="15"/>
  <c r="A12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<sst xmlns="http://schemas.openxmlformats.org/spreadsheetml/2006/main" count="4506" uniqueCount="467">
  <si>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</si>
  <si>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</si>
  <si>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</si>
  <si>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</si>
  <si>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</si>
  <si>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</si>
  <si>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</si>
  <si>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</si>
  <si>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</si>
  <si>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</si>
  <si>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</si>
  <si>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</si>
  <si>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</si>
  <si>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</si>
  <si>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</si>
  <si>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</si>
  <si>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</si>
  <si>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</si>
  <si>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</si>
  <si>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</si>
  <si>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</si>
  <si>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</si>
  <si>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</si>
  <si>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</si>
  <si>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</si>
  <si>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</si>
  <si>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</si>
  <si>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</si>
  <si>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</si>
  <si>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</si>
  <si>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</si>
  <si>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</si>
  <si>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</si>
  <si>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</si>
  <si>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</si>
  <si>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</si>
  <si>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</si>
  <si>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</si>
  <si>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</si>
  <si>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</si>
  <si>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</si>
  <si>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</si>
  <si>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</si>
  <si>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</si>
  <si>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</si>
  <si>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</si>
  <si>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</si>
  <si>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</si>
  <si>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</si>
  <si>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</si>
  <si>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</si>
  <si>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</si>
  <si>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</si>
  <si>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</si>
  <si>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</si>
  <si>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</si>
  <si>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</si>
  <si>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</si>
  <si>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</si>
  <si>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</si>
  <si>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</si>
  <si>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</si>
  <si>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</si>
  <si>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</si>
  <si>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</si>
  <si>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</si>
  <si>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</si>
  <si>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</si>
  <si>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</si>
  <si>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</si>
  <si>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</si>
  <si>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</si>
  <si>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</si>
  <si>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</si>
  <si>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</si>
  <si>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</si>
  <si>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</si>
  <si>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</si>
  <si>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</si>
  <si>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</si>
  <si>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</si>
  <si>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</si>
  <si>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</si>
  <si>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</si>
  <si>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</si>
  <si>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</si>
  <si>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</si>
  <si>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</si>
  <si>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</si>
  <si>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</si>
  <si>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</si>
  <si>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</si>
  <si>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</si>
  <si>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</si>
  <si>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</si>
  <si>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</si>
  <si>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</si>
  <si>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</si>
  <si>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</si>
  <si>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</si>
  <si>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</si>
  <si>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</si>
  <si>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</si>
  <si>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</si>
  <si>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</si>
  <si>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</si>
  <si>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</si>
  <si>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</si>
  <si>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</si>
  <si>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</si>
  <si>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</si>
  <si>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</si>
  <si>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</si>
  <si>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</si>
  <si>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</si>
  <si>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</si>
  <si>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</si>
  <si>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</si>
  <si>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</si>
  <si>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</si>
  <si>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</si>
  <si>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</si>
  <si>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</si>
  <si>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</si>
  <si>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</si>
  <si>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</si>
  <si>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</si>
  <si>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</si>
  <si>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</si>
  <si>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</si>
  <si>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</si>
  <si>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</si>
  <si>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</si>
  <si>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</si>
  <si>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</si>
  <si>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</si>
  <si>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</si>
  <si>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</si>
  <si>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</si>
  <si>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</si>
  <si>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</si>
  <si>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</si>
  <si>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</si>
  <si>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</si>
  <si>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</si>
  <si>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</si>
  <si>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</si>
  <si>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</si>
  <si>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</si>
  <si>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</si>
  <si>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</si>
  <si>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</si>
  <si>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</si>
  <si>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</si>
  <si>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</si>
  <si>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</si>
  <si>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</si>
  <si>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</si>
  <si>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</si>
  <si>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</si>
  <si>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</si>
  <si>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</si>
  <si>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</si>
  <si>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</si>
  <si>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</si>
  <si>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</si>
  <si>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</si>
  <si>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</si>
  <si>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</si>
  <si>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</si>
  <si>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</si>
  <si>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</si>
  <si>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</si>
  <si>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</si>
  <si>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</si>
  <si>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</si>
  <si>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</si>
  <si>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</si>
  <si>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</si>
  <si>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</si>
  <si>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</si>
  <si>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</si>
  <si>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</si>
  <si>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</si>
  <si>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</si>
  <si>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</si>
  <si>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</si>
  <si>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</si>
  <si>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</si>
  <si>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</si>
  <si>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</si>
  <si>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</si>
  <si>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</si>
  <si>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</si>
  <si>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</si>
  <si>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</si>
  <si>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</si>
  <si>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</si>
  <si>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</si>
  <si>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</si>
  <si>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</si>
  <si>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</si>
  <si>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</si>
  <si>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</si>
  <si>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</si>
  <si>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</si>
  <si>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</si>
  <si>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</si>
  <si>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</si>
  <si>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</si>
  <si>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</si>
  <si>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</si>
  <si>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</si>
  <si>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</si>
  <si>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</si>
  <si>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</si>
  <si>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</si>
  <si>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</si>
  <si>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</si>
  <si>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</si>
  <si>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</si>
  <si>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</si>
  <si>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</si>
  <si>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</si>
  <si>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</si>
  <si>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</si>
  <si>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</si>
  <si>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</si>
  <si>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</si>
  <si>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</si>
  <si>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</si>
  <si>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</si>
  <si>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</si>
  <si>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</si>
  <si>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</si>
  <si>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</si>
  <si>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</si>
  <si>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</si>
  <si>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</si>
  <si>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</si>
  <si>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</si>
  <si>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</si>
  <si>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</si>
  <si>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</si>
  <si>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</si>
  <si>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</si>
  <si>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</si>
  <si>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</si>
  <si>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</si>
  <si>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</si>
  <si>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</si>
  <si>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</si>
  <si>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</si>
  <si>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</si>
  <si>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</si>
  <si>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</si>
  <si>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</si>
  <si>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</si>
  <si>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</si>
  <si>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</si>
  <si>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</si>
  <si>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</si>
  <si>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</si>
  <si>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</si>
  <si>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</si>
  <si>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</si>
  <si>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</si>
  <si>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</si>
  <si>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</si>
  <si>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</si>
  <si>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</si>
  <si>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</si>
  <si>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</si>
  <si>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</si>
  <si>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</si>
  <si>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</si>
  <si>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</si>
  <si>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</si>
  <si>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</si>
  <si>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</si>
  <si>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</si>
  <si>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</si>
  <si>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</si>
  <si>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</si>
  <si>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</si>
  <si>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</si>
  <si>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</si>
  <si>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</si>
  <si>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</si>
  <si>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</si>
  <si>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</si>
  <si>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</si>
  <si>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</si>
  <si>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</si>
  <si>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</si>
  <si>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</si>
  <si>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</si>
  <si>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</si>
  <si>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</si>
  <si>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</si>
  <si>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</si>
  <si>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</si>
  <si>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</si>
  <si>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</si>
  <si>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</si>
  <si>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</si>
  <si>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</si>
  <si>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</si>
  <si>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</si>
  <si>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</si>
  <si>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</si>
  <si>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</si>
  <si>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</si>
  <si>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</si>
  <si>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</si>
  <si>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</si>
  <si>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</si>
  <si>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</si>
  <si>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</si>
  <si>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</si>
  <si>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</si>
  <si>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</si>
  <si>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</si>
  <si>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</si>
  <si>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</si>
  <si>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</si>
  <si>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</si>
  <si>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</si>
  <si>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</si>
  <si>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</si>
  <si>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</si>
  <si>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</si>
  <si>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</si>
  <si>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</si>
  <si>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</si>
  <si>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</si>
  <si>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맑은 고딕"/>
        <family val="2"/>
        <scheme val="minor"/>
      </rPr>
      <t>(thousands)</t>
    </r>
  </si>
  <si>
    <r>
      <t xml:space="preserve">LifeExp </t>
    </r>
    <r>
      <rPr>
        <sz val="11"/>
        <color theme="1"/>
        <rFont val="맑은 고딕"/>
        <family val="2"/>
        <scheme val="minor"/>
      </rPr>
      <t>(years)</t>
    </r>
  </si>
  <si>
    <r>
      <t xml:space="preserve">Ladder of life </t>
    </r>
    <r>
      <rPr>
        <sz val="11"/>
        <color theme="1"/>
        <rFont val="맑은 고딕"/>
        <family val="2"/>
        <scheme val="minor"/>
      </rPr>
      <t>(0-10)</t>
    </r>
  </si>
  <si>
    <r>
      <t xml:space="preserve">Footprint </t>
    </r>
    <r>
      <rPr>
        <sz val="11"/>
        <color theme="1"/>
        <rFont val="맑은 고딕"/>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</si>
  <si>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</si>
  <si>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</si>
  <si>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</si>
  <si>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</si>
  <si>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</si>
  <si>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</si>
  <si>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</si>
  <si>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</si>
  <si>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</si>
  <si>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</si>
  <si>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</si>
  <si>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</si>
  <si>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</si>
  <si>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</si>
  <si>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</si>
  <si>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</si>
  <si>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</si>
  <si>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</si>
  <si>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</si>
  <si>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</si>
  <si>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</si>
  <si>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</si>
  <si>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</si>
  <si>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</si>
  <si>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</si>
  <si>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</si>
  <si>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</si>
  <si>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</si>
  <si>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</si>
  <si>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</si>
  <si>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</si>
  <si>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</si>
  <si>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</si>
  <si>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</si>
  <si>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</si>
  <si>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</si>
  <si>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</si>
  <si>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</si>
  <si>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</si>
  <si>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</si>
  <si>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</si>
  <si>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</si>
  <si>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</si>
  <si>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</si>
  <si>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</si>
  <si>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</si>
  <si>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</si>
  <si>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</si>
  <si>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</si>
  <si>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</si>
  <si>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</si>
  <si>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</si>
  <si>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</si>
  <si>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</si>
  <si>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</si>
  <si>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</si>
  <si>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</si>
  <si>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</si>
  <si>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</si>
  <si>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</si>
  <si>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</si>
  <si>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</si>
  <si>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</si>
  <si>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</si>
  <si>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</si>
  <si>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</si>
  <si>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</si>
  <si>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</si>
  <si>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</si>
  <si>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</si>
  <si>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</si>
  <si>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</si>
  <si>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</si>
  <si>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</si>
  <si>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</si>
  <si>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</si>
  <si>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</si>
  <si>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</si>
  <si>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</si>
  <si>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</si>
  <si>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</si>
  <si>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</si>
  <si>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</si>
  <si>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</si>
  <si>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</si>
  <si>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</si>
  <si>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</si>
  <si>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</si>
  <si>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</si>
  <si>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</si>
  <si>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</si>
  <si>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</si>
  <si>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</si>
  <si>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</si>
  <si>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</si>
  <si>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</si>
  <si>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</si>
  <si>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</si>
  <si>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</si>
  <si>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</si>
  <si>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</si>
  <si>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</si>
  <si>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</si>
  <si>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</si>
  <si>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</si>
  <si>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</si>
  <si>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</si>
  <si>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</si>
  <si>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</si>
  <si>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</si>
  <si>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</si>
  <si>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</si>
  <si>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</si>
  <si>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</si>
  <si>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</si>
  <si>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</si>
  <si>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</si>
  <si>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</si>
  <si>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</si>
  <si>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</si>
  <si>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</si>
  <si>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</si>
  <si>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</si>
  <si>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</si>
  <si>
    <r>
      <t xml:space="preserve">Biocapacity for year 
</t>
    </r>
    <r>
      <rPr>
        <sz val="10"/>
        <color theme="0"/>
        <rFont val="Azeret Mono"/>
      </rPr>
      <t>(g ha)</t>
    </r>
    <phoneticPr fontId="47" type="noConversion"/>
  </si>
  <si>
    <r>
      <t xml:space="preserve">Ladder of life (Wellbeing) </t>
    </r>
    <r>
      <rPr>
        <sz val="11"/>
        <color theme="0"/>
        <rFont val="Azeret Mono"/>
      </rPr>
      <t>(0-10)</t>
    </r>
    <phoneticPr fontId="47" type="noConversion"/>
  </si>
  <si>
    <r>
      <t xml:space="preserve">Ecological Footprint </t>
    </r>
    <r>
      <rPr>
        <sz val="11"/>
        <color theme="0"/>
        <rFont val="Azeret Mono"/>
      </rPr>
      <t>(g ha)</t>
    </r>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</si>
</sst>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
    <numFmt numFmtId="177" formatCode="0.000"/>
    <numFmt numFmtId="178" formatCode="#,###,##0.00"/>
    <numFmt numFmtId="179" formatCode="\+0.00;\-0.00;0.00"/>
    <numFmt numFmtId="180" formatCode="_(* #,##0_);_(* \(#,##0\);_(* &quot;-&quot;??_);_(@_)"/>
    <numFmt numFmtId="181" formatCode="0.0%"/>
  </numFmts>
  <fonts count="48">
    <font>
      <sz val="11"/>
      <color theme="1"/>
      <name val="맑은 고딕"/>
      <family val="2"/>
      <scheme val="minor"/>
    </font>
    <font>
      <sz val="12"/>
      <color theme="1"/>
      <name val="맑은 고딕"/>
      <family val="2"/>
      <scheme val="minor"/>
    </font>
    <font>
      <b/>
      <sz val="11"/>
      <color theme="1"/>
      <name val="맑은 고딕"/>
      <family val="2"/>
      <scheme val="minor"/>
    </font>
    <font>
      <sz val="10"/>
      <name val="Arial"/>
      <family val="2"/>
    </font>
    <font>
      <b/>
      <sz val="10"/>
      <name val="Arial"/>
      <family val="2"/>
    </font>
    <font>
      <b/>
      <sz val="11"/>
      <name val="맑은 고딕"/>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맑은 고딕"/>
      <family val="2"/>
      <scheme val="minor"/>
    </font>
    <font>
      <u/>
      <sz val="14"/>
      <color theme="10"/>
      <name val="Azeret Mono"/>
    </font>
    <font>
      <b/>
      <sz val="20"/>
      <color rgb="FF0070C0"/>
      <name val="Azeret Mono"/>
    </font>
    <font>
      <i/>
      <sz val="14"/>
      <color theme="1"/>
      <name val="Azeret Mono"/>
    </font>
    <font>
      <sz val="11"/>
      <color theme="1"/>
      <name val="맑은 고딕"/>
      <family val="2"/>
      <scheme val="minor"/>
    </font>
    <font>
      <i/>
      <sz val="11"/>
      <color theme="1"/>
      <name val="맑은 고딕"/>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
      <sz val="8"/>
      <name val="맑은 고딕"/>
      <family val="3"/>
      <charset val="129"/>
      <scheme val="minor"/>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1">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76" fontId="0" fillId="0" borderId="0" xfId="0" applyNumberFormat="1"/>
    <xf numFmtId="2" fontId="0" fillId="0" borderId="0" xfId="0" applyNumberFormat="1"/>
    <xf numFmtId="177" fontId="3" fillId="0" borderId="0" xfId="1" applyNumberFormat="1"/>
    <xf numFmtId="2" fontId="0" fillId="2" borderId="0" xfId="0" applyNumberFormat="1" applyFill="1"/>
    <xf numFmtId="0" fontId="3" fillId="0" borderId="0" xfId="0" applyFont="1"/>
    <xf numFmtId="178" fontId="0" fillId="0" borderId="0" xfId="0" applyNumberFormat="1"/>
    <xf numFmtId="176" fontId="0" fillId="2" borderId="0" xfId="0" applyNumberFormat="1" applyFill="1"/>
    <xf numFmtId="176"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76" fontId="0" fillId="0" borderId="1" xfId="0" applyNumberFormat="1" applyBorder="1"/>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xf numFmtId="0" fontId="17" fillId="9" borderId="0" xfId="0" applyFont="1" applyFill="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Border="1" applyAlignment="1">
      <alignment wrapText="1"/>
    </xf>
    <xf numFmtId="0" fontId="19" fillId="0" borderId="0" xfId="0" applyFont="1" applyAlignment="1">
      <alignment wrapText="1"/>
    </xf>
    <xf numFmtId="0" fontId="14" fillId="0" borderId="14" xfId="0" applyFont="1" applyBorder="1" applyAlignment="1">
      <alignment horizontal="left" vertical="top"/>
    </xf>
    <xf numFmtId="176" fontId="15" fillId="0" borderId="0" xfId="0" applyNumberFormat="1" applyFont="1"/>
    <xf numFmtId="2" fontId="15" fillId="0" borderId="0" xfId="0" applyNumberFormat="1" applyFont="1"/>
    <xf numFmtId="176"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76" fontId="15" fillId="0" borderId="17" xfId="0" applyNumberFormat="1" applyFont="1" applyBorder="1"/>
    <xf numFmtId="2" fontId="15" fillId="0" borderId="10" xfId="0" applyNumberFormat="1" applyFont="1" applyBorder="1"/>
    <xf numFmtId="176"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79" fontId="15" fillId="0" borderId="12" xfId="0" applyNumberFormat="1" applyFont="1" applyBorder="1" applyAlignment="1">
      <alignment vertical="top"/>
    </xf>
    <xf numFmtId="179"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top"/>
    </xf>
    <xf numFmtId="176" fontId="15" fillId="0" borderId="0" xfId="0" applyNumberFormat="1" applyFont="1" applyAlignment="1">
      <alignment horizontal="right"/>
    </xf>
    <xf numFmtId="0" fontId="18" fillId="0" borderId="0" xfId="0" applyFont="1" applyAlignment="1">
      <alignment horizontal="left" vertical="top"/>
    </xf>
    <xf numFmtId="176"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78" fontId="28" fillId="0" borderId="0" xfId="0" applyNumberFormat="1" applyFont="1"/>
    <xf numFmtId="0" fontId="15" fillId="0" borderId="1" xfId="0" applyFont="1" applyBorder="1"/>
    <xf numFmtId="177" fontId="30" fillId="0" borderId="0" xfId="1" applyNumberFormat="1" applyFont="1"/>
    <xf numFmtId="176" fontId="29" fillId="0" borderId="0" xfId="1" applyNumberFormat="1" applyFont="1"/>
    <xf numFmtId="1" fontId="15" fillId="0" borderId="3" xfId="0" applyNumberFormat="1" applyFont="1" applyBorder="1"/>
    <xf numFmtId="0" fontId="30" fillId="0" borderId="0" xfId="0" applyFont="1"/>
    <xf numFmtId="0" fontId="15" fillId="0" borderId="17" xfId="0" applyFont="1" applyBorder="1"/>
    <xf numFmtId="0" fontId="15" fillId="0" borderId="10" xfId="0" applyFont="1" applyBorder="1"/>
    <xf numFmtId="177" fontId="30" fillId="0" borderId="10" xfId="1" applyNumberFormat="1" applyFont="1" applyBorder="1"/>
    <xf numFmtId="176" fontId="15" fillId="0" borderId="10" xfId="0" applyNumberFormat="1" applyFont="1" applyBorder="1"/>
    <xf numFmtId="176" fontId="29" fillId="0" borderId="10" xfId="1" applyNumberFormat="1" applyFont="1" applyBorder="1"/>
    <xf numFmtId="1" fontId="15" fillId="0" borderId="11" xfId="0" applyNumberFormat="1" applyFont="1" applyBorder="1"/>
    <xf numFmtId="178"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76"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80"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80"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80"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80"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80"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81" fontId="41" fillId="5" borderId="41" xfId="6" applyNumberFormat="1" applyFont="1" applyFill="1" applyBorder="1" applyAlignment="1">
      <alignment horizontal="right" vertical="center"/>
    </xf>
    <xf numFmtId="180"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80" fontId="25" fillId="9" borderId="46" xfId="5" applyNumberFormat="1" applyFont="1" applyFill="1" applyBorder="1" applyAlignment="1">
      <alignment horizontal="right" vertical="center"/>
    </xf>
    <xf numFmtId="180"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80" fontId="25" fillId="9" borderId="31" xfId="5" applyNumberFormat="1" applyFont="1" applyFill="1" applyBorder="1" applyAlignment="1">
      <alignment horizontal="right" vertical="center"/>
    </xf>
    <xf numFmtId="180"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81" fontId="25" fillId="9" borderId="31" xfId="6" applyNumberFormat="1" applyFont="1" applyFill="1" applyBorder="1" applyAlignment="1">
      <alignment horizontal="right" vertical="center"/>
    </xf>
    <xf numFmtId="181" fontId="25" fillId="9" borderId="28" xfId="6" applyNumberFormat="1" applyFont="1" applyFill="1" applyBorder="1" applyAlignment="1">
      <alignment horizontal="right" vertical="center"/>
    </xf>
    <xf numFmtId="181"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ko-KR"/>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-1.5153704382664706</c:v>
                </c:pt>
                <c:pt idx="1">
                  <c:v>-1.4468604279926285</c:v>
                </c:pt>
                <c:pt idx="2">
                  <c:v>-1.3897687527644269</c:v>
                </c:pt>
                <c:pt idx="3">
                  <c:v>-1.3212587424905851</c:v>
                </c:pt>
                <c:pt idx="4">
                  <c:v>-1.2641670672623835</c:v>
                </c:pt>
                <c:pt idx="5">
                  <c:v>-1.1956570569885414</c:v>
                </c:pt>
                <c:pt idx="6">
                  <c:v>-1.1385653817603398</c:v>
                </c:pt>
                <c:pt idx="7">
                  <c:v>-1.0928920415777788</c:v>
                </c:pt>
                <c:pt idx="8">
                  <c:v>-1.0358003663495772</c:v>
                </c:pt>
                <c:pt idx="9">
                  <c:v>-0.99012702616701609</c:v>
                </c:pt>
                <c:pt idx="10">
                  <c:v>-0.944453685984455</c:v>
                </c:pt>
                <c:pt idx="11">
                  <c:v>-0.91019868084753441</c:v>
                </c:pt>
                <c:pt idx="12">
                  <c:v>-0.86452534066497255</c:v>
                </c:pt>
                <c:pt idx="13">
                  <c:v>-0.83027033552805185</c:v>
                </c:pt>
                <c:pt idx="14">
                  <c:v>-0.8195073500608111</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#N/A</c:v>
                </c:pt>
                <c:pt idx="1">
                  <c:v>#N/A</c:v>
                </c:pt>
                <c:pt idx="2">
                  <c:v>-1.5068065339640857</c:v>
                </c:pt>
                <c:pt idx="3">
                  <c:v>-0.90396023931927971</c:v>
                </c:pt>
                <c:pt idx="4">
                  <c:v>-0.58697365915545774</c:v>
                </c:pt>
                <c:pt idx="5">
                  <c:v>-1.410689683832403</c:v>
                </c:pt>
                <c:pt idx="6">
                  <c:v>-1.4540520153390013</c:v>
                </c:pt>
                <c:pt idx="7">
                  <c:v>-1.6414665955606835</c:v>
                </c:pt>
                <c:pt idx="8">
                  <c:v>-2.0336565835010596</c:v>
                </c:pt>
                <c:pt idx="9">
                  <c:v>-1.276344341144372</c:v>
                </c:pt>
                <c:pt idx="10">
                  <c:v>-1.0653942967919463</c:v>
                </c:pt>
                <c:pt idx="11">
                  <c:v>-2.4507116964693827</c:v>
                </c:pt>
                <c:pt idx="12">
                  <c:v>-2.4217465364211446</c:v>
                </c:pt>
                <c:pt idx="13">
                  <c:v>-2.7054958327933689</c:v>
                </c:pt>
                <c:pt idx="14">
                  <c:v>#N/A</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-1.0128411553513739</c:v>
                </c:pt>
                <c:pt idx="1">
                  <c:v>-0.99692053787408264</c:v>
                </c:pt>
                <c:pt idx="2">
                  <c:v>-1.0034954156574254</c:v>
                </c:pt>
                <c:pt idx="3">
                  <c:v>-0.96151574170430476</c:v>
                </c:pt>
                <c:pt idx="4">
                  <c:v>-0.95174252312817476</c:v>
                </c:pt>
                <c:pt idx="5">
                  <c:v>-0.95924160985139728</c:v>
                </c:pt>
                <c:pt idx="6">
                  <c:v>-0.95701370752379877</c:v>
                </c:pt>
                <c:pt idx="7">
                  <c:v>-0.96628905246050145</c:v>
                </c:pt>
                <c:pt idx="8">
                  <c:v>-0.96784653696194511</c:v>
                </c:pt>
                <c:pt idx="9">
                  <c:v>-0.9798491114600032</c:v>
                </c:pt>
                <c:pt idx="10">
                  <c:v>-0.98155462911251512</c:v>
                </c:pt>
                <c:pt idx="11">
                  <c:v>-0.99627638194016555</c:v>
                </c:pt>
                <c:pt idx="12">
                  <c:v>-0.97143105885219339</c:v>
                </c:pt>
                <c:pt idx="13">
                  <c:v>-0.96941668107431012</c:v>
                </c:pt>
                <c:pt idx="14">
                  <c:v>#N/A</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#N/A</c:v>
                </c:pt>
                <c:pt idx="1">
                  <c:v>#N/A</c:v>
                </c:pt>
                <c:pt idx="2">
                  <c:v>-0.71232941443390496</c:v>
                </c:pt>
                <c:pt idx="3">
                  <c:v>-0.21902445266843071</c:v>
                </c:pt>
                <c:pt idx="4">
                  <c:v>7.9910046872557747E-2</c:v>
                </c:pt>
                <c:pt idx="5">
                  <c:v>-0.58208259832887965</c:v>
                </c:pt>
                <c:pt idx="6">
                  <c:v>-0.59728722957036773</c:v>
                </c:pt>
                <c:pt idx="7">
                  <c:v>-0.71024726659765292</c:v>
                </c:pt>
                <c:pt idx="8">
                  <c:v>-1.023059727782039</c:v>
                </c:pt>
                <c:pt idx="9">
                  <c:v>-0.30249175487778357</c:v>
                </c:pt>
                <c:pt idx="10">
                  <c:v>-7.9225599444692929E-2</c:v>
                </c:pt>
                <c:pt idx="11">
                  <c:v>-1.2955591190542399</c:v>
                </c:pt>
                <c:pt idx="12">
                  <c:v>-1.2866694517294326</c:v>
                </c:pt>
                <c:pt idx="13">
                  <c:v>-1.5317121002286063</c:v>
                </c:pt>
                <c:pt idx="14">
                  <c:v>#N/A</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ko-KR"/>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ko-KR"/>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ko-KR"/>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ko-KR"/>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ko-KR"/>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ko-KR"/>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ko-KR"/>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ko-KR"/>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ko-KR"/>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ko-KR"/>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ko-K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98983" cy="6078242"/>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98983" cy="6078242"/>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mah/Documents/Work/NEF/HPI/HPI%202021/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aamah/Documents/Work/NEF/HPI/HPI%202021/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zoomScale="85" zoomScaleNormal="85" workbookViewId="0"/>
  </sheetViews>
  <sheetFormatPr defaultColWidth="8.875" defaultRowHeight="18"/>
  <cols>
    <col min="1" max="1" width="3.75" style="113" customWidth="1"/>
    <col min="2" max="2" width="9.75" style="113" customWidth="1"/>
    <col min="3" max="4" width="8.875" style="113"/>
    <col min="5" max="5" width="15.125" style="113" customWidth="1"/>
    <col min="6" max="6" width="9.125" style="113" customWidth="1"/>
    <col min="7" max="7" width="3.875" style="113" customWidth="1"/>
    <col min="8" max="8" width="8.875" style="113" customWidth="1"/>
    <col min="9" max="20" width="8.875" style="113"/>
    <col min="21" max="21" width="12.875" style="113" customWidth="1"/>
    <col min="22" max="16384" width="8.875" style="113"/>
  </cols>
  <sheetData>
    <row r="1" spans="1:23" ht="18.75" thickBot="1">
      <c r="A1" s="25"/>
      <c r="B1" s="25"/>
      <c r="C1" s="25"/>
      <c r="D1" s="25"/>
      <c r="E1" s="25"/>
      <c r="F1" s="25"/>
      <c r="G1" s="25"/>
      <c r="H1" s="25"/>
      <c r="I1" s="25"/>
      <c r="J1" s="25"/>
      <c r="K1" s="25"/>
      <c r="L1" s="25"/>
      <c r="M1" s="25"/>
      <c r="N1" s="25"/>
      <c r="O1" s="25"/>
      <c r="P1" s="25"/>
      <c r="Q1" s="25"/>
      <c r="R1" s="25"/>
      <c r="S1" s="25"/>
      <c r="T1" s="25"/>
      <c r="U1" s="25"/>
      <c r="V1" s="25"/>
      <c r="W1" s="25"/>
    </row>
    <row r="2" spans="1:23">
      <c r="A2" s="25"/>
      <c r="B2" s="21"/>
      <c r="C2" s="22"/>
      <c r="D2" s="22"/>
      <c r="E2" s="22"/>
      <c r="F2" s="22"/>
      <c r="G2" s="22"/>
      <c r="H2" s="22"/>
      <c r="I2" s="22"/>
      <c r="J2" s="22"/>
      <c r="K2" s="22"/>
      <c r="L2" s="22"/>
      <c r="M2" s="22"/>
      <c r="N2" s="22"/>
      <c r="O2" s="22"/>
      <c r="P2" s="22"/>
      <c r="Q2" s="22"/>
      <c r="R2" s="22"/>
      <c r="S2" s="22"/>
      <c r="T2" s="22"/>
      <c r="U2" s="23"/>
      <c r="V2" s="25"/>
      <c r="W2" s="25"/>
    </row>
    <row r="3" spans="1:23">
      <c r="A3" s="25"/>
      <c r="B3" s="24"/>
      <c r="C3" s="25"/>
      <c r="D3" s="25"/>
      <c r="E3" s="25"/>
      <c r="F3" s="25"/>
      <c r="G3" s="25"/>
      <c r="H3" s="26"/>
      <c r="I3" s="25"/>
      <c r="J3" s="25"/>
      <c r="K3" s="25"/>
      <c r="L3" s="25"/>
      <c r="M3" s="25"/>
      <c r="N3" s="25"/>
      <c r="O3" s="25"/>
      <c r="P3" s="25"/>
      <c r="Q3" s="25"/>
      <c r="R3" s="25"/>
      <c r="S3" s="25"/>
      <c r="T3" s="25"/>
      <c r="U3" s="27"/>
      <c r="V3" s="25"/>
      <c r="W3" s="25"/>
    </row>
    <row r="4" spans="1:23">
      <c r="A4" s="25"/>
      <c r="B4" s="24"/>
      <c r="D4" s="25"/>
      <c r="E4" s="25"/>
      <c r="F4" s="25"/>
      <c r="G4" s="25"/>
      <c r="H4" s="26"/>
      <c r="I4" s="25"/>
      <c r="J4" s="25"/>
      <c r="K4" s="25"/>
      <c r="L4" s="25"/>
      <c r="M4" s="25"/>
      <c r="N4" s="25"/>
      <c r="O4" s="25"/>
      <c r="P4" s="25"/>
      <c r="Q4" s="25"/>
      <c r="R4" s="25"/>
      <c r="S4" s="25"/>
      <c r="T4" s="25"/>
      <c r="U4" s="27"/>
      <c r="V4" s="25"/>
      <c r="W4" s="25"/>
    </row>
    <row r="5" spans="1:23">
      <c r="A5" s="25"/>
      <c r="B5" s="24"/>
      <c r="C5" s="25"/>
      <c r="D5" s="25"/>
      <c r="E5" s="25"/>
      <c r="F5" s="25"/>
      <c r="G5" s="25"/>
      <c r="H5" s="26"/>
      <c r="I5" s="25"/>
      <c r="J5" s="25"/>
      <c r="K5" s="25"/>
      <c r="L5" s="25"/>
      <c r="M5" s="25"/>
      <c r="N5" s="25"/>
      <c r="O5" s="25"/>
      <c r="P5" s="25"/>
      <c r="Q5" s="25"/>
      <c r="R5" s="25"/>
      <c r="S5" s="25"/>
      <c r="T5" s="25"/>
      <c r="U5" s="27"/>
      <c r="V5" s="25"/>
      <c r="W5" s="25"/>
    </row>
    <row r="6" spans="1:23">
      <c r="A6" s="25"/>
      <c r="B6" s="24"/>
      <c r="C6" s="25"/>
      <c r="D6" s="25"/>
      <c r="E6" s="25"/>
      <c r="F6" s="25"/>
      <c r="G6" s="25"/>
      <c r="H6" s="25"/>
      <c r="I6" s="25"/>
      <c r="J6" s="25"/>
      <c r="K6" s="25"/>
      <c r="L6" s="25"/>
      <c r="M6" s="25"/>
      <c r="N6" s="25"/>
      <c r="O6" s="25"/>
      <c r="P6" s="25"/>
      <c r="Q6" s="25"/>
      <c r="R6" s="25"/>
      <c r="S6" s="25"/>
      <c r="T6" s="25"/>
      <c r="U6" s="27"/>
      <c r="V6" s="25"/>
      <c r="W6" s="25"/>
    </row>
    <row r="7" spans="1:23" ht="51" customHeight="1">
      <c r="A7" s="25"/>
      <c r="B7" s="24"/>
      <c r="C7" s="25"/>
      <c r="D7" s="25"/>
      <c r="E7" s="25"/>
      <c r="F7" s="25"/>
      <c r="G7" s="25"/>
      <c r="H7" s="25"/>
      <c r="I7" s="25"/>
      <c r="J7" s="25"/>
      <c r="K7" s="25"/>
      <c r="L7" s="25"/>
      <c r="M7" s="25"/>
      <c r="N7" s="25"/>
      <c r="O7" s="25"/>
      <c r="P7" s="25"/>
      <c r="Q7" s="25"/>
      <c r="R7" s="25"/>
      <c r="S7" s="25"/>
      <c r="T7" s="25"/>
      <c r="U7" s="27"/>
      <c r="V7" s="25"/>
      <c r="W7" s="25"/>
    </row>
    <row r="8" spans="1:23" ht="26.25">
      <c r="A8" s="25"/>
      <c r="B8" s="24"/>
      <c r="C8" s="177" t="s">
        <v>365</v>
      </c>
      <c r="D8" s="177"/>
      <c r="E8" s="177"/>
      <c r="F8" s="177"/>
      <c r="G8" s="177"/>
      <c r="H8" s="177"/>
      <c r="I8" s="177"/>
      <c r="J8" s="177"/>
      <c r="K8" s="29" t="s">
        <v>363</v>
      </c>
      <c r="L8" s="28"/>
      <c r="M8" s="28"/>
      <c r="N8" s="28"/>
      <c r="P8" s="28"/>
      <c r="Q8" s="28"/>
      <c r="R8" s="28"/>
      <c r="S8" s="28"/>
      <c r="T8" s="28"/>
      <c r="U8" s="27"/>
      <c r="V8" s="25"/>
      <c r="W8" s="25"/>
    </row>
    <row r="9" spans="1:23">
      <c r="A9" s="25"/>
      <c r="B9" s="24"/>
      <c r="C9" s="30"/>
      <c r="D9" s="30"/>
      <c r="E9" s="30"/>
      <c r="F9" s="30"/>
      <c r="G9" s="30"/>
      <c r="H9" s="30"/>
      <c r="I9" s="30"/>
      <c r="J9" s="30"/>
      <c r="K9" s="30"/>
      <c r="L9" s="30"/>
      <c r="M9" s="30"/>
      <c r="N9" s="30"/>
      <c r="O9" s="30"/>
      <c r="P9" s="30"/>
      <c r="Q9" s="30"/>
      <c r="R9" s="30"/>
      <c r="S9" s="30"/>
      <c r="T9" s="30"/>
      <c r="U9" s="27"/>
      <c r="V9" s="25"/>
      <c r="W9" s="25"/>
    </row>
    <row r="10" spans="1:23">
      <c r="A10" s="25"/>
      <c r="B10" s="24"/>
      <c r="C10" s="30" t="s">
        <v>381</v>
      </c>
      <c r="D10" s="30"/>
      <c r="E10" s="30"/>
      <c r="F10" s="30"/>
      <c r="G10" s="30"/>
      <c r="H10" s="30"/>
      <c r="I10" s="30"/>
      <c r="J10" s="30"/>
      <c r="K10" s="30"/>
      <c r="L10" s="30"/>
      <c r="M10" s="30"/>
      <c r="N10" s="30"/>
      <c r="O10" s="30"/>
      <c r="P10" s="30"/>
      <c r="Q10" s="30"/>
      <c r="R10" s="30"/>
      <c r="S10" s="30"/>
      <c r="T10" s="30"/>
      <c r="U10" s="27"/>
      <c r="V10" s="25"/>
      <c r="W10" s="25"/>
    </row>
    <row r="11" spans="1:23">
      <c r="A11" s="25"/>
      <c r="B11" s="24"/>
      <c r="C11" s="30"/>
      <c r="D11" s="30"/>
      <c r="E11" s="30"/>
      <c r="F11" s="30"/>
      <c r="G11" s="30"/>
      <c r="H11" s="30"/>
      <c r="I11" s="30"/>
      <c r="J11" s="30"/>
      <c r="K11" s="30"/>
      <c r="L11" s="30"/>
      <c r="M11" s="30"/>
      <c r="N11" s="30"/>
      <c r="O11" s="30"/>
      <c r="P11" s="30"/>
      <c r="Q11" s="30"/>
      <c r="R11" s="30"/>
      <c r="S11" s="30"/>
      <c r="T11" s="30"/>
      <c r="U11" s="27"/>
      <c r="V11" s="25"/>
      <c r="W11" s="25"/>
    </row>
    <row r="12" spans="1:23">
      <c r="A12" s="25"/>
      <c r="B12" s="24"/>
      <c r="C12" s="31" t="s">
        <v>364</v>
      </c>
      <c r="D12" s="25"/>
      <c r="E12" s="25"/>
      <c r="F12" s="25"/>
      <c r="G12" s="25"/>
      <c r="H12" s="25"/>
      <c r="I12" s="25"/>
      <c r="J12" s="25"/>
      <c r="K12" s="25"/>
      <c r="L12" s="25"/>
      <c r="M12" s="25"/>
      <c r="N12" s="25"/>
      <c r="O12" s="25"/>
      <c r="P12" s="25"/>
      <c r="Q12" s="25"/>
      <c r="R12" s="25"/>
      <c r="S12" s="25"/>
      <c r="T12" s="25"/>
      <c r="U12" s="27"/>
      <c r="V12" s="25"/>
      <c r="W12" s="25"/>
    </row>
    <row r="13" spans="1:23">
      <c r="A13" s="25"/>
      <c r="B13" s="24"/>
      <c r="C13" s="25"/>
      <c r="D13" s="25"/>
      <c r="E13" s="25"/>
      <c r="F13" s="25"/>
      <c r="G13" s="25"/>
      <c r="H13" s="25"/>
      <c r="I13" s="25"/>
      <c r="J13" s="25"/>
      <c r="K13" s="25"/>
      <c r="L13" s="25"/>
      <c r="M13" s="25"/>
      <c r="N13" s="25"/>
      <c r="O13" s="25"/>
      <c r="P13" s="25"/>
      <c r="Q13" s="25"/>
      <c r="R13" s="25"/>
      <c r="S13" s="25"/>
      <c r="T13" s="25"/>
      <c r="U13" s="27"/>
      <c r="V13" s="25"/>
      <c r="W13" s="25"/>
    </row>
    <row r="14" spans="1:23" ht="18" customHeight="1">
      <c r="A14" s="25"/>
      <c r="B14" s="24"/>
      <c r="C14" s="111" t="s">
        <v>382</v>
      </c>
      <c r="E14" s="32"/>
      <c r="F14" s="32"/>
      <c r="G14" s="112" t="s">
        <v>384</v>
      </c>
      <c r="H14" s="32"/>
      <c r="I14" s="32"/>
      <c r="J14" s="32"/>
      <c r="K14" s="32"/>
      <c r="L14" s="32"/>
      <c r="M14" s="32"/>
      <c r="N14" s="32"/>
      <c r="O14" s="32"/>
      <c r="P14" s="32"/>
      <c r="Q14" s="32"/>
      <c r="R14" s="32"/>
      <c r="S14" s="32"/>
      <c r="T14" s="32"/>
      <c r="U14" s="27"/>
      <c r="V14" s="25"/>
      <c r="W14" s="25"/>
    </row>
    <row r="15" spans="1:23" ht="18" customHeight="1">
      <c r="A15" s="25"/>
      <c r="B15" s="24"/>
      <c r="C15" s="111" t="s">
        <v>383</v>
      </c>
      <c r="E15" s="32"/>
      <c r="F15" s="32"/>
      <c r="G15" s="112" t="s">
        <v>385</v>
      </c>
      <c r="H15" s="32"/>
      <c r="I15" s="32"/>
      <c r="J15" s="32"/>
      <c r="K15" s="32"/>
      <c r="L15" s="32"/>
      <c r="M15" s="32"/>
      <c r="N15" s="32"/>
      <c r="O15" s="32"/>
      <c r="P15" s="32"/>
      <c r="Q15" s="32"/>
      <c r="R15" s="32"/>
      <c r="S15" s="32"/>
      <c r="T15" s="32"/>
      <c r="U15" s="27"/>
      <c r="V15" s="25"/>
      <c r="W15" s="25"/>
    </row>
    <row r="16" spans="1:23">
      <c r="A16" s="25"/>
      <c r="B16" s="24"/>
      <c r="C16" s="111" t="s">
        <v>390</v>
      </c>
      <c r="E16" s="25"/>
      <c r="F16" s="25"/>
      <c r="G16" s="112" t="s">
        <v>392</v>
      </c>
      <c r="H16" s="25"/>
      <c r="I16" s="25"/>
      <c r="J16" s="25"/>
      <c r="K16" s="25"/>
      <c r="L16" s="25"/>
      <c r="M16" s="25"/>
      <c r="N16" s="25"/>
      <c r="O16" s="25"/>
      <c r="P16" s="25"/>
      <c r="Q16" s="25"/>
      <c r="R16" s="25"/>
      <c r="S16" s="25"/>
      <c r="T16" s="25"/>
      <c r="U16" s="27"/>
      <c r="V16" s="25"/>
      <c r="W16" s="25"/>
    </row>
    <row r="17" spans="1:23">
      <c r="A17" s="25"/>
      <c r="B17" s="24"/>
      <c r="C17" s="111" t="s">
        <v>389</v>
      </c>
      <c r="E17" s="25"/>
      <c r="F17" s="25"/>
      <c r="G17" s="112" t="s">
        <v>391</v>
      </c>
      <c r="H17" s="25"/>
      <c r="I17" s="25"/>
      <c r="J17" s="25"/>
      <c r="K17" s="25"/>
      <c r="L17" s="25"/>
      <c r="M17" s="25"/>
      <c r="N17" s="25"/>
      <c r="O17" s="25"/>
      <c r="P17" s="25"/>
      <c r="Q17" s="25"/>
      <c r="R17" s="25"/>
      <c r="S17" s="25"/>
      <c r="T17" s="25"/>
      <c r="U17" s="27"/>
      <c r="V17" s="25"/>
      <c r="W17" s="25"/>
    </row>
    <row r="18" spans="1:23">
      <c r="A18" s="25"/>
      <c r="B18" s="24"/>
      <c r="C18" s="111" t="s">
        <v>463</v>
      </c>
      <c r="E18" s="25"/>
      <c r="F18" s="25"/>
      <c r="G18" s="112" t="s">
        <v>395</v>
      </c>
      <c r="H18" s="25"/>
      <c r="I18" s="25"/>
      <c r="J18" s="25"/>
      <c r="K18" s="25"/>
      <c r="L18" s="25"/>
      <c r="M18" s="25"/>
      <c r="N18" s="25"/>
      <c r="O18" s="25"/>
      <c r="P18" s="25"/>
      <c r="Q18" s="25"/>
      <c r="R18" s="25"/>
      <c r="S18" s="25"/>
      <c r="T18" s="25"/>
      <c r="U18" s="27"/>
      <c r="V18" s="25"/>
      <c r="W18" s="25"/>
    </row>
    <row r="19" spans="1:23">
      <c r="A19" s="25"/>
      <c r="B19" s="24"/>
      <c r="C19" s="111" t="s">
        <v>393</v>
      </c>
      <c r="E19" s="25"/>
      <c r="F19" s="25"/>
      <c r="G19" s="112" t="s">
        <v>394</v>
      </c>
      <c r="H19" s="25"/>
      <c r="I19" s="25"/>
      <c r="J19" s="25"/>
      <c r="K19" s="25"/>
      <c r="L19" s="25"/>
      <c r="M19" s="25"/>
      <c r="N19" s="25"/>
      <c r="O19" s="25"/>
      <c r="P19" s="25"/>
      <c r="Q19" s="25"/>
      <c r="R19" s="25"/>
      <c r="S19" s="25"/>
      <c r="T19" s="25"/>
      <c r="U19" s="27"/>
      <c r="V19" s="25"/>
      <c r="W19" s="25"/>
    </row>
    <row r="20" spans="1:23">
      <c r="A20" s="25"/>
      <c r="B20" s="24"/>
      <c r="C20" s="111" t="s">
        <v>456</v>
      </c>
      <c r="E20" s="25"/>
      <c r="F20" s="25"/>
      <c r="G20" s="112" t="s">
        <v>457</v>
      </c>
      <c r="H20" s="25"/>
      <c r="I20" s="25"/>
      <c r="J20" s="25"/>
      <c r="K20" s="25"/>
      <c r="L20" s="25"/>
      <c r="M20" s="25"/>
      <c r="N20" s="25"/>
      <c r="O20" s="25"/>
      <c r="P20" s="25"/>
      <c r="Q20" s="25"/>
      <c r="R20" s="25"/>
      <c r="S20" s="25"/>
      <c r="T20" s="25"/>
      <c r="U20" s="27"/>
      <c r="V20" s="25"/>
      <c r="W20" s="25"/>
    </row>
    <row r="21" spans="1:23" ht="24.95" customHeight="1">
      <c r="A21" s="25"/>
      <c r="B21" s="24"/>
      <c r="C21" s="111" t="s">
        <v>458</v>
      </c>
      <c r="E21" s="32"/>
      <c r="F21" s="32"/>
      <c r="G21" s="112" t="s">
        <v>362</v>
      </c>
      <c r="H21" s="32"/>
      <c r="I21" s="32"/>
      <c r="J21" s="32"/>
      <c r="K21" s="32"/>
      <c r="L21" s="32"/>
      <c r="M21" s="32"/>
      <c r="N21" s="32"/>
      <c r="O21" s="32"/>
      <c r="P21" s="32"/>
      <c r="Q21" s="32"/>
      <c r="R21" s="32"/>
      <c r="S21" s="32"/>
      <c r="T21" s="32"/>
      <c r="U21" s="27"/>
      <c r="V21" s="25"/>
      <c r="W21" s="25"/>
    </row>
    <row r="22" spans="1:23" ht="60" customHeight="1">
      <c r="A22" s="25"/>
      <c r="B22" s="24"/>
      <c r="C22" s="178" t="s">
        <v>388</v>
      </c>
      <c r="D22" s="178"/>
      <c r="E22" s="178"/>
      <c r="F22" s="178"/>
      <c r="G22" s="178"/>
      <c r="H22" s="178"/>
      <c r="I22" s="178"/>
      <c r="J22" s="178"/>
      <c r="K22" s="178"/>
      <c r="L22" s="178"/>
      <c r="M22" s="178"/>
      <c r="N22" s="178"/>
      <c r="O22" s="178"/>
      <c r="P22" s="33"/>
      <c r="Q22" s="33"/>
      <c r="R22" s="33"/>
      <c r="S22" s="33"/>
      <c r="T22" s="33"/>
      <c r="U22" s="27"/>
      <c r="V22" s="25"/>
      <c r="W22" s="25"/>
    </row>
    <row r="23" spans="1:23" ht="18.75">
      <c r="A23" s="25"/>
      <c r="B23" s="34"/>
      <c r="C23" s="35"/>
      <c r="D23" s="30"/>
      <c r="E23" s="30"/>
      <c r="F23" s="30"/>
      <c r="G23" s="30"/>
      <c r="H23" s="36"/>
      <c r="I23" s="25"/>
      <c r="J23" s="25"/>
      <c r="K23" s="25"/>
      <c r="L23" s="25"/>
      <c r="M23" s="25"/>
      <c r="N23" s="25"/>
      <c r="O23" s="25"/>
      <c r="P23" s="25"/>
      <c r="Q23" s="25"/>
      <c r="R23" s="25"/>
      <c r="S23" s="25"/>
      <c r="T23" s="25"/>
      <c r="U23" s="27"/>
      <c r="V23" s="25"/>
      <c r="W23" s="25"/>
    </row>
    <row r="24" spans="1:23">
      <c r="A24" s="25"/>
      <c r="B24" s="34"/>
      <c r="C24" s="28" t="s">
        <v>377</v>
      </c>
      <c r="D24" s="30"/>
      <c r="E24" s="30"/>
      <c r="F24" s="30"/>
      <c r="G24" s="30"/>
      <c r="H24" s="37"/>
      <c r="I24" s="25"/>
      <c r="J24" s="25"/>
      <c r="K24" s="25"/>
      <c r="L24" s="25"/>
      <c r="M24" s="25"/>
      <c r="N24" s="25"/>
      <c r="O24" s="25"/>
      <c r="P24" s="25"/>
      <c r="Q24" s="25"/>
      <c r="R24" s="25"/>
      <c r="S24" s="25"/>
      <c r="T24" s="25"/>
      <c r="U24" s="27"/>
      <c r="V24" s="25"/>
      <c r="W24" s="25"/>
    </row>
    <row r="25" spans="1:23">
      <c r="A25" s="25"/>
      <c r="B25" s="34"/>
      <c r="C25" s="30" t="s">
        <v>378</v>
      </c>
      <c r="D25" s="30"/>
      <c r="E25" s="30"/>
      <c r="F25" s="30"/>
      <c r="G25" s="30"/>
      <c r="H25" s="37"/>
      <c r="I25" s="25"/>
      <c r="J25" s="25"/>
      <c r="K25" s="25"/>
      <c r="L25" s="25"/>
      <c r="M25" s="25"/>
      <c r="N25" s="25"/>
      <c r="O25" s="25"/>
      <c r="P25" s="25"/>
      <c r="Q25" s="25"/>
      <c r="R25" s="25"/>
      <c r="S25" s="25"/>
      <c r="T25" s="25"/>
      <c r="U25" s="27"/>
      <c r="V25" s="25"/>
      <c r="W25" s="25"/>
    </row>
    <row r="26" spans="1:23">
      <c r="A26" s="25"/>
      <c r="B26" s="34"/>
      <c r="C26" s="30" t="s">
        <v>379</v>
      </c>
      <c r="D26" s="30"/>
      <c r="E26" s="30"/>
      <c r="F26" s="30"/>
      <c r="G26" s="30"/>
      <c r="H26" s="37"/>
      <c r="I26" s="25"/>
      <c r="J26" s="25"/>
      <c r="K26" s="25"/>
      <c r="L26" s="25"/>
      <c r="M26" s="25"/>
      <c r="N26" s="25"/>
      <c r="O26" s="25"/>
      <c r="P26" s="25"/>
      <c r="Q26" s="25"/>
      <c r="R26" s="25"/>
      <c r="S26" s="25"/>
      <c r="T26" s="25"/>
      <c r="U26" s="27"/>
      <c r="V26" s="25"/>
      <c r="W26" s="25"/>
    </row>
    <row r="27" spans="1:23">
      <c r="A27" s="25"/>
      <c r="B27" s="34"/>
      <c r="C27" s="110" t="s">
        <v>380</v>
      </c>
      <c r="D27" s="30"/>
      <c r="E27" s="30"/>
      <c r="F27" s="30"/>
      <c r="G27" s="30"/>
      <c r="H27" s="37"/>
      <c r="I27" s="25"/>
      <c r="J27" s="25"/>
      <c r="K27" s="25"/>
      <c r="L27" s="25"/>
      <c r="M27" s="25"/>
      <c r="N27" s="25"/>
      <c r="O27" s="25"/>
      <c r="P27" s="25"/>
      <c r="Q27" s="25"/>
      <c r="R27" s="25"/>
      <c r="S27" s="25"/>
      <c r="T27" s="25"/>
      <c r="U27" s="27"/>
      <c r="V27" s="25"/>
      <c r="W27" s="25"/>
    </row>
    <row r="28" spans="1:23" ht="18.75" thickBot="1">
      <c r="A28" s="25"/>
      <c r="B28" s="38"/>
      <c r="C28" s="39"/>
      <c r="D28" s="39"/>
      <c r="E28" s="39"/>
      <c r="F28" s="39"/>
      <c r="G28" s="39"/>
      <c r="H28" s="40"/>
      <c r="I28" s="39"/>
      <c r="J28" s="39"/>
      <c r="K28" s="39"/>
      <c r="L28" s="39"/>
      <c r="M28" s="39"/>
      <c r="N28" s="39"/>
      <c r="O28" s="39"/>
      <c r="P28" s="39"/>
      <c r="Q28" s="39"/>
      <c r="R28" s="39"/>
      <c r="S28" s="39"/>
      <c r="T28" s="39"/>
      <c r="U28" s="41"/>
      <c r="V28" s="25"/>
      <c r="W28" s="25"/>
    </row>
    <row r="29" spans="1:23">
      <c r="A29" s="25"/>
      <c r="B29" s="25"/>
      <c r="C29" s="25"/>
      <c r="D29" s="25"/>
      <c r="E29" s="25"/>
      <c r="F29" s="25"/>
      <c r="G29" s="25"/>
      <c r="H29" s="25"/>
      <c r="I29" s="25"/>
      <c r="J29" s="25"/>
      <c r="K29" s="25"/>
      <c r="L29" s="25"/>
      <c r="M29" s="25"/>
      <c r="N29" s="25"/>
      <c r="O29" s="25"/>
      <c r="P29" s="25"/>
      <c r="Q29" s="25"/>
      <c r="R29" s="25"/>
      <c r="S29" s="25"/>
      <c r="T29" s="25"/>
      <c r="U29" s="25"/>
      <c r="V29" s="25"/>
      <c r="W29" s="25"/>
    </row>
    <row r="30" spans="1:23">
      <c r="A30" s="25"/>
      <c r="B30" s="25"/>
      <c r="C30" s="25"/>
      <c r="D30" s="25"/>
      <c r="E30" s="25"/>
      <c r="F30" s="25"/>
      <c r="G30" s="25"/>
      <c r="H30" s="25"/>
      <c r="I30" s="25"/>
      <c r="J30" s="25"/>
      <c r="K30" s="25"/>
      <c r="L30" s="25"/>
      <c r="M30" s="25"/>
      <c r="N30" s="25"/>
      <c r="O30" s="25"/>
      <c r="P30" s="25"/>
      <c r="Q30" s="25"/>
      <c r="R30" s="25"/>
      <c r="S30" s="25"/>
      <c r="T30" s="25"/>
      <c r="U30" s="25"/>
      <c r="V30" s="25"/>
      <c r="W30" s="25"/>
    </row>
  </sheetData>
  <mergeCells count="2">
    <mergeCell ref="C8:J8"/>
    <mergeCell ref="C22:O22"/>
  </mergeCells>
  <phoneticPr fontId="47" type="noConversion"/>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tabSelected="1" zoomScale="85" zoomScaleNormal="85" workbookViewId="0">
      <pane ySplit="9" topLeftCell="A10" activePane="bottomLeft" state="frozen"/>
      <selection pane="bottomLeft" activeCell="E116" sqref="E116"/>
    </sheetView>
  </sheetViews>
  <sheetFormatPr defaultColWidth="8.875" defaultRowHeight="15"/>
  <cols>
    <col min="1" max="1" width="9.75" style="43" customWidth="1"/>
    <col min="2" max="2" width="23" style="43" customWidth="1"/>
    <col min="3" max="3" width="10.125" style="43" customWidth="1"/>
    <col min="4" max="4" width="13.5" style="43" customWidth="1"/>
    <col min="5" max="5" width="12.375" style="43" customWidth="1"/>
    <col min="6" max="6" width="14.75" style="43" customWidth="1"/>
    <col min="7" max="7" width="19.125" style="101" customWidth="1"/>
    <col min="8" max="8" width="19.125" style="43" customWidth="1"/>
    <col min="9" max="9" width="23" style="43" customWidth="1"/>
    <col min="10" max="10" width="11" style="42" customWidth="1"/>
    <col min="11" max="11" width="14.125" style="43" customWidth="1"/>
    <col min="12" max="12" width="12.375" style="43" customWidth="1"/>
    <col min="13" max="16384" width="8.875" style="43"/>
  </cols>
  <sheetData>
    <row r="1" spans="1:12" s="81" customFormat="1" ht="26.25">
      <c r="B1" s="84" t="s">
        <v>370</v>
      </c>
    </row>
    <row r="2" spans="1:12" ht="14.25">
      <c r="A2" s="179" t="s">
        <v>386</v>
      </c>
      <c r="B2" s="179"/>
      <c r="C2" s="179"/>
      <c r="D2" s="179"/>
      <c r="E2" s="179"/>
      <c r="F2" s="179"/>
      <c r="G2" s="179"/>
      <c r="H2" s="179"/>
      <c r="I2" s="179"/>
      <c r="J2" s="179"/>
      <c r="K2" s="179"/>
      <c r="L2" s="179"/>
    </row>
    <row r="3" spans="1:12" ht="39.950000000000003" customHeight="1">
      <c r="A3" s="179"/>
      <c r="B3" s="179"/>
      <c r="C3" s="179"/>
      <c r="D3" s="179"/>
      <c r="E3" s="179"/>
      <c r="F3" s="179"/>
      <c r="G3" s="179"/>
      <c r="H3" s="179"/>
      <c r="I3" s="179"/>
      <c r="J3" s="179"/>
      <c r="K3" s="179"/>
      <c r="L3" s="179"/>
    </row>
    <row r="4" spans="1:12" ht="18">
      <c r="B4" s="20"/>
      <c r="G4" s="43"/>
      <c r="J4" s="43"/>
    </row>
    <row r="5" spans="1:12" s="88" customFormat="1" ht="20.25">
      <c r="A5" s="85" t="s">
        <v>358</v>
      </c>
      <c r="B5" s="86"/>
      <c r="C5" s="87">
        <v>2013</v>
      </c>
      <c r="G5" s="89"/>
      <c r="J5" s="102" t="s">
        <v>373</v>
      </c>
    </row>
    <row r="6" spans="1:12" s="88" customFormat="1" ht="20.25">
      <c r="A6" s="85" t="s">
        <v>360</v>
      </c>
      <c r="B6" s="86"/>
      <c r="C6" s="85"/>
      <c r="D6" s="86"/>
      <c r="E6" s="86"/>
      <c r="F6" s="86"/>
      <c r="G6" s="86"/>
      <c r="H6" s="86"/>
      <c r="J6" s="103" t="s">
        <v>371</v>
      </c>
    </row>
    <row r="7" spans="1:12" s="88" customFormat="1" ht="20.25">
      <c r="J7" s="104" t="s">
        <v>372</v>
      </c>
    </row>
    <row r="8" spans="1:12" customFormat="1" ht="16.5">
      <c r="G8" s="10"/>
      <c r="J8" s="1"/>
    </row>
    <row r="9" spans="1:12" ht="52.5" customHeight="1">
      <c r="A9" s="105" t="s">
        <v>2</v>
      </c>
      <c r="B9" s="106" t="s">
        <v>3</v>
      </c>
      <c r="C9" s="106" t="s">
        <v>175</v>
      </c>
      <c r="D9" s="107"/>
      <c r="E9" s="106" t="s">
        <v>157</v>
      </c>
      <c r="F9" s="106" t="s">
        <v>374</v>
      </c>
      <c r="G9" s="106" t="s">
        <v>375</v>
      </c>
      <c r="H9" s="106" t="s">
        <v>465</v>
      </c>
      <c r="I9" s="106" t="s">
        <v>466</v>
      </c>
      <c r="J9" s="108" t="s">
        <v>167</v>
      </c>
      <c r="K9" s="107" t="s">
        <v>464</v>
      </c>
      <c r="L9" s="109" t="s">
        <v>376</v>
      </c>
    </row>
    <row r="10" spans="1:12">
      <c r="A10" s="90">
        <f t="shared" ref="A10:A41" si="0">IFERROR(RANK(J10,$J$10:$J$161),"")</f>
        <v>1</v>
      </c>
      <c r="B10" s="43" t="s">
        <v>4</v>
      </c>
      <c r="C10" s="43" t="str">
        <f>VLOOKUP(B10,'country codes'!$A$3:$B$287,2,0)</f>
        <v>CRI</v>
      </c>
      <c r="D10" s="91" t="str">
        <f t="shared" ref="D10:D41" si="1">$C$5&amp;C10</f>
        <v>2013CRI</v>
      </c>
      <c r="E10" s="43">
        <v>1</v>
      </c>
      <c r="F10" s="59">
        <f>VLOOKUP($D10,'All data'!$E$2:$M$2281,2,0)</f>
        <v>4742.1109999999999</v>
      </c>
      <c r="G10" s="59">
        <f>VLOOKUP($D10,'All data'!$E$2:$M$2281,4,0)</f>
        <v>79.2</v>
      </c>
      <c r="H10" s="60">
        <f>VLOOKUP($D10,'All data'!$E$2:$M$2281,5,0)</f>
        <v>7.1580004692077637</v>
      </c>
      <c r="I10" s="60">
        <f>VLOOKUP($D10,'All data'!$E$2:$M$2281,6,0)</f>
        <v>2.49225857663007</v>
      </c>
      <c r="J10" s="92">
        <f>VLOOKUP($D10,'All data'!$E$2:$M$2281,7,0)</f>
        <v>63.943802769648315</v>
      </c>
      <c r="K10" s="43">
        <f>VLOOKUP($C$5,'All data'!$G$2285:$J$2299,4,0)</f>
        <v>1.64</v>
      </c>
      <c r="L10" s="93">
        <f>VLOOKUP($D10,'All data'!$E$2:$M$2281,9,0)</f>
        <v>17748.948896437647</v>
      </c>
    </row>
    <row r="11" spans="1:12">
      <c r="A11" s="90" t="str">
        <f t="shared" si="0"/>
        <v/>
      </c>
      <c r="B11" s="43" t="s">
        <v>11</v>
      </c>
      <c r="C11" s="43" t="str">
        <f>VLOOKUP(B11,'country codes'!$A$3:$B$287,2,0)</f>
        <v>VUT</v>
      </c>
      <c r="D11" s="91" t="str">
        <f t="shared" si="1"/>
        <v>2013VUT</v>
      </c>
      <c r="E11" s="43">
        <v>8</v>
      </c>
      <c r="F11" s="59">
        <f>VLOOKUP($D11,'All data'!$E$2:$M$2281,2,0)</f>
        <v>256.637</v>
      </c>
      <c r="G11" s="59">
        <f>VLOOKUP($D11,'All data'!$E$2:$M$2281,4,0)</f>
        <v>69.599999999999994</v>
      </c>
      <c r="H11" s="60">
        <f>VLOOKUP($D11,'All data'!$E$2:$M$2281,5,0)</f>
        <v>6.47</v>
      </c>
      <c r="I11" s="60" t="str">
        <f>VLOOKUP($D11,'All data'!$E$2:$M$2281,6,0)</f>
        <v/>
      </c>
      <c r="J11" s="92" t="str">
        <f>VLOOKUP($D11,'All data'!$E$2:$M$2281,7,0)</f>
        <v/>
      </c>
      <c r="K11" s="43">
        <f>VLOOKUP($C$5,'All data'!$G$2285:$J$2299,4,0)</f>
        <v>1.64</v>
      </c>
      <c r="L11" s="93">
        <f>VLOOKUP($D11,'All data'!$E$2:$M$2281,9,0)</f>
        <v>3131.9718676231159</v>
      </c>
    </row>
    <row r="12" spans="1:12">
      <c r="A12" s="90">
        <f t="shared" si="0"/>
        <v>2</v>
      </c>
      <c r="B12" s="43" t="s">
        <v>5</v>
      </c>
      <c r="C12" s="43" t="str">
        <f>VLOOKUP(B12,'country codes'!$A$3:$B$287,2,0)</f>
        <v>COL</v>
      </c>
      <c r="D12" s="91" t="str">
        <f t="shared" si="1"/>
        <v>2013COL</v>
      </c>
      <c r="E12" s="43">
        <v>1</v>
      </c>
      <c r="F12" s="59">
        <f>VLOOKUP($D12,'All data'!$E$2:$M$2281,2,0)</f>
        <v>46495.491999999998</v>
      </c>
      <c r="G12" s="59">
        <f>VLOOKUP($D12,'All data'!$E$2:$M$2281,4,0)</f>
        <v>76.099999999999994</v>
      </c>
      <c r="H12" s="60">
        <f>VLOOKUP($D12,'All data'!$E$2:$M$2281,5,0)</f>
        <v>6.6065506935119629</v>
      </c>
      <c r="I12" s="60">
        <f>VLOOKUP($D12,'All data'!$E$2:$M$2281,6,0)</f>
        <v>1.9233353847216299</v>
      </c>
      <c r="J12" s="92">
        <f>VLOOKUP($D12,'All data'!$E$2:$M$2281,7,0)</f>
        <v>61.424392518456067</v>
      </c>
      <c r="K12" s="43">
        <f>VLOOKUP($C$5,'All data'!$G$2285:$J$2299,4,0)</f>
        <v>1.64</v>
      </c>
      <c r="L12" s="93">
        <f>VLOOKUP($D12,'All data'!$E$2:$M$2281,9,0)</f>
        <v>13436.041030385048</v>
      </c>
    </row>
    <row r="13" spans="1:12">
      <c r="A13" s="90">
        <f t="shared" si="0"/>
        <v>11</v>
      </c>
      <c r="B13" s="43" t="s">
        <v>15</v>
      </c>
      <c r="C13" s="43" t="str">
        <f>VLOOKUP(B13,'country codes'!$A$3:$B$287,2,0)</f>
        <v>CHE</v>
      </c>
      <c r="D13" s="91" t="str">
        <f t="shared" si="1"/>
        <v>2013CHE</v>
      </c>
      <c r="E13" s="43">
        <v>3</v>
      </c>
      <c r="F13" s="59">
        <f>VLOOKUP($D13,'All data'!$E$2:$M$2281,2,0)</f>
        <v>8108.8760000000002</v>
      </c>
      <c r="G13" s="59">
        <f>VLOOKUP($D13,'All data'!$E$2:$M$2281,4,0)</f>
        <v>82.8</v>
      </c>
      <c r="H13" s="60">
        <f>VLOOKUP($D13,'All data'!$E$2:$M$2281,5,0)</f>
        <v>7.6345062255859375</v>
      </c>
      <c r="I13" s="60">
        <f>VLOOKUP($D13,'All data'!$E$2:$M$2281,6,0)</f>
        <v>5.0924611440200698</v>
      </c>
      <c r="J13" s="92">
        <f>VLOOKUP($D13,'All data'!$E$2:$M$2281,7,0)</f>
        <v>54.624411705443265</v>
      </c>
      <c r="K13" s="43">
        <f>VLOOKUP($C$5,'All data'!$G$2285:$J$2299,4,0)</f>
        <v>1.64</v>
      </c>
      <c r="L13" s="93">
        <f>VLOOKUP($D13,'All data'!$E$2:$M$2281,9,0)</f>
        <v>65029.163829468489</v>
      </c>
    </row>
    <row r="14" spans="1:12">
      <c r="A14" s="90">
        <f t="shared" si="0"/>
        <v>5</v>
      </c>
      <c r="B14" s="43" t="s">
        <v>6</v>
      </c>
      <c r="C14" s="43" t="str">
        <f>VLOOKUP(B14,'country codes'!$A$3:$B$287,2,0)</f>
        <v>ECU</v>
      </c>
      <c r="D14" s="91" t="str">
        <f t="shared" si="1"/>
        <v>2013ECU</v>
      </c>
      <c r="E14" s="43">
        <v>1</v>
      </c>
      <c r="F14" s="59">
        <f>VLOOKUP($D14,'All data'!$E$2:$M$2281,2,0)</f>
        <v>15707.473</v>
      </c>
      <c r="G14" s="59">
        <f>VLOOKUP($D14,'All data'!$E$2:$M$2281,4,0)</f>
        <v>75.7</v>
      </c>
      <c r="H14" s="60">
        <f>VLOOKUP($D14,'All data'!$E$2:$M$2281,5,0)</f>
        <v>6.0192060470581055</v>
      </c>
      <c r="I14" s="60">
        <f>VLOOKUP($D14,'All data'!$E$2:$M$2281,6,0)</f>
        <v>1.95329655556875</v>
      </c>
      <c r="J14" s="92">
        <f>VLOOKUP($D14,'All data'!$E$2:$M$2281,7,0)</f>
        <v>56.671694507770795</v>
      </c>
      <c r="K14" s="43">
        <f>VLOOKUP($C$5,'All data'!$G$2285:$J$2299,4,0)</f>
        <v>1.64</v>
      </c>
      <c r="L14" s="93">
        <f>VLOOKUP($D14,'All data'!$E$2:$M$2281,9,0)</f>
        <v>11818.586081690644</v>
      </c>
    </row>
    <row r="15" spans="1:12">
      <c r="A15" s="90">
        <f t="shared" si="0"/>
        <v>4</v>
      </c>
      <c r="B15" s="43" t="s">
        <v>12</v>
      </c>
      <c r="C15" s="43" t="str">
        <f>VLOOKUP(B15,'country codes'!$A$3:$B$287,2,0)</f>
        <v>PAN</v>
      </c>
      <c r="D15" s="91" t="str">
        <f t="shared" si="1"/>
        <v>2013PAN</v>
      </c>
      <c r="E15" s="43">
        <v>1</v>
      </c>
      <c r="F15" s="59">
        <f>VLOOKUP($D15,'All data'!$E$2:$M$2281,2,0)</f>
        <v>3835.4470000000001</v>
      </c>
      <c r="G15" s="59">
        <f>VLOOKUP($D15,'All data'!$E$2:$M$2281,4,0)</f>
        <v>77.400000000000006</v>
      </c>
      <c r="H15" s="60">
        <f>VLOOKUP($D15,'All data'!$E$2:$M$2281,5,0)</f>
        <v>6.8664803504943848</v>
      </c>
      <c r="I15" s="60">
        <f>VLOOKUP($D15,'All data'!$E$2:$M$2281,6,0)</f>
        <v>2.4452008475629299</v>
      </c>
      <c r="J15" s="92">
        <f>VLOOKUP($D15,'All data'!$E$2:$M$2281,7,0)</f>
        <v>60.676101779356067</v>
      </c>
      <c r="K15" s="43">
        <f>VLOOKUP($C$5,'All data'!$G$2285:$J$2299,4,0)</f>
        <v>1.64</v>
      </c>
      <c r="L15" s="93">
        <f>VLOOKUP($D15,'All data'!$E$2:$M$2281,9,0)</f>
        <v>26485.565805946779</v>
      </c>
    </row>
    <row r="16" spans="1:12">
      <c r="A16" s="90">
        <f t="shared" si="0"/>
        <v>12</v>
      </c>
      <c r="B16" s="43" t="s">
        <v>9</v>
      </c>
      <c r="C16" s="43" t="str">
        <f>VLOOKUP(B16,'country codes'!$A$3:$B$287,2,0)</f>
        <v>JAM</v>
      </c>
      <c r="D16" s="91" t="str">
        <f t="shared" si="1"/>
        <v>2013JAM</v>
      </c>
      <c r="E16" s="43">
        <v>1</v>
      </c>
      <c r="F16" s="59">
        <f>VLOOKUP($D16,'All data'!$E$2:$M$2281,2,0)</f>
        <v>2858.71</v>
      </c>
      <c r="G16" s="59">
        <f>VLOOKUP($D16,'All data'!$E$2:$M$2281,4,0)</f>
        <v>74</v>
      </c>
      <c r="H16" s="60">
        <f>VLOOKUP($D16,'All data'!$E$2:$M$2281,5,0)</f>
        <v>5.7088866233825684</v>
      </c>
      <c r="I16" s="60">
        <f>VLOOKUP($D16,'All data'!$E$2:$M$2281,6,0)</f>
        <v>1.79313633724837</v>
      </c>
      <c r="J16" s="92">
        <f>VLOOKUP($D16,'All data'!$E$2:$M$2281,7,0)</f>
        <v>54.128785684023697</v>
      </c>
      <c r="K16" s="43">
        <f>VLOOKUP($C$5,'All data'!$G$2285:$J$2299,4,0)</f>
        <v>1.64</v>
      </c>
      <c r="L16" s="93">
        <f>VLOOKUP($D16,'All data'!$E$2:$M$2281,9,0)</f>
        <v>9425.1079743976479</v>
      </c>
    </row>
    <row r="17" spans="1:12">
      <c r="A17" s="90">
        <f t="shared" si="0"/>
        <v>10</v>
      </c>
      <c r="B17" s="43" t="s">
        <v>8</v>
      </c>
      <c r="C17" s="43" t="str">
        <f>VLOOKUP(B17,'country codes'!$A$3:$B$287,2,0)</f>
        <v>GTM</v>
      </c>
      <c r="D17" s="91" t="str">
        <f t="shared" si="1"/>
        <v>2013GTM</v>
      </c>
      <c r="E17" s="43">
        <v>1</v>
      </c>
      <c r="F17" s="59">
        <f>VLOOKUP($D17,'All data'!$E$2:$M$2281,2,0)</f>
        <v>15595.821</v>
      </c>
      <c r="G17" s="59">
        <f>VLOOKUP($D17,'All data'!$E$2:$M$2281,4,0)</f>
        <v>72.599999999999994</v>
      </c>
      <c r="H17" s="60">
        <f>VLOOKUP($D17,'All data'!$E$2:$M$2281,5,0)</f>
        <v>5.9846014976501465</v>
      </c>
      <c r="I17" s="60">
        <f>VLOOKUP($D17,'All data'!$E$2:$M$2281,6,0)</f>
        <v>1.7409261940102101</v>
      </c>
      <c r="J17" s="92">
        <f>VLOOKUP($D17,'All data'!$E$2:$M$2281,7,0)</f>
        <v>55.241287179779881</v>
      </c>
      <c r="K17" s="43">
        <f>VLOOKUP($C$5,'All data'!$G$2285:$J$2299,4,0)</f>
        <v>1.64</v>
      </c>
      <c r="L17" s="93">
        <f>VLOOKUP($D17,'All data'!$E$2:$M$2281,9,0)</f>
        <v>7733.8410399094628</v>
      </c>
    </row>
    <row r="18" spans="1:12">
      <c r="A18" s="90">
        <f t="shared" si="0"/>
        <v>42</v>
      </c>
      <c r="B18" s="43" t="s">
        <v>7</v>
      </c>
      <c r="C18" s="43" t="str">
        <f>VLOOKUP(B18,'country codes'!$A$3:$B$287,2,0)</f>
        <v>HND</v>
      </c>
      <c r="D18" s="91" t="str">
        <f t="shared" si="1"/>
        <v>2013HND</v>
      </c>
      <c r="E18" s="43">
        <v>1</v>
      </c>
      <c r="F18" s="59">
        <f>VLOOKUP($D18,'All data'!$E$2:$M$2281,2,0)</f>
        <v>8798.5239999999994</v>
      </c>
      <c r="G18" s="59">
        <f>VLOOKUP($D18,'All data'!$E$2:$M$2281,4,0)</f>
        <v>74.099999999999994</v>
      </c>
      <c r="H18" s="60">
        <f>VLOOKUP($D18,'All data'!$E$2:$M$2281,5,0)</f>
        <v>4.7133584022521973</v>
      </c>
      <c r="I18" s="60">
        <f>VLOOKUP($D18,'All data'!$E$2:$M$2281,6,0)</f>
        <v>1.51504888654053</v>
      </c>
      <c r="J18" s="92">
        <f>VLOOKUP($D18,'All data'!$E$2:$M$2281,7,0)</f>
        <v>48.809467502219846</v>
      </c>
      <c r="K18" s="43">
        <f>VLOOKUP($C$5,'All data'!$G$2285:$J$2299,4,0)</f>
        <v>1.64</v>
      </c>
      <c r="L18" s="93">
        <f>VLOOKUP($D18,'All data'!$E$2:$M$2281,9,0)</f>
        <v>5113.4608940368353</v>
      </c>
    </row>
    <row r="19" spans="1:12">
      <c r="A19" s="90" t="str">
        <f t="shared" si="0"/>
        <v/>
      </c>
      <c r="B19" s="43" t="s">
        <v>16</v>
      </c>
      <c r="C19" s="43" t="str">
        <f>VLOOKUP(B19,'country codes'!$A$3:$B$287,2,0)</f>
        <v>URY</v>
      </c>
      <c r="D19" s="91" t="str">
        <f t="shared" si="1"/>
        <v>2013URY</v>
      </c>
      <c r="E19" s="43">
        <v>1</v>
      </c>
      <c r="F19" s="59">
        <f>VLOOKUP($D19,'All data'!$E$2:$M$2281,2,0)</f>
        <v>3389.4360000000001</v>
      </c>
      <c r="G19" s="59">
        <f>VLOOKUP($D19,'All data'!$E$2:$M$2281,4,0)</f>
        <v>77.099999999999994</v>
      </c>
      <c r="H19" s="60">
        <f>VLOOKUP($D19,'All data'!$E$2:$M$2281,5,0)</f>
        <v>6.4444646835327148</v>
      </c>
      <c r="I19" s="60" t="str">
        <f>VLOOKUP($D19,'All data'!$E$2:$M$2281,6,0)</f>
        <v/>
      </c>
      <c r="J19" s="92" t="str">
        <f>VLOOKUP($D19,'All data'!$E$2:$M$2281,7,0)</f>
        <v/>
      </c>
      <c r="K19" s="43">
        <f>VLOOKUP($C$5,'All data'!$G$2285:$J$2299,4,0)</f>
        <v>1.64</v>
      </c>
      <c r="L19" s="93">
        <f>VLOOKUP($D19,'All data'!$E$2:$M$2281,9,0)</f>
        <v>20001.140267216393</v>
      </c>
    </row>
    <row r="20" spans="1:12">
      <c r="A20" s="90">
        <f t="shared" si="0"/>
        <v>15</v>
      </c>
      <c r="B20" s="43" t="s">
        <v>25</v>
      </c>
      <c r="C20" s="43" t="str">
        <f>VLOOKUP(B20,'country codes'!$A$3:$B$287,2,0)</f>
        <v>NZL</v>
      </c>
      <c r="D20" s="91" t="str">
        <f t="shared" si="1"/>
        <v>2013NZL</v>
      </c>
      <c r="E20" s="43">
        <v>2</v>
      </c>
      <c r="F20" s="59">
        <f>VLOOKUP($D20,'All data'!$E$2:$M$2281,2,0)</f>
        <v>4518.5190000000002</v>
      </c>
      <c r="G20" s="59">
        <f>VLOOKUP($D20,'All data'!$E$2:$M$2281,4,0)</f>
        <v>81.400000000000006</v>
      </c>
      <c r="H20" s="60">
        <f>VLOOKUP($D20,'All data'!$E$2:$M$2281,5,0)</f>
        <v>7.2801518440246582</v>
      </c>
      <c r="I20" s="60">
        <f>VLOOKUP($D20,'All data'!$E$2:$M$2281,6,0)</f>
        <v>4.8854076970562401</v>
      </c>
      <c r="J20" s="92">
        <f>VLOOKUP($D20,'All data'!$E$2:$M$2281,7,0)</f>
        <v>52.597971389389073</v>
      </c>
      <c r="K20" s="43">
        <f>VLOOKUP($C$5,'All data'!$G$2285:$J$2299,4,0)</f>
        <v>1.64</v>
      </c>
      <c r="L20" s="93">
        <f>VLOOKUP($D20,'All data'!$E$2:$M$2281,9,0)</f>
        <v>39724.878021486889</v>
      </c>
    </row>
    <row r="21" spans="1:12">
      <c r="A21" s="90">
        <f t="shared" si="0"/>
        <v>24</v>
      </c>
      <c r="B21" s="43" t="s">
        <v>10</v>
      </c>
      <c r="C21" s="43" t="str">
        <f>VLOOKUP(B21,'country codes'!$A$3:$B$287,2,0)</f>
        <v>PHL</v>
      </c>
      <c r="D21" s="91" t="str">
        <f t="shared" si="1"/>
        <v>2013PHL</v>
      </c>
      <c r="E21" s="43">
        <v>8</v>
      </c>
      <c r="F21" s="59">
        <f>VLOOKUP($D21,'All data'!$E$2:$M$2281,2,0)</f>
        <v>98871.558000000005</v>
      </c>
      <c r="G21" s="59">
        <f>VLOOKUP($D21,'All data'!$E$2:$M$2281,4,0)</f>
        <v>70.3</v>
      </c>
      <c r="H21" s="60">
        <f>VLOOKUP($D21,'All data'!$E$2:$M$2281,5,0)</f>
        <v>4.9769253730773926</v>
      </c>
      <c r="I21" s="60">
        <f>VLOOKUP($D21,'All data'!$E$2:$M$2281,6,0)</f>
        <v>1.0255299004251199</v>
      </c>
      <c r="J21" s="92">
        <f>VLOOKUP($D21,'All data'!$E$2:$M$2281,7,0)</f>
        <v>50.92686001333437</v>
      </c>
      <c r="K21" s="43">
        <f>VLOOKUP($C$5,'All data'!$G$2285:$J$2299,4,0)</f>
        <v>1.64</v>
      </c>
      <c r="L21" s="93">
        <f>VLOOKUP($D21,'All data'!$E$2:$M$2281,9,0)</f>
        <v>6666.2509168535198</v>
      </c>
    </row>
    <row r="22" spans="1:12">
      <c r="A22" s="90">
        <f t="shared" si="0"/>
        <v>7</v>
      </c>
      <c r="B22" s="43" t="s">
        <v>17</v>
      </c>
      <c r="C22" s="43" t="str">
        <f>VLOOKUP(B22,'country codes'!$A$3:$B$287,2,0)</f>
        <v>SLV</v>
      </c>
      <c r="D22" s="91" t="str">
        <f t="shared" si="1"/>
        <v>2013SLV</v>
      </c>
      <c r="E22" s="43">
        <v>1</v>
      </c>
      <c r="F22" s="59">
        <f>VLOOKUP($D22,'All data'!$E$2:$M$2281,2,0)</f>
        <v>6266.076</v>
      </c>
      <c r="G22" s="59">
        <f>VLOOKUP($D22,'All data'!$E$2:$M$2281,4,0)</f>
        <v>71.900000000000006</v>
      </c>
      <c r="H22" s="60">
        <f>VLOOKUP($D22,'All data'!$E$2:$M$2281,5,0)</f>
        <v>6.3250632286071777</v>
      </c>
      <c r="I22" s="60">
        <f>VLOOKUP($D22,'All data'!$E$2:$M$2281,6,0)</f>
        <v>1.8415281358345199</v>
      </c>
      <c r="J22" s="92">
        <f>VLOOKUP($D22,'All data'!$E$2:$M$2281,7,0)</f>
        <v>56.302219844598199</v>
      </c>
      <c r="K22" s="43">
        <f>VLOOKUP($C$5,'All data'!$G$2285:$J$2299,4,0)</f>
        <v>1.64</v>
      </c>
      <c r="L22" s="93">
        <f>VLOOKUP($D22,'All data'!$E$2:$M$2281,9,0)</f>
        <v>7892.4418577027918</v>
      </c>
    </row>
    <row r="23" spans="1:12">
      <c r="A23" s="90">
        <f t="shared" si="0"/>
        <v>26</v>
      </c>
      <c r="B23" s="43" t="s">
        <v>29</v>
      </c>
      <c r="C23" s="43" t="str">
        <f>VLOOKUP(B23,'country codes'!$A$3:$B$287,2,0)</f>
        <v>GBR</v>
      </c>
      <c r="D23" s="91" t="str">
        <f t="shared" si="1"/>
        <v>2013GBR</v>
      </c>
      <c r="E23" s="43">
        <v>3</v>
      </c>
      <c r="F23" s="59">
        <f>VLOOKUP($D23,'All data'!$E$2:$M$2281,2,0)</f>
        <v>64984.014999999999</v>
      </c>
      <c r="G23" s="59">
        <f>VLOOKUP($D23,'All data'!$E$2:$M$2281,4,0)</f>
        <v>80.900000000000006</v>
      </c>
      <c r="H23" s="60">
        <f>VLOOKUP($D23,'All data'!$E$2:$M$2281,5,0)</f>
        <v>6.9180550575256348</v>
      </c>
      <c r="I23" s="60">
        <f>VLOOKUP($D23,'All data'!$E$2:$M$2281,6,0)</f>
        <v>4.81558690792333</v>
      </c>
      <c r="J23" s="92">
        <f>VLOOKUP($D23,'All data'!$E$2:$M$2281,7,0)</f>
        <v>50.521906916619557</v>
      </c>
      <c r="K23" s="43">
        <f>VLOOKUP($C$5,'All data'!$G$2285:$J$2299,4,0)</f>
        <v>1.64</v>
      </c>
      <c r="L23" s="93">
        <f>VLOOKUP($D23,'All data'!$E$2:$M$2281,9,0)</f>
        <v>43404.536624310887</v>
      </c>
    </row>
    <row r="24" spans="1:12">
      <c r="A24" s="90">
        <f t="shared" si="0"/>
        <v>16</v>
      </c>
      <c r="B24" s="43" t="s">
        <v>19</v>
      </c>
      <c r="C24" s="43" t="str">
        <f>VLOOKUP(B24,'country codes'!$A$3:$B$287,2,0)</f>
        <v>PER</v>
      </c>
      <c r="D24" s="91" t="str">
        <f t="shared" si="1"/>
        <v>2013PER</v>
      </c>
      <c r="E24" s="43">
        <v>1</v>
      </c>
      <c r="F24" s="59">
        <f>VLOOKUP($D24,'All data'!$E$2:$M$2281,2,0)</f>
        <v>29773.986000000001</v>
      </c>
      <c r="G24" s="59">
        <f>VLOOKUP($D24,'All data'!$E$2:$M$2281,4,0)</f>
        <v>75.3</v>
      </c>
      <c r="H24" s="60">
        <f>VLOOKUP($D24,'All data'!$E$2:$M$2281,5,0)</f>
        <v>5.782557487487793</v>
      </c>
      <c r="I24" s="60">
        <f>VLOOKUP($D24,'All data'!$E$2:$M$2281,6,0)</f>
        <v>2.2998637658032601</v>
      </c>
      <c r="J24" s="92">
        <f>VLOOKUP($D24,'All data'!$E$2:$M$2281,7,0)</f>
        <v>52.48202250780016</v>
      </c>
      <c r="K24" s="43">
        <f>VLOOKUP($C$5,'All data'!$G$2285:$J$2299,4,0)</f>
        <v>1.64</v>
      </c>
      <c r="L24" s="93">
        <f>VLOOKUP($D24,'All data'!$E$2:$M$2281,9,0)</f>
        <v>11724.00320462355</v>
      </c>
    </row>
    <row r="25" spans="1:12">
      <c r="A25" s="90">
        <f t="shared" si="0"/>
        <v>8</v>
      </c>
      <c r="B25" s="43" t="s">
        <v>20</v>
      </c>
      <c r="C25" s="43" t="str">
        <f>VLOOKUP(B25,'country codes'!$A$3:$B$287,2,0)</f>
        <v>NIC</v>
      </c>
      <c r="D25" s="91" t="str">
        <f t="shared" si="1"/>
        <v>2013NIC</v>
      </c>
      <c r="E25" s="43">
        <v>1</v>
      </c>
      <c r="F25" s="59">
        <f>VLOOKUP($D25,'All data'!$E$2:$M$2281,2,0)</f>
        <v>6062.4620000000004</v>
      </c>
      <c r="G25" s="59">
        <f>VLOOKUP($D25,'All data'!$E$2:$M$2281,4,0)</f>
        <v>73.2</v>
      </c>
      <c r="H25" s="60">
        <f>VLOOKUP($D25,'All data'!$E$2:$M$2281,5,0)</f>
        <v>5.7722749710083008</v>
      </c>
      <c r="I25" s="60">
        <f>VLOOKUP($D25,'All data'!$E$2:$M$2281,6,0)</f>
        <v>1.45026827295924</v>
      </c>
      <c r="J25" s="92">
        <f>VLOOKUP($D25,'All data'!$E$2:$M$2281,7,0)</f>
        <v>56.271090522428366</v>
      </c>
      <c r="K25" s="43">
        <f>VLOOKUP($C$5,'All data'!$G$2285:$J$2299,4,0)</f>
        <v>1.64</v>
      </c>
      <c r="L25" s="93">
        <f>VLOOKUP($D25,'All data'!$E$2:$M$2281,9,0)</f>
        <v>5263.4860908669598</v>
      </c>
    </row>
    <row r="26" spans="1:12">
      <c r="A26" s="90">
        <f t="shared" si="0"/>
        <v>21</v>
      </c>
      <c r="B26" s="43" t="s">
        <v>13</v>
      </c>
      <c r="C26" s="43" t="str">
        <f>VLOOKUP(B26,'country codes'!$A$3:$B$287,2,0)</f>
        <v>TJK</v>
      </c>
      <c r="D26" s="91" t="str">
        <f t="shared" si="1"/>
        <v>2013TJK</v>
      </c>
      <c r="E26" s="43">
        <v>7</v>
      </c>
      <c r="F26" s="59">
        <f>VLOOKUP($D26,'All data'!$E$2:$M$2281,2,0)</f>
        <v>8059.7820000000002</v>
      </c>
      <c r="G26" s="59">
        <f>VLOOKUP($D26,'All data'!$E$2:$M$2281,4,0)</f>
        <v>69.599999999999994</v>
      </c>
      <c r="H26" s="60">
        <f>VLOOKUP($D26,'All data'!$E$2:$M$2281,5,0)</f>
        <v>4.9665212631225586</v>
      </c>
      <c r="I26" s="60">
        <f>VLOOKUP($D26,'All data'!$E$2:$M$2281,6,0)</f>
        <v>0.89373289974818704</v>
      </c>
      <c r="J26" s="92">
        <f>VLOOKUP($D26,'All data'!$E$2:$M$2281,7,0)</f>
        <v>51.176558300006469</v>
      </c>
      <c r="K26" s="43">
        <f>VLOOKUP($C$5,'All data'!$G$2285:$J$2299,4,0)</f>
        <v>1.64</v>
      </c>
      <c r="L26" s="93">
        <f>VLOOKUP($D26,'All data'!$E$2:$M$2281,9,0)</f>
        <v>2616.4754855423553</v>
      </c>
    </row>
    <row r="27" spans="1:12">
      <c r="A27" s="90">
        <f t="shared" si="0"/>
        <v>36</v>
      </c>
      <c r="B27" s="43" t="s">
        <v>34</v>
      </c>
      <c r="C27" s="43" t="str">
        <f>VLOOKUP(B27,'country codes'!$A$3:$B$287,2,0)</f>
        <v>NLD</v>
      </c>
      <c r="D27" s="91" t="str">
        <f t="shared" si="1"/>
        <v>2013NLD</v>
      </c>
      <c r="E27" s="43">
        <v>3</v>
      </c>
      <c r="F27" s="59">
        <f>VLOOKUP($D27,'All data'!$E$2:$M$2281,2,0)</f>
        <v>16843.511999999999</v>
      </c>
      <c r="G27" s="59">
        <f>VLOOKUP($D27,'All data'!$E$2:$M$2281,4,0)</f>
        <v>81.400000000000006</v>
      </c>
      <c r="H27" s="60">
        <f>VLOOKUP($D27,'All data'!$E$2:$M$2281,5,0)</f>
        <v>7.406550407409668</v>
      </c>
      <c r="I27" s="60">
        <f>VLOOKUP($D27,'All data'!$E$2:$M$2281,6,0)</f>
        <v>5.78112014689217</v>
      </c>
      <c r="J27" s="92">
        <f>VLOOKUP($D27,'All data'!$E$2:$M$2281,7,0)</f>
        <v>49.38796452800679</v>
      </c>
      <c r="K27" s="43">
        <f>VLOOKUP($C$5,'All data'!$G$2285:$J$2299,4,0)</f>
        <v>1.64</v>
      </c>
      <c r="L27" s="93">
        <f>VLOOKUP($D27,'All data'!$E$2:$M$2281,9,0)</f>
        <v>51804.999589737941</v>
      </c>
    </row>
    <row r="28" spans="1:12">
      <c r="A28" s="90">
        <f t="shared" si="0"/>
        <v>33</v>
      </c>
      <c r="B28" s="43" t="s">
        <v>21</v>
      </c>
      <c r="C28" s="43" t="str">
        <f>VLOOKUP(B28,'country codes'!$A$3:$B$287,2,0)</f>
        <v>DOM</v>
      </c>
      <c r="D28" s="91" t="str">
        <f t="shared" si="1"/>
        <v>2013DOM</v>
      </c>
      <c r="E28" s="43">
        <v>1</v>
      </c>
      <c r="F28" s="59">
        <f>VLOOKUP($D28,'All data'!$E$2:$M$2281,2,0)</f>
        <v>10048.226000000001</v>
      </c>
      <c r="G28" s="59">
        <f>VLOOKUP($D28,'All data'!$E$2:$M$2281,4,0)</f>
        <v>72.8</v>
      </c>
      <c r="H28" s="60">
        <f>VLOOKUP($D28,'All data'!$E$2:$M$2281,5,0)</f>
        <v>5.0155153274536133</v>
      </c>
      <c r="I28" s="60">
        <f>VLOOKUP($D28,'All data'!$E$2:$M$2281,6,0)</f>
        <v>1.54352774525281</v>
      </c>
      <c r="J28" s="92">
        <f>VLOOKUP($D28,'All data'!$E$2:$M$2281,7,0)</f>
        <v>49.826454929970943</v>
      </c>
      <c r="K28" s="43">
        <f>VLOOKUP($C$5,'All data'!$G$2285:$J$2299,4,0)</f>
        <v>1.64</v>
      </c>
      <c r="L28" s="93">
        <f>VLOOKUP($D28,'All data'!$E$2:$M$2281,9,0)</f>
        <v>13702.323933207099</v>
      </c>
    </row>
    <row r="29" spans="1:12">
      <c r="A29" s="90">
        <f t="shared" si="0"/>
        <v>76</v>
      </c>
      <c r="B29" s="43" t="s">
        <v>18</v>
      </c>
      <c r="C29" s="43" t="str">
        <f>VLOOKUP(B29,'country codes'!$A$3:$B$287,2,0)</f>
        <v>ARM</v>
      </c>
      <c r="D29" s="91" t="str">
        <f t="shared" si="1"/>
        <v>2013ARM</v>
      </c>
      <c r="E29" s="43">
        <v>7</v>
      </c>
      <c r="F29" s="59">
        <f>VLOOKUP($D29,'All data'!$E$2:$M$2281,2,0)</f>
        <v>2897.5929999999998</v>
      </c>
      <c r="G29" s="59">
        <f>VLOOKUP($D29,'All data'!$E$2:$M$2281,4,0)</f>
        <v>74.099999999999994</v>
      </c>
      <c r="H29" s="60">
        <f>VLOOKUP($D29,'All data'!$E$2:$M$2281,5,0)</f>
        <v>4.277191162109375</v>
      </c>
      <c r="I29" s="60">
        <f>VLOOKUP($D29,'All data'!$E$2:$M$2281,6,0)</f>
        <v>2.0129372540257902</v>
      </c>
      <c r="J29" s="92">
        <f>VLOOKUP($D29,'All data'!$E$2:$M$2281,7,0)</f>
        <v>42.903285613369476</v>
      </c>
      <c r="K29" s="43">
        <f>VLOOKUP($C$5,'All data'!$G$2285:$J$2299,4,0)</f>
        <v>1.64</v>
      </c>
      <c r="L29" s="93">
        <f>VLOOKUP($D29,'All data'!$E$2:$M$2281,9,0)</f>
        <v>10691.309954961913</v>
      </c>
    </row>
    <row r="30" spans="1:12">
      <c r="A30" s="90">
        <f t="shared" si="0"/>
        <v>6</v>
      </c>
      <c r="B30" s="43" t="s">
        <v>26</v>
      </c>
      <c r="C30" s="43" t="str">
        <f>VLOOKUP(B30,'country codes'!$A$3:$B$287,2,0)</f>
        <v>BRA</v>
      </c>
      <c r="D30" s="91" t="str">
        <f t="shared" si="1"/>
        <v>2013BRA</v>
      </c>
      <c r="E30" s="43">
        <v>1</v>
      </c>
      <c r="F30" s="59">
        <f>VLOOKUP($D30,'All data'!$E$2:$M$2281,2,0)</f>
        <v>201035.90400000001</v>
      </c>
      <c r="G30" s="59">
        <f>VLOOKUP($D30,'All data'!$E$2:$M$2281,4,0)</f>
        <v>74.5</v>
      </c>
      <c r="H30" s="60">
        <f>VLOOKUP($D30,'All data'!$E$2:$M$2281,5,0)</f>
        <v>7.1402826309204102</v>
      </c>
      <c r="I30" s="60">
        <f>VLOOKUP($D30,'All data'!$E$2:$M$2281,6,0)</f>
        <v>2.9678350403612601</v>
      </c>
      <c r="J30" s="92">
        <f>VLOOKUP($D30,'All data'!$E$2:$M$2281,7,0)</f>
        <v>56.618126678151938</v>
      </c>
      <c r="K30" s="43">
        <f>VLOOKUP($C$5,'All data'!$G$2285:$J$2299,4,0)</f>
        <v>1.64</v>
      </c>
      <c r="L30" s="93">
        <f>VLOOKUP($D30,'All data'!$E$2:$M$2281,9,0)</f>
        <v>15800.038965120326</v>
      </c>
    </row>
    <row r="31" spans="1:12">
      <c r="A31" s="90">
        <f t="shared" si="0"/>
        <v>23</v>
      </c>
      <c r="B31" s="43" t="s">
        <v>14</v>
      </c>
      <c r="C31" s="43" t="str">
        <f>VLOOKUP(B31,'country codes'!$A$3:$B$287,2,0)</f>
        <v>BGD</v>
      </c>
      <c r="D31" s="91" t="str">
        <f t="shared" si="1"/>
        <v>2013BGD</v>
      </c>
      <c r="E31" s="43">
        <v>6</v>
      </c>
      <c r="F31" s="59">
        <f>VLOOKUP($D31,'All data'!$E$2:$M$2281,2,0)</f>
        <v>152761.413</v>
      </c>
      <c r="G31" s="59">
        <f>VLOOKUP($D31,'All data'!$E$2:$M$2281,4,0)</f>
        <v>70.900000000000006</v>
      </c>
      <c r="H31" s="60">
        <f>VLOOKUP($D31,'All data'!$E$2:$M$2281,5,0)</f>
        <v>4.660161018371582</v>
      </c>
      <c r="I31" s="60">
        <f>VLOOKUP($D31,'All data'!$E$2:$M$2281,6,0)</f>
        <v>0.74786383223848196</v>
      </c>
      <c r="J31" s="92">
        <f>VLOOKUP($D31,'All data'!$E$2:$M$2281,7,0)</f>
        <v>50.964124021445279</v>
      </c>
      <c r="K31" s="43">
        <f>VLOOKUP($C$5,'All data'!$G$2285:$J$2299,4,0)</f>
        <v>1.64</v>
      </c>
      <c r="L31" s="93">
        <f>VLOOKUP($D31,'All data'!$E$2:$M$2281,9,0)</f>
        <v>3348.9534737619852</v>
      </c>
    </row>
    <row r="32" spans="1:12">
      <c r="A32" s="90">
        <f t="shared" si="0"/>
        <v>3</v>
      </c>
      <c r="B32" s="43" t="s">
        <v>27</v>
      </c>
      <c r="C32" s="43" t="str">
        <f>VLOOKUP(B32,'country codes'!$A$3:$B$287,2,0)</f>
        <v>MEX</v>
      </c>
      <c r="D32" s="91" t="str">
        <f t="shared" si="1"/>
        <v>2013MEX</v>
      </c>
      <c r="E32" s="43">
        <v>1</v>
      </c>
      <c r="F32" s="59">
        <f>VLOOKUP($D32,'All data'!$E$2:$M$2281,2,0)</f>
        <v>118827.158</v>
      </c>
      <c r="G32" s="59">
        <f>VLOOKUP($D32,'All data'!$E$2:$M$2281,4,0)</f>
        <v>74.900000000000006</v>
      </c>
      <c r="H32" s="60">
        <f>VLOOKUP($D32,'All data'!$E$2:$M$2281,5,0)</f>
        <v>7.4425463676452637</v>
      </c>
      <c r="I32" s="60">
        <f>VLOOKUP($D32,'All data'!$E$2:$M$2281,6,0)</f>
        <v>2.6049627906550601</v>
      </c>
      <c r="J32" s="92">
        <f>VLOOKUP($D32,'All data'!$E$2:$M$2281,7,0)</f>
        <v>61.225007785643925</v>
      </c>
      <c r="K32" s="43">
        <f>VLOOKUP($C$5,'All data'!$G$2285:$J$2299,4,0)</f>
        <v>1.64</v>
      </c>
      <c r="L32" s="93">
        <f>VLOOKUP($D32,'All data'!$E$2:$M$2281,9,0)</f>
        <v>18661.340295950802</v>
      </c>
    </row>
    <row r="33" spans="1:12">
      <c r="A33" s="90">
        <f t="shared" si="0"/>
        <v>25</v>
      </c>
      <c r="B33" s="43" t="s">
        <v>24</v>
      </c>
      <c r="C33" s="43" t="str">
        <f>VLOOKUP(B33,'country codes'!$A$3:$B$287,2,0)</f>
        <v>UZB</v>
      </c>
      <c r="D33" s="91" t="str">
        <f t="shared" si="1"/>
        <v>2013UZB</v>
      </c>
      <c r="E33" s="43">
        <v>7</v>
      </c>
      <c r="F33" s="59">
        <f>VLOOKUP($D33,'All data'!$E$2:$M$2281,2,0)</f>
        <v>29932.63</v>
      </c>
      <c r="G33" s="59">
        <f>VLOOKUP($D33,'All data'!$E$2:$M$2281,4,0)</f>
        <v>70.400000000000006</v>
      </c>
      <c r="H33" s="60">
        <f>VLOOKUP($D33,'All data'!$E$2:$M$2281,5,0)</f>
        <v>5.9399862289428711</v>
      </c>
      <c r="I33" s="60">
        <f>VLOOKUP($D33,'All data'!$E$2:$M$2281,6,0)</f>
        <v>2.0990844947559801</v>
      </c>
      <c r="J33" s="92">
        <f>VLOOKUP($D33,'All data'!$E$2:$M$2281,7,0)</f>
        <v>50.812414769581814</v>
      </c>
      <c r="K33" s="43">
        <f>VLOOKUP($C$5,'All data'!$G$2285:$J$2299,4,0)</f>
        <v>1.64</v>
      </c>
      <c r="L33" s="93">
        <f>VLOOKUP($D33,'All data'!$E$2:$M$2281,9,0)</f>
        <v>5469.8559525247265</v>
      </c>
    </row>
    <row r="34" spans="1:12">
      <c r="A34" s="90">
        <f t="shared" si="0"/>
        <v>38</v>
      </c>
      <c r="B34" s="43" t="s">
        <v>22</v>
      </c>
      <c r="C34" s="43" t="str">
        <f>VLOOKUP(B34,'country codes'!$A$3:$B$287,2,0)</f>
        <v>KGZ</v>
      </c>
      <c r="D34" s="91" t="str">
        <f t="shared" si="1"/>
        <v>2013KGZ</v>
      </c>
      <c r="E34" s="43">
        <v>7</v>
      </c>
      <c r="F34" s="59">
        <f>VLOOKUP($D34,'All data'!$E$2:$M$2281,2,0)</f>
        <v>5731.3119999999999</v>
      </c>
      <c r="G34" s="59">
        <f>VLOOKUP($D34,'All data'!$E$2:$M$2281,4,0)</f>
        <v>70.3</v>
      </c>
      <c r="H34" s="60">
        <f>VLOOKUP($D34,'All data'!$E$2:$M$2281,5,0)</f>
        <v>5.4024267196655273</v>
      </c>
      <c r="I34" s="60">
        <f>VLOOKUP($D34,'All data'!$E$2:$M$2281,6,0)</f>
        <v>1.7776273741893001</v>
      </c>
      <c r="J34" s="92">
        <f>VLOOKUP($D34,'All data'!$E$2:$M$2281,7,0)</f>
        <v>49.10395033185241</v>
      </c>
      <c r="K34" s="43">
        <f>VLOOKUP($C$5,'All data'!$G$2285:$J$2299,4,0)</f>
        <v>1.64</v>
      </c>
      <c r="L34" s="93">
        <f>VLOOKUP($D34,'All data'!$E$2:$M$2281,9,0)</f>
        <v>4631.4032667059109</v>
      </c>
    </row>
    <row r="35" spans="1:12">
      <c r="A35" s="90">
        <f t="shared" si="0"/>
        <v>68</v>
      </c>
      <c r="B35" s="43" t="s">
        <v>31</v>
      </c>
      <c r="C35" s="43" t="str">
        <f>VLOOKUP(B35,'country codes'!$A$3:$B$287,2,0)</f>
        <v>SRB</v>
      </c>
      <c r="D35" s="91" t="str">
        <f t="shared" si="1"/>
        <v>2013SRB</v>
      </c>
      <c r="E35" s="43">
        <v>7</v>
      </c>
      <c r="F35" s="59">
        <f>VLOOKUP($D35,'All data'!$E$2:$M$2281,2,0)</f>
        <v>8918.8919999999998</v>
      </c>
      <c r="G35" s="59">
        <f>VLOOKUP($D35,'All data'!$E$2:$M$2281,4,0)</f>
        <v>74.900000000000006</v>
      </c>
      <c r="H35" s="60">
        <f>VLOOKUP($D35,'All data'!$E$2:$M$2281,5,0)</f>
        <v>5.1018404960632324</v>
      </c>
      <c r="I35" s="60">
        <f>VLOOKUP($D35,'All data'!$E$2:$M$2281,6,0)</f>
        <v>3.0215490681075101</v>
      </c>
      <c r="J35" s="92">
        <f>VLOOKUP($D35,'All data'!$E$2:$M$2281,7,0)</f>
        <v>43.923107800419388</v>
      </c>
      <c r="K35" s="43">
        <f>VLOOKUP($C$5,'All data'!$G$2285:$J$2299,4,0)</f>
        <v>1.64</v>
      </c>
      <c r="L35" s="93">
        <f>VLOOKUP($D35,'All data'!$E$2:$M$2281,9,0)</f>
        <v>15448.958941731442</v>
      </c>
    </row>
    <row r="36" spans="1:12">
      <c r="A36" s="90">
        <f t="shared" si="0"/>
        <v>48</v>
      </c>
      <c r="B36" s="43" t="s">
        <v>23</v>
      </c>
      <c r="C36" s="43" t="str">
        <f>VLOOKUP(B36,'country codes'!$A$3:$B$287,2,0)</f>
        <v>NPL</v>
      </c>
      <c r="D36" s="91" t="str">
        <f t="shared" si="1"/>
        <v>2013NPL</v>
      </c>
      <c r="E36" s="43">
        <v>6</v>
      </c>
      <c r="F36" s="59">
        <f>VLOOKUP($D36,'All data'!$E$2:$M$2281,2,0)</f>
        <v>26916.794999999998</v>
      </c>
      <c r="G36" s="59">
        <f>VLOOKUP($D36,'All data'!$E$2:$M$2281,4,0)</f>
        <v>68.8</v>
      </c>
      <c r="H36" s="60">
        <f>VLOOKUP($D36,'All data'!$E$2:$M$2281,5,0)</f>
        <v>4.604576587677002</v>
      </c>
      <c r="I36" s="60">
        <f>VLOOKUP($D36,'All data'!$E$2:$M$2281,6,0)</f>
        <v>0.93652776140084204</v>
      </c>
      <c r="J36" s="92">
        <f>VLOOKUP($D36,'All data'!$E$2:$M$2281,7,0)</f>
        <v>47.540477440409674</v>
      </c>
      <c r="K36" s="43">
        <f>VLOOKUP($C$5,'All data'!$G$2285:$J$2299,4,0)</f>
        <v>1.64</v>
      </c>
      <c r="L36" s="93">
        <f>VLOOKUP($D36,'All data'!$E$2:$M$2281,9,0)</f>
        <v>2668.2766507310539</v>
      </c>
    </row>
    <row r="37" spans="1:12">
      <c r="A37" s="90">
        <f t="shared" si="0"/>
        <v>13</v>
      </c>
      <c r="B37" s="43" t="s">
        <v>32</v>
      </c>
      <c r="C37" s="43" t="str">
        <f>VLOOKUP(B37,'country codes'!$A$3:$B$287,2,0)</f>
        <v>THA</v>
      </c>
      <c r="D37" s="91" t="str">
        <f t="shared" si="1"/>
        <v>2013THA</v>
      </c>
      <c r="E37" s="43">
        <v>8</v>
      </c>
      <c r="F37" s="59">
        <f>VLOOKUP($D37,'All data'!$E$2:$M$2281,2,0)</f>
        <v>68144.519</v>
      </c>
      <c r="G37" s="59">
        <f>VLOOKUP($D37,'All data'!$E$2:$M$2281,4,0)</f>
        <v>75.400000000000006</v>
      </c>
      <c r="H37" s="60">
        <f>VLOOKUP($D37,'All data'!$E$2:$M$2281,5,0)</f>
        <v>6.2310247421264648</v>
      </c>
      <c r="I37" s="60">
        <f>VLOOKUP($D37,'All data'!$E$2:$M$2281,6,0)</f>
        <v>2.5947274139282399</v>
      </c>
      <c r="J37" s="92">
        <f>VLOOKUP($D37,'All data'!$E$2:$M$2281,7,0)</f>
        <v>53.782693411310085</v>
      </c>
      <c r="K37" s="43">
        <f>VLOOKUP($C$5,'All data'!$G$2285:$J$2299,4,0)</f>
        <v>1.64</v>
      </c>
      <c r="L37" s="93">
        <f>VLOOKUP($D37,'All data'!$E$2:$M$2281,9,0)</f>
        <v>15783.030732774941</v>
      </c>
    </row>
    <row r="38" spans="1:12">
      <c r="A38" s="90">
        <f t="shared" si="0"/>
        <v>37</v>
      </c>
      <c r="B38" s="43" t="s">
        <v>40</v>
      </c>
      <c r="C38" s="43" t="str">
        <f>VLOOKUP(B38,'country codes'!$A$3:$B$287,2,0)</f>
        <v>DEU</v>
      </c>
      <c r="D38" s="91" t="str">
        <f t="shared" si="1"/>
        <v>2013DEU</v>
      </c>
      <c r="E38" s="43">
        <v>3</v>
      </c>
      <c r="F38" s="59">
        <f>VLOOKUP($D38,'All data'!$E$2:$M$2281,2,0)</f>
        <v>81174.373000000007</v>
      </c>
      <c r="G38" s="59">
        <f>VLOOKUP($D38,'All data'!$E$2:$M$2281,4,0)</f>
        <v>80.5</v>
      </c>
      <c r="H38" s="60">
        <f>VLOOKUP($D38,'All data'!$E$2:$M$2281,5,0)</f>
        <v>6.9651250839233398</v>
      </c>
      <c r="I38" s="60">
        <f>VLOOKUP($D38,'All data'!$E$2:$M$2281,6,0)</f>
        <v>5.0706804224772402</v>
      </c>
      <c r="J38" s="92">
        <f>VLOOKUP($D38,'All data'!$E$2:$M$2281,7,0)</f>
        <v>49.387058721407634</v>
      </c>
      <c r="K38" s="43">
        <f>VLOOKUP($C$5,'All data'!$G$2285:$J$2299,4,0)</f>
        <v>1.64</v>
      </c>
      <c r="L38" s="93">
        <f>VLOOKUP($D38,'All data'!$E$2:$M$2281,9,0)</f>
        <v>50039.874340678114</v>
      </c>
    </row>
    <row r="39" spans="1:12">
      <c r="A39" s="90">
        <f t="shared" si="0"/>
        <v>19</v>
      </c>
      <c r="B39" s="43" t="s">
        <v>42</v>
      </c>
      <c r="C39" s="43" t="str">
        <f>VLOOKUP(B39,'country codes'!$A$3:$B$287,2,0)</f>
        <v>ESP</v>
      </c>
      <c r="D39" s="91" t="str">
        <f t="shared" si="1"/>
        <v>2013ESP</v>
      </c>
      <c r="E39" s="43">
        <v>3</v>
      </c>
      <c r="F39" s="59">
        <f>VLOOKUP($D39,'All data'!$E$2:$M$2281,2,0)</f>
        <v>46930.553999999996</v>
      </c>
      <c r="G39" s="59">
        <f>VLOOKUP($D39,'All data'!$E$2:$M$2281,4,0)</f>
        <v>82.6</v>
      </c>
      <c r="H39" s="60">
        <f>VLOOKUP($D39,'All data'!$E$2:$M$2281,5,0)</f>
        <v>6.1500272750854492</v>
      </c>
      <c r="I39" s="60">
        <f>VLOOKUP($D39,'All data'!$E$2:$M$2281,6,0)</f>
        <v>3.9143145661494998</v>
      </c>
      <c r="J39" s="92">
        <f>VLOOKUP($D39,'All data'!$E$2:$M$2281,7,0)</f>
        <v>51.391502880900831</v>
      </c>
      <c r="K39" s="43">
        <f>VLOOKUP($C$5,'All data'!$G$2285:$J$2299,4,0)</f>
        <v>1.64</v>
      </c>
      <c r="L39" s="93">
        <f>VLOOKUP($D39,'All data'!$E$2:$M$2281,9,0)</f>
        <v>35484.689805641137</v>
      </c>
    </row>
    <row r="40" spans="1:12">
      <c r="A40" s="90">
        <f t="shared" si="0"/>
        <v>32</v>
      </c>
      <c r="B40" s="43" t="s">
        <v>44</v>
      </c>
      <c r="C40" s="43" t="str">
        <f>VLOOKUP(B40,'country codes'!$A$3:$B$287,2,0)</f>
        <v>FRA</v>
      </c>
      <c r="D40" s="91" t="str">
        <f t="shared" si="1"/>
        <v>2013FRA</v>
      </c>
      <c r="E40" s="43">
        <v>3</v>
      </c>
      <c r="F40" s="59">
        <f>VLOOKUP($D40,'All data'!$E$2:$M$2281,2,0)</f>
        <v>63893.521000000001</v>
      </c>
      <c r="G40" s="59">
        <f>VLOOKUP($D40,'All data'!$E$2:$M$2281,4,0)</f>
        <v>82</v>
      </c>
      <c r="H40" s="60">
        <f>VLOOKUP($D40,'All data'!$E$2:$M$2281,5,0)</f>
        <v>6.667121410369873</v>
      </c>
      <c r="I40" s="60">
        <f>VLOOKUP($D40,'All data'!$E$2:$M$2281,6,0)</f>
        <v>4.8013727078335604</v>
      </c>
      <c r="J40" s="92">
        <f>VLOOKUP($D40,'All data'!$E$2:$M$2281,7,0)</f>
        <v>49.903319920756481</v>
      </c>
      <c r="K40" s="43">
        <f>VLOOKUP($C$5,'All data'!$G$2285:$J$2299,4,0)</f>
        <v>1.64</v>
      </c>
      <c r="L40" s="93">
        <f>VLOOKUP($D40,'All data'!$E$2:$M$2281,9,0)</f>
        <v>42953.031126467024</v>
      </c>
    </row>
    <row r="41" spans="1:12">
      <c r="A41" s="90">
        <f t="shared" si="0"/>
        <v>58</v>
      </c>
      <c r="B41" s="43" t="s">
        <v>38</v>
      </c>
      <c r="C41" s="43" t="str">
        <f>VLOOKUP(B41,'country codes'!$A$3:$B$287,2,0)</f>
        <v>MUS</v>
      </c>
      <c r="D41" s="91" t="str">
        <f t="shared" si="1"/>
        <v>2013MUS</v>
      </c>
      <c r="E41" s="43">
        <v>5</v>
      </c>
      <c r="F41" s="59">
        <f>VLOOKUP($D41,'All data'!$E$2:$M$2281,2,0)</f>
        <v>1255.4580000000001</v>
      </c>
      <c r="G41" s="59">
        <f>VLOOKUP($D41,'All data'!$E$2:$M$2281,4,0)</f>
        <v>74.2</v>
      </c>
      <c r="H41" s="60">
        <f>VLOOKUP($D41,'All data'!$E$2:$M$2281,5,0)</f>
        <v>5.5908776919047041</v>
      </c>
      <c r="I41" s="60">
        <f>VLOOKUP($D41,'All data'!$E$2:$M$2281,6,0)</f>
        <v>3.2759141897985602</v>
      </c>
      <c r="J41" s="92">
        <f>VLOOKUP($D41,'All data'!$E$2:$M$2281,7,0)</f>
        <v>45.252249075943567</v>
      </c>
      <c r="K41" s="43">
        <f>VLOOKUP($C$5,'All data'!$G$2285:$J$2299,4,0)</f>
        <v>1.64</v>
      </c>
      <c r="L41" s="93">
        <f>VLOOKUP($D41,'All data'!$E$2:$M$2281,9,0)</f>
        <v>18579.374155189565</v>
      </c>
    </row>
    <row r="42" spans="1:12">
      <c r="A42" s="90">
        <f t="shared" ref="A42:A73" si="2">IFERROR(RANK(J42,$J$10:$J$161),"")</f>
        <v>50</v>
      </c>
      <c r="B42" s="43" t="s">
        <v>57</v>
      </c>
      <c r="C42" s="43" t="str">
        <f>VLOOKUP(B42,'country codes'!$A$3:$B$287,2,0)</f>
        <v>FIN</v>
      </c>
      <c r="D42" s="91" t="str">
        <f t="shared" ref="D42:D73" si="3">$C$5&amp;C42</f>
        <v>2013FIN</v>
      </c>
      <c r="E42" s="43">
        <v>3</v>
      </c>
      <c r="F42" s="59">
        <f>VLOOKUP($D42,'All data'!$E$2:$M$2281,2,0)</f>
        <v>5438.9840000000004</v>
      </c>
      <c r="G42" s="59">
        <f>VLOOKUP($D42,'All data'!$E$2:$M$2281,4,0)</f>
        <v>80.8</v>
      </c>
      <c r="H42" s="60">
        <f>VLOOKUP($D42,'All data'!$E$2:$M$2281,5,0)</f>
        <v>7.4446358680725098</v>
      </c>
      <c r="I42" s="60">
        <f>VLOOKUP($D42,'All data'!$E$2:$M$2281,6,0)</f>
        <v>6.2641877426493604</v>
      </c>
      <c r="J42" s="92">
        <f>VLOOKUP($D42,'All data'!$E$2:$M$2281,7,0)</f>
        <v>47.309062718513864</v>
      </c>
      <c r="K42" s="43">
        <f>VLOOKUP($C$5,'All data'!$G$2285:$J$2299,4,0)</f>
        <v>1.64</v>
      </c>
      <c r="L42" s="93">
        <f>VLOOKUP($D42,'All data'!$E$2:$M$2281,9,0)</f>
        <v>45365.183446903669</v>
      </c>
    </row>
    <row r="43" spans="1:12">
      <c r="A43" s="90">
        <f t="shared" si="2"/>
        <v>104</v>
      </c>
      <c r="B43" s="43" t="s">
        <v>28</v>
      </c>
      <c r="C43" s="43" t="str">
        <f>VLOOKUP(B43,'country codes'!$A$3:$B$287,2,0)</f>
        <v>SEN</v>
      </c>
      <c r="D43" s="91" t="str">
        <f t="shared" si="3"/>
        <v>2013SEN</v>
      </c>
      <c r="E43" s="43">
        <v>5</v>
      </c>
      <c r="F43" s="59">
        <f>VLOOKUP($D43,'All data'!$E$2:$M$2281,2,0)</f>
        <v>13782.429</v>
      </c>
      <c r="G43" s="59">
        <f>VLOOKUP($D43,'All data'!$E$2:$M$2281,4,0)</f>
        <v>65.900000000000006</v>
      </c>
      <c r="H43" s="60">
        <f>VLOOKUP($D43,'All data'!$E$2:$M$2281,5,0)</f>
        <v>3.647367000579834</v>
      </c>
      <c r="I43" s="60">
        <f>VLOOKUP($D43,'All data'!$E$2:$M$2281,6,0)</f>
        <v>1.0885249726641599</v>
      </c>
      <c r="J43" s="92">
        <f>VLOOKUP($D43,'All data'!$E$2:$M$2281,7,0)</f>
        <v>37.681008006890835</v>
      </c>
      <c r="K43" s="43">
        <f>VLOOKUP($C$5,'All data'!$G$2285:$J$2299,4,0)</f>
        <v>1.64</v>
      </c>
      <c r="L43" s="93">
        <f>VLOOKUP($D43,'All data'!$E$2:$M$2281,9,0)</f>
        <v>2766.969657949644</v>
      </c>
    </row>
    <row r="44" spans="1:12">
      <c r="A44" s="90">
        <f t="shared" si="2"/>
        <v>39</v>
      </c>
      <c r="B44" s="43" t="s">
        <v>54</v>
      </c>
      <c r="C44" s="43" t="str">
        <f>VLOOKUP(B44,'country codes'!$A$3:$B$287,2,0)</f>
        <v>IRL</v>
      </c>
      <c r="D44" s="91" t="str">
        <f t="shared" si="3"/>
        <v>2013IRL</v>
      </c>
      <c r="E44" s="43">
        <v>3</v>
      </c>
      <c r="F44" s="59">
        <f>VLOOKUP($D44,'All data'!$E$2:$M$2281,2,0)</f>
        <v>4615.4260000000004</v>
      </c>
      <c r="G44" s="59">
        <f>VLOOKUP($D44,'All data'!$E$2:$M$2281,4,0)</f>
        <v>80.8</v>
      </c>
      <c r="H44" s="60">
        <f>VLOOKUP($D44,'All data'!$E$2:$M$2281,5,0)</f>
        <v>6.7600851058959961</v>
      </c>
      <c r="I44" s="60">
        <f>VLOOKUP($D44,'All data'!$E$2:$M$2281,6,0)</f>
        <v>4.9535984575380496</v>
      </c>
      <c r="J44" s="92">
        <f>VLOOKUP($D44,'All data'!$E$2:$M$2281,7,0)</f>
        <v>48.957824902920443</v>
      </c>
      <c r="K44" s="43">
        <f>VLOOKUP($C$5,'All data'!$G$2285:$J$2299,4,0)</f>
        <v>1.64</v>
      </c>
      <c r="L44" s="93">
        <f>VLOOKUP($D44,'All data'!$E$2:$M$2281,9,0)</f>
        <v>53267.902821002339</v>
      </c>
    </row>
    <row r="45" spans="1:12">
      <c r="A45" s="90">
        <f t="shared" si="2"/>
        <v>53</v>
      </c>
      <c r="B45" s="43" t="s">
        <v>35</v>
      </c>
      <c r="C45" s="43" t="str">
        <f>VLOOKUP(B45,'country codes'!$A$3:$B$287,2,0)</f>
        <v>ALB</v>
      </c>
      <c r="D45" s="91" t="str">
        <f t="shared" si="3"/>
        <v>2013ALB</v>
      </c>
      <c r="E45" s="43">
        <v>7</v>
      </c>
      <c r="F45" s="59">
        <f>VLOOKUP($D45,'All data'!$E$2:$M$2281,2,0)</f>
        <v>2903.788</v>
      </c>
      <c r="G45" s="59">
        <f>VLOOKUP($D45,'All data'!$E$2:$M$2281,4,0)</f>
        <v>77.599999999999994</v>
      </c>
      <c r="H45" s="60">
        <f>VLOOKUP($D45,'All data'!$E$2:$M$2281,5,0)</f>
        <v>4.5506477355957031</v>
      </c>
      <c r="I45" s="60">
        <f>VLOOKUP($D45,'All data'!$E$2:$M$2281,6,0)</f>
        <v>2.1201005487864699</v>
      </c>
      <c r="J45" s="92">
        <f>VLOOKUP($D45,'All data'!$E$2:$M$2281,7,0)</f>
        <v>46.634139783316776</v>
      </c>
      <c r="K45" s="43">
        <f>VLOOKUP($C$5,'All data'!$G$2285:$J$2299,4,0)</f>
        <v>1.64</v>
      </c>
      <c r="L45" s="93">
        <f>VLOOKUP($D45,'All data'!$E$2:$M$2281,9,0)</f>
        <v>11397.576225604071</v>
      </c>
    </row>
    <row r="46" spans="1:12">
      <c r="A46" s="90">
        <f t="shared" si="2"/>
        <v>17</v>
      </c>
      <c r="B46" s="43" t="s">
        <v>36</v>
      </c>
      <c r="C46" s="43" t="str">
        <f>VLOOKUP(B46,'country codes'!$A$3:$B$287,2,0)</f>
        <v>MDA</v>
      </c>
      <c r="D46" s="91" t="str">
        <f t="shared" si="3"/>
        <v>2013MDA</v>
      </c>
      <c r="E46" s="43">
        <v>7</v>
      </c>
      <c r="F46" s="59">
        <f>VLOOKUP($D46,'All data'!$E$2:$M$2281,2,0)</f>
        <v>4074.585</v>
      </c>
      <c r="G46" s="59">
        <f>VLOOKUP($D46,'All data'!$E$2:$M$2281,4,0)</f>
        <v>71</v>
      </c>
      <c r="H46" s="60">
        <f>VLOOKUP($D46,'All data'!$E$2:$M$2281,5,0)</f>
        <v>5.7560591697692871</v>
      </c>
      <c r="I46" s="60">
        <f>VLOOKUP($D46,'All data'!$E$2:$M$2281,6,0)</f>
        <v>1.7520871709349299</v>
      </c>
      <c r="J46" s="92">
        <f>VLOOKUP($D46,'All data'!$E$2:$M$2281,7,0)</f>
        <v>52.233963554173677</v>
      </c>
      <c r="K46" s="43">
        <f>VLOOKUP($C$5,'All data'!$G$2285:$J$2299,4,0)</f>
        <v>1.64</v>
      </c>
      <c r="L46" s="93">
        <f>VLOOKUP($D46,'All data'!$E$2:$M$2281,9,0)</f>
        <v>9817.2962967111216</v>
      </c>
    </row>
    <row r="47" spans="1:12">
      <c r="A47" s="90">
        <f t="shared" si="2"/>
        <v>40</v>
      </c>
      <c r="B47" s="43" t="s">
        <v>59</v>
      </c>
      <c r="C47" s="43" t="str">
        <f>VLOOKUP(B47,'country codes'!$A$3:$B$287,2,0)</f>
        <v>NOR</v>
      </c>
      <c r="D47" s="91" t="str">
        <f t="shared" si="3"/>
        <v>2013NOR</v>
      </c>
      <c r="E47" s="43">
        <v>3</v>
      </c>
      <c r="F47" s="59">
        <f>VLOOKUP($D47,'All data'!$E$2:$M$2281,2,0)</f>
        <v>5079.46</v>
      </c>
      <c r="G47" s="59">
        <f>VLOOKUP($D47,'All data'!$E$2:$M$2281,4,0)</f>
        <v>81.7</v>
      </c>
      <c r="H47" s="60">
        <f>VLOOKUP($D47,'All data'!$E$2:$M$2281,5,0)</f>
        <v>7.5613739490509033</v>
      </c>
      <c r="I47" s="60">
        <f>VLOOKUP($D47,'All data'!$E$2:$M$2281,6,0)</f>
        <v>6.1420082133689204</v>
      </c>
      <c r="J47" s="92">
        <f>VLOOKUP($D47,'All data'!$E$2:$M$2281,7,0)</f>
        <v>48.94937498497606</v>
      </c>
      <c r="K47" s="43">
        <f>VLOOKUP($C$5,'All data'!$G$2285:$J$2299,4,0)</f>
        <v>1.64</v>
      </c>
      <c r="L47" s="93">
        <f>VLOOKUP($D47,'All data'!$E$2:$M$2281,9,0)</f>
        <v>62076.586037839057</v>
      </c>
    </row>
    <row r="48" spans="1:12">
      <c r="A48" s="90">
        <f t="shared" si="2"/>
        <v>18</v>
      </c>
      <c r="B48" s="43" t="s">
        <v>33</v>
      </c>
      <c r="C48" s="43" t="str">
        <f>VLOOKUP(B48,'country codes'!$A$3:$B$287,2,0)</f>
        <v>MAR</v>
      </c>
      <c r="D48" s="91" t="str">
        <f t="shared" si="3"/>
        <v>2013MAR</v>
      </c>
      <c r="E48" s="43">
        <v>4</v>
      </c>
      <c r="F48" s="59">
        <f>VLOOKUP($D48,'All data'!$E$2:$M$2281,2,0)</f>
        <v>33715.705000000002</v>
      </c>
      <c r="G48" s="59">
        <f>VLOOKUP($D48,'All data'!$E$2:$M$2281,4,0)</f>
        <v>75.2</v>
      </c>
      <c r="H48" s="60">
        <f>VLOOKUP($D48,'All data'!$E$2:$M$2281,5,0)</f>
        <v>5.1421604156494141</v>
      </c>
      <c r="I48" s="60">
        <f>VLOOKUP($D48,'All data'!$E$2:$M$2281,6,0)</f>
        <v>1.6985963757637801</v>
      </c>
      <c r="J48" s="92">
        <f>VLOOKUP($D48,'All data'!$E$2:$M$2281,7,0)</f>
        <v>51.637142450188392</v>
      </c>
      <c r="K48" s="43">
        <f>VLOOKUP($C$5,'All data'!$G$2285:$J$2299,4,0)</f>
        <v>1.64</v>
      </c>
      <c r="L48" s="93">
        <f>VLOOKUP($D48,'All data'!$E$2:$M$2281,9,0)</f>
        <v>6831.1148066259702</v>
      </c>
    </row>
    <row r="49" spans="1:12">
      <c r="A49" s="90">
        <f t="shared" si="2"/>
        <v>46</v>
      </c>
      <c r="B49" s="43" t="s">
        <v>52</v>
      </c>
      <c r="C49" s="43" t="str">
        <f>VLOOKUP(B49,'country codes'!$A$3:$B$287,2,0)</f>
        <v>ITA</v>
      </c>
      <c r="D49" s="91" t="str">
        <f t="shared" si="3"/>
        <v>2013ITA</v>
      </c>
      <c r="E49" s="43">
        <v>3</v>
      </c>
      <c r="F49" s="59">
        <f>VLOOKUP($D49,'All data'!$E$2:$M$2281,2,0)</f>
        <v>60166.828000000001</v>
      </c>
      <c r="G49" s="59">
        <f>VLOOKUP($D49,'All data'!$E$2:$M$2281,4,0)</f>
        <v>82.5</v>
      </c>
      <c r="H49" s="60">
        <f>VLOOKUP($D49,'All data'!$E$2:$M$2281,5,0)</f>
        <v>6.009373664855957</v>
      </c>
      <c r="I49" s="60">
        <f>VLOOKUP($D49,'All data'!$E$2:$M$2281,6,0)</f>
        <v>4.3431621699015697</v>
      </c>
      <c r="J49" s="92">
        <f>VLOOKUP($D49,'All data'!$E$2:$M$2281,7,0)</f>
        <v>48.424451616327019</v>
      </c>
      <c r="K49" s="43">
        <f>VLOOKUP($C$5,'All data'!$G$2285:$J$2299,4,0)</f>
        <v>1.64</v>
      </c>
      <c r="L49" s="93">
        <f>VLOOKUP($D49,'All data'!$E$2:$M$2281,9,0)</f>
        <v>40396.699243067822</v>
      </c>
    </row>
    <row r="50" spans="1:12">
      <c r="A50" s="90">
        <f t="shared" si="2"/>
        <v>41</v>
      </c>
      <c r="B50" s="43" t="s">
        <v>62</v>
      </c>
      <c r="C50" s="43" t="str">
        <f>VLOOKUP(B50,'country codes'!$A$3:$B$287,2,0)</f>
        <v>SWE</v>
      </c>
      <c r="D50" s="91" t="str">
        <f t="shared" si="3"/>
        <v>2013SWE</v>
      </c>
      <c r="E50" s="43">
        <v>3</v>
      </c>
      <c r="F50" s="59">
        <f>VLOOKUP($D50,'All data'!$E$2:$M$2281,2,0)</f>
        <v>9618.0159999999996</v>
      </c>
      <c r="G50" s="59">
        <f>VLOOKUP($D50,'All data'!$E$2:$M$2281,4,0)</f>
        <v>82</v>
      </c>
      <c r="H50" s="60">
        <f>VLOOKUP($D50,'All data'!$E$2:$M$2281,5,0)</f>
        <v>7.4340105056762695</v>
      </c>
      <c r="I50" s="60">
        <f>VLOOKUP($D50,'All data'!$E$2:$M$2281,6,0)</f>
        <v>6.026325095821</v>
      </c>
      <c r="J50" s="92">
        <f>VLOOKUP($D50,'All data'!$E$2:$M$2281,7,0)</f>
        <v>48.945125616471728</v>
      </c>
      <c r="K50" s="43">
        <f>VLOOKUP($C$5,'All data'!$G$2285:$J$2299,4,0)</f>
        <v>1.64</v>
      </c>
      <c r="L50" s="93">
        <f>VLOOKUP($D50,'All data'!$E$2:$M$2281,9,0)</f>
        <v>48616.90926065002</v>
      </c>
    </row>
    <row r="51" spans="1:12">
      <c r="A51" s="90">
        <f t="shared" si="2"/>
        <v>9</v>
      </c>
      <c r="B51" s="43" t="s">
        <v>30</v>
      </c>
      <c r="C51" s="43" t="str">
        <f>VLOOKUP(B51,'country codes'!$A$3:$B$287,2,0)</f>
        <v>PSE</v>
      </c>
      <c r="D51" s="91" t="str">
        <f t="shared" si="3"/>
        <v>2013PSE</v>
      </c>
      <c r="E51" s="43">
        <v>4</v>
      </c>
      <c r="F51" s="59">
        <f>VLOOKUP($D51,'All data'!$E$2:$M$2281,2,0)</f>
        <v>4333.5209999999997</v>
      </c>
      <c r="G51" s="59">
        <f>VLOOKUP($D51,'All data'!$E$2:$M$2281,4,0)</f>
        <v>73.2</v>
      </c>
      <c r="H51" s="60">
        <f>VLOOKUP($D51,'All data'!$E$2:$M$2281,5,0)</f>
        <v>4.8440279960632324</v>
      </c>
      <c r="I51" s="60">
        <f>VLOOKUP($D51,'All data'!$E$2:$M$2281,6,0)</f>
        <v>0.58929721725495499</v>
      </c>
      <c r="J51" s="92">
        <f>VLOOKUP($D51,'All data'!$E$2:$M$2281,7,0)</f>
        <v>55.589882026279305</v>
      </c>
      <c r="K51" s="43">
        <f>VLOOKUP($C$5,'All data'!$G$2285:$J$2299,4,0)</f>
        <v>1.64</v>
      </c>
      <c r="L51" s="93">
        <f>VLOOKUP($D51,'All data'!$E$2:$M$2281,9,0)</f>
        <v>6118.2571813564837</v>
      </c>
    </row>
    <row r="52" spans="1:12">
      <c r="A52" s="90">
        <f t="shared" si="2"/>
        <v>22</v>
      </c>
      <c r="B52" s="43" t="s">
        <v>45</v>
      </c>
      <c r="C52" s="43" t="str">
        <f>VLOOKUP(B52,'country codes'!$A$3:$B$287,2,0)</f>
        <v>ARG</v>
      </c>
      <c r="D52" s="91" t="str">
        <f t="shared" si="3"/>
        <v>2013ARG</v>
      </c>
      <c r="E52" s="43">
        <v>1</v>
      </c>
      <c r="F52" s="59">
        <f>VLOOKUP($D52,'All data'!$E$2:$M$2281,2,0)</f>
        <v>42196.034</v>
      </c>
      <c r="G52" s="59">
        <f>VLOOKUP($D52,'All data'!$E$2:$M$2281,4,0)</f>
        <v>75.8</v>
      </c>
      <c r="H52" s="60">
        <f>VLOOKUP($D52,'All data'!$E$2:$M$2281,5,0)</f>
        <v>6.5822601318359375</v>
      </c>
      <c r="I52" s="60">
        <f>VLOOKUP($D52,'All data'!$E$2:$M$2281,6,0)</f>
        <v>3.5457262777020802</v>
      </c>
      <c r="J52" s="92">
        <f>VLOOKUP($D52,'All data'!$E$2:$M$2281,7,0)</f>
        <v>51.020188965053158</v>
      </c>
      <c r="K52" s="43">
        <f>VLOOKUP($C$5,'All data'!$G$2285:$J$2299,4,0)</f>
        <v>1.64</v>
      </c>
      <c r="L52" s="93">
        <f>VLOOKUP($D52,'All data'!$E$2:$M$2281,9,0)</f>
        <v>24424.136447787139</v>
      </c>
    </row>
    <row r="53" spans="1:12">
      <c r="A53" s="90">
        <f t="shared" si="2"/>
        <v>34</v>
      </c>
      <c r="B53" s="43" t="s">
        <v>37</v>
      </c>
      <c r="C53" s="43" t="str">
        <f>VLOOKUP(B53,'country codes'!$A$3:$B$287,2,0)</f>
        <v>IDN</v>
      </c>
      <c r="D53" s="91" t="str">
        <f t="shared" si="3"/>
        <v>2013IDN</v>
      </c>
      <c r="E53" s="43">
        <v>8</v>
      </c>
      <c r="F53" s="59">
        <f>VLOOKUP($D53,'All data'!$E$2:$M$2281,2,0)</f>
        <v>251805.31400000001</v>
      </c>
      <c r="G53" s="59">
        <f>VLOOKUP($D53,'All data'!$E$2:$M$2281,4,0)</f>
        <v>70.2</v>
      </c>
      <c r="H53" s="60">
        <f>VLOOKUP($D53,'All data'!$E$2:$M$2281,5,0)</f>
        <v>5.2922377586364746</v>
      </c>
      <c r="I53" s="60">
        <f>VLOOKUP($D53,'All data'!$E$2:$M$2281,6,0)</f>
        <v>1.52848294853199</v>
      </c>
      <c r="J53" s="92">
        <f>VLOOKUP($D53,'All data'!$E$2:$M$2281,7,0)</f>
        <v>49.802171566467557</v>
      </c>
      <c r="K53" s="43">
        <f>VLOOKUP($C$5,'All data'!$G$2285:$J$2299,4,0)</f>
        <v>1.64</v>
      </c>
      <c r="L53" s="93">
        <f>VLOOKUP($D53,'All data'!$E$2:$M$2281,9,0)</f>
        <v>9456.9776792786906</v>
      </c>
    </row>
    <row r="54" spans="1:12">
      <c r="A54" s="90">
        <f t="shared" si="2"/>
        <v>45</v>
      </c>
      <c r="B54" s="43" t="s">
        <v>58</v>
      </c>
      <c r="C54" s="43" t="str">
        <f>VLOOKUP(B54,'country codes'!$A$3:$B$287,2,0)</f>
        <v>CYP</v>
      </c>
      <c r="D54" s="91" t="str">
        <f t="shared" si="3"/>
        <v>2013CYP</v>
      </c>
      <c r="E54" s="43">
        <v>3</v>
      </c>
      <c r="F54" s="59">
        <f>VLOOKUP($D54,'All data'!$E$2:$M$2281,2,0)</f>
        <v>1143.866</v>
      </c>
      <c r="G54" s="59">
        <f>VLOOKUP($D54,'All data'!$E$2:$M$2281,4,0)</f>
        <v>80</v>
      </c>
      <c r="H54" s="60">
        <f>VLOOKUP($D54,'All data'!$E$2:$M$2281,5,0)</f>
        <v>5.4389524459838867</v>
      </c>
      <c r="I54" s="60">
        <f>VLOOKUP($D54,'All data'!$E$2:$M$2281,6,0)</f>
        <v>3.2379888806925501</v>
      </c>
      <c r="J54" s="92">
        <f>VLOOKUP($D54,'All data'!$E$2:$M$2281,7,0)</f>
        <v>48.456987913964454</v>
      </c>
      <c r="K54" s="43">
        <f>VLOOKUP($C$5,'All data'!$G$2285:$J$2299,4,0)</f>
        <v>1.64</v>
      </c>
      <c r="L54" s="93">
        <f>VLOOKUP($D54,'All data'!$E$2:$M$2281,9,0)</f>
        <v>33323.706536691498</v>
      </c>
    </row>
    <row r="55" spans="1:12">
      <c r="A55" s="90">
        <f t="shared" si="2"/>
        <v>35</v>
      </c>
      <c r="B55" s="43" t="s">
        <v>39</v>
      </c>
      <c r="C55" s="43" t="str">
        <f>VLOOKUP(B55,'country codes'!$A$3:$B$287,2,0)</f>
        <v>VEN</v>
      </c>
      <c r="D55" s="91" t="str">
        <f t="shared" si="3"/>
        <v>2013VEN</v>
      </c>
      <c r="E55" s="43">
        <v>1</v>
      </c>
      <c r="F55" s="59">
        <f>VLOOKUP($D55,'All data'!$E$2:$M$2281,2,0)</f>
        <v>29781.045999999998</v>
      </c>
      <c r="G55" s="59">
        <f>VLOOKUP($D55,'All data'!$E$2:$M$2281,4,0)</f>
        <v>72.900000000000006</v>
      </c>
      <c r="H55" s="60">
        <f>VLOOKUP($D55,'All data'!$E$2:$M$2281,5,0)</f>
        <v>6.5527963638305664</v>
      </c>
      <c r="I55" s="60">
        <f>VLOOKUP($D55,'All data'!$E$2:$M$2281,6,0)</f>
        <v>3.3678543794917499</v>
      </c>
      <c r="J55" s="92">
        <f>VLOOKUP($D55,'All data'!$E$2:$M$2281,7,0)</f>
        <v>49.566536323351791</v>
      </c>
      <c r="K55" s="43">
        <f>VLOOKUP($C$5,'All data'!$G$2285:$J$2299,4,0)</f>
        <v>1.64</v>
      </c>
      <c r="L55" s="93" t="str">
        <f>VLOOKUP($D55,'All data'!$E$2:$M$2281,9,0)</f>
        <v>..</v>
      </c>
    </row>
    <row r="56" spans="1:12">
      <c r="A56" s="90">
        <f t="shared" si="2"/>
        <v>87</v>
      </c>
      <c r="B56" s="43" t="s">
        <v>64</v>
      </c>
      <c r="C56" s="43" t="str">
        <f>VLOOKUP(B56,'country codes'!$A$3:$B$287,2,0)</f>
        <v>GRC</v>
      </c>
      <c r="D56" s="91" t="str">
        <f t="shared" si="3"/>
        <v>2013GRC</v>
      </c>
      <c r="E56" s="43">
        <v>3</v>
      </c>
      <c r="F56" s="59">
        <f>VLOOKUP($D56,'All data'!$E$2:$M$2281,2,0)</f>
        <v>10740.501</v>
      </c>
      <c r="G56" s="59">
        <f>VLOOKUP($D56,'All data'!$E$2:$M$2281,4,0)</f>
        <v>81.2</v>
      </c>
      <c r="H56" s="60">
        <f>VLOOKUP($D56,'All data'!$E$2:$M$2281,5,0)</f>
        <v>4.7202510833740234</v>
      </c>
      <c r="I56" s="60">
        <f>VLOOKUP($D56,'All data'!$E$2:$M$2281,6,0)</f>
        <v>3.97839031347345</v>
      </c>
      <c r="J56" s="92">
        <f>VLOOKUP($D56,'All data'!$E$2:$M$2281,7,0)</f>
        <v>41.344559592582605</v>
      </c>
      <c r="K56" s="43">
        <f>VLOOKUP($C$5,'All data'!$G$2285:$J$2299,4,0)</f>
        <v>1.64</v>
      </c>
      <c r="L56" s="93">
        <f>VLOOKUP($D56,'All data'!$E$2:$M$2281,9,0)</f>
        <v>28217.113604405127</v>
      </c>
    </row>
    <row r="57" spans="1:12">
      <c r="A57" s="90">
        <f t="shared" si="2"/>
        <v>29</v>
      </c>
      <c r="B57" s="43" t="s">
        <v>50</v>
      </c>
      <c r="C57" s="43" t="str">
        <f>VLOOKUP(B57,'country codes'!$A$3:$B$287,2,0)</f>
        <v>VNM</v>
      </c>
      <c r="D57" s="91" t="str">
        <f t="shared" si="3"/>
        <v>2013VNM</v>
      </c>
      <c r="E57" s="43">
        <v>8</v>
      </c>
      <c r="F57" s="59">
        <f>VLOOKUP($D57,'All data'!$E$2:$M$2281,2,0)</f>
        <v>90752.592999999993</v>
      </c>
      <c r="G57" s="59">
        <f>VLOOKUP($D57,'All data'!$E$2:$M$2281,4,0)</f>
        <v>75</v>
      </c>
      <c r="H57" s="60">
        <f>VLOOKUP($D57,'All data'!$E$2:$M$2281,5,0)</f>
        <v>5.0226988792419434</v>
      </c>
      <c r="I57" s="60">
        <f>VLOOKUP($D57,'All data'!$E$2:$M$2281,6,0)</f>
        <v>1.7651744575922399</v>
      </c>
      <c r="J57" s="92">
        <f>VLOOKUP($D57,'All data'!$E$2:$M$2281,7,0)</f>
        <v>50.199946068086142</v>
      </c>
      <c r="K57" s="43">
        <f>VLOOKUP($C$5,'All data'!$G$2285:$J$2299,4,0)</f>
        <v>1.64</v>
      </c>
      <c r="L57" s="93">
        <f>VLOOKUP($D57,'All data'!$E$2:$M$2281,9,0)</f>
        <v>5815.1189201402631</v>
      </c>
    </row>
    <row r="58" spans="1:12">
      <c r="A58" s="90">
        <f t="shared" si="2"/>
        <v>27</v>
      </c>
      <c r="B58" s="43" t="s">
        <v>74</v>
      </c>
      <c r="C58" s="43" t="str">
        <f>VLOOKUP(B58,'country codes'!$A$3:$B$287,2,0)</f>
        <v>ISR</v>
      </c>
      <c r="D58" s="91" t="str">
        <f t="shared" si="3"/>
        <v>2013ISR</v>
      </c>
      <c r="E58" s="43">
        <v>4</v>
      </c>
      <c r="F58" s="59">
        <f>VLOOKUP($D58,'All data'!$E$2:$M$2281,2,0)</f>
        <v>7734.8339999999998</v>
      </c>
      <c r="G58" s="59">
        <f>VLOOKUP($D58,'All data'!$E$2:$M$2281,4,0)</f>
        <v>82</v>
      </c>
      <c r="H58" s="60">
        <f>VLOOKUP($D58,'All data'!$E$2:$M$2281,5,0)</f>
        <v>7.3205633163452148</v>
      </c>
      <c r="I58" s="60">
        <f>VLOOKUP($D58,'All data'!$E$2:$M$2281,6,0)</f>
        <v>5.5635340036616503</v>
      </c>
      <c r="J58" s="92">
        <f>VLOOKUP($D58,'All data'!$E$2:$M$2281,7,0)</f>
        <v>50.231172776125582</v>
      </c>
      <c r="K58" s="43">
        <f>VLOOKUP($C$5,'All data'!$G$2285:$J$2299,4,0)</f>
        <v>1.64</v>
      </c>
      <c r="L58" s="93">
        <f>VLOOKUP($D58,'All data'!$E$2:$M$2281,9,0)</f>
        <v>36922.005564726744</v>
      </c>
    </row>
    <row r="59" spans="1:12">
      <c r="A59" s="90">
        <f t="shared" si="2"/>
        <v>47</v>
      </c>
      <c r="B59" s="43" t="s">
        <v>46</v>
      </c>
      <c r="C59" s="43" t="str">
        <f>VLOOKUP(B59,'country codes'!$A$3:$B$287,2,0)</f>
        <v>AZE</v>
      </c>
      <c r="D59" s="91" t="str">
        <f t="shared" si="3"/>
        <v>2013AZE</v>
      </c>
      <c r="E59" s="43">
        <v>7</v>
      </c>
      <c r="F59" s="59">
        <f>VLOOKUP($D59,'All data'!$E$2:$M$2281,2,0)</f>
        <v>9385.4670000000006</v>
      </c>
      <c r="G59" s="59">
        <f>VLOOKUP($D59,'All data'!$E$2:$M$2281,4,0)</f>
        <v>71.8</v>
      </c>
      <c r="H59" s="60">
        <f>VLOOKUP($D59,'All data'!$E$2:$M$2281,5,0)</f>
        <v>5.4811782836914063</v>
      </c>
      <c r="I59" s="60">
        <f>VLOOKUP($D59,'All data'!$E$2:$M$2281,6,0)</f>
        <v>2.2615179354750801</v>
      </c>
      <c r="J59" s="92">
        <f>VLOOKUP($D59,'All data'!$E$2:$M$2281,7,0)</f>
        <v>47.998287715715918</v>
      </c>
      <c r="K59" s="43">
        <f>VLOOKUP($C$5,'All data'!$G$2285:$J$2299,4,0)</f>
        <v>1.64</v>
      </c>
      <c r="L59" s="93">
        <f>VLOOKUP($D59,'All data'!$E$2:$M$2281,9,0)</f>
        <v>14652.704245717894</v>
      </c>
    </row>
    <row r="60" spans="1:12">
      <c r="A60" s="90">
        <f t="shared" si="2"/>
        <v>102</v>
      </c>
      <c r="B60" s="43" t="s">
        <v>41</v>
      </c>
      <c r="C60" s="43" t="str">
        <f>VLOOKUP(B60,'country codes'!$A$3:$B$287,2,0)</f>
        <v>KHM</v>
      </c>
      <c r="D60" s="91" t="str">
        <f t="shared" si="3"/>
        <v>2013KHM</v>
      </c>
      <c r="E60" s="43">
        <v>8</v>
      </c>
      <c r="F60" s="59">
        <f>VLOOKUP($D60,'All data'!$E$2:$M$2281,2,0)</f>
        <v>15026.33</v>
      </c>
      <c r="G60" s="59">
        <f>VLOOKUP($D60,'All data'!$E$2:$M$2281,4,0)</f>
        <v>67.900000000000006</v>
      </c>
      <c r="H60" s="60">
        <f>VLOOKUP($D60,'All data'!$E$2:$M$2281,5,0)</f>
        <v>3.6744668483734131</v>
      </c>
      <c r="I60" s="60">
        <f>VLOOKUP($D60,'All data'!$E$2:$M$2281,6,0)</f>
        <v>1.26158990274405</v>
      </c>
      <c r="J60" s="92">
        <f>VLOOKUP($D60,'All data'!$E$2:$M$2281,7,0)</f>
        <v>38.361095174316567</v>
      </c>
      <c r="K60" s="43">
        <f>VLOOKUP($C$5,'All data'!$G$2285:$J$2299,4,0)</f>
        <v>1.64</v>
      </c>
      <c r="L60" s="93">
        <f>VLOOKUP($D60,'All data'!$E$2:$M$2281,9,0)</f>
        <v>3191.8613197065392</v>
      </c>
    </row>
    <row r="61" spans="1:12">
      <c r="A61" s="90" t="str">
        <f t="shared" si="2"/>
        <v/>
      </c>
      <c r="B61" s="43" t="s">
        <v>81</v>
      </c>
      <c r="C61" s="43" t="str">
        <f>VLOOKUP(B61,'country codes'!$A$3:$B$287,2,0)</f>
        <v>ISL</v>
      </c>
      <c r="D61" s="91" t="str">
        <f t="shared" si="3"/>
        <v>2013ISL</v>
      </c>
      <c r="E61" s="43">
        <v>3</v>
      </c>
      <c r="F61" s="59">
        <f>VLOOKUP($D61,'All data'!$E$2:$M$2281,2,0)</f>
        <v>327.19400000000002</v>
      </c>
      <c r="G61" s="59">
        <f>VLOOKUP($D61,'All data'!$E$2:$M$2281,4,0)</f>
        <v>82.2</v>
      </c>
      <c r="H61" s="60">
        <f>VLOOKUP($D61,'All data'!$E$2:$M$2281,5,0)</f>
        <v>7.5013942718505859</v>
      </c>
      <c r="I61" s="60" t="str">
        <f>VLOOKUP($D61,'All data'!$E$2:$M$2281,6,0)</f>
        <v/>
      </c>
      <c r="J61" s="92" t="str">
        <f>VLOOKUP($D61,'All data'!$E$2:$M$2281,7,0)</f>
        <v/>
      </c>
      <c r="K61" s="43">
        <f>VLOOKUP($C$5,'All data'!$G$2285:$J$2299,4,0)</f>
        <v>1.64</v>
      </c>
      <c r="L61" s="93">
        <f>VLOOKUP($D61,'All data'!$E$2:$M$2281,9,0)</f>
        <v>49183.313021823313</v>
      </c>
    </row>
    <row r="62" spans="1:12">
      <c r="A62" s="90">
        <f t="shared" si="2"/>
        <v>54</v>
      </c>
      <c r="B62" s="43" t="s">
        <v>67</v>
      </c>
      <c r="C62" s="43" t="str">
        <f>VLOOKUP(B62,'country codes'!$A$3:$B$287,2,0)</f>
        <v>SVN</v>
      </c>
      <c r="D62" s="91" t="str">
        <f t="shared" si="3"/>
        <v>2013SVN</v>
      </c>
      <c r="E62" s="43">
        <v>7</v>
      </c>
      <c r="F62" s="59">
        <f>VLOOKUP($D62,'All data'!$E$2:$M$2281,2,0)</f>
        <v>2063.12</v>
      </c>
      <c r="G62" s="59">
        <f>VLOOKUP($D62,'All data'!$E$2:$M$2281,4,0)</f>
        <v>80.3</v>
      </c>
      <c r="H62" s="60">
        <f>VLOOKUP($D62,'All data'!$E$2:$M$2281,5,0)</f>
        <v>5.974888801574707</v>
      </c>
      <c r="I62" s="60">
        <f>VLOOKUP($D62,'All data'!$E$2:$M$2281,6,0)</f>
        <v>4.5742509142716896</v>
      </c>
      <c r="J62" s="92">
        <f>VLOOKUP($D62,'All data'!$E$2:$M$2281,7,0)</f>
        <v>45.802574058790277</v>
      </c>
      <c r="K62" s="43">
        <f>VLOOKUP($C$5,'All data'!$G$2285:$J$2299,4,0)</f>
        <v>1.64</v>
      </c>
      <c r="L62" s="93">
        <f>VLOOKUP($D62,'All data'!$E$2:$M$2281,9,0)</f>
        <v>32341.984606412494</v>
      </c>
    </row>
    <row r="63" spans="1:12">
      <c r="A63" s="90">
        <f t="shared" si="2"/>
        <v>70</v>
      </c>
      <c r="B63" s="43" t="s">
        <v>66</v>
      </c>
      <c r="C63" s="43" t="str">
        <f>VLOOKUP(B63,'country codes'!$A$3:$B$287,2,0)</f>
        <v>BIH</v>
      </c>
      <c r="D63" s="91" t="str">
        <f t="shared" si="3"/>
        <v>2013BIH</v>
      </c>
      <c r="E63" s="43">
        <v>7</v>
      </c>
      <c r="F63" s="59">
        <f>VLOOKUP($D63,'All data'!$E$2:$M$2281,2,0)</f>
        <v>3542.598</v>
      </c>
      <c r="G63" s="59">
        <f>VLOOKUP($D63,'All data'!$E$2:$M$2281,4,0)</f>
        <v>76.599999999999994</v>
      </c>
      <c r="H63" s="60">
        <f>VLOOKUP($D63,'All data'!$E$2:$M$2281,5,0)</f>
        <v>5.123664379119873</v>
      </c>
      <c r="I63" s="60">
        <f>VLOOKUP($D63,'All data'!$E$2:$M$2281,6,0)</f>
        <v>3.32498097777568</v>
      </c>
      <c r="J63" s="92">
        <f>VLOOKUP($D63,'All data'!$E$2:$M$2281,7,0)</f>
        <v>43.784767633870388</v>
      </c>
      <c r="K63" s="43">
        <f>VLOOKUP($C$5,'All data'!$G$2285:$J$2299,4,0)</f>
        <v>1.64</v>
      </c>
      <c r="L63" s="93">
        <f>VLOOKUP($D63,'All data'!$E$2:$M$2281,9,0)</f>
        <v>11762.677735904377</v>
      </c>
    </row>
    <row r="64" spans="1:12">
      <c r="A64" s="90">
        <f t="shared" si="2"/>
        <v>55</v>
      </c>
      <c r="B64" s="43" t="s">
        <v>61</v>
      </c>
      <c r="C64" s="43" t="str">
        <f>VLOOKUP(B64,'country codes'!$A$3:$B$287,2,0)</f>
        <v>PRY</v>
      </c>
      <c r="D64" s="91" t="str">
        <f t="shared" si="3"/>
        <v>2013PRY</v>
      </c>
      <c r="E64" s="43">
        <v>1</v>
      </c>
      <c r="F64" s="59">
        <f>VLOOKUP($D64,'All data'!$E$2:$M$2281,2,0)</f>
        <v>6510.2730000000001</v>
      </c>
      <c r="G64" s="59">
        <f>VLOOKUP($D64,'All data'!$E$2:$M$2281,4,0)</f>
        <v>73.3</v>
      </c>
      <c r="H64" s="60">
        <f>VLOOKUP($D64,'All data'!$E$2:$M$2281,5,0)</f>
        <v>5.9362406730651855</v>
      </c>
      <c r="I64" s="60">
        <f>VLOOKUP($D64,'All data'!$E$2:$M$2281,6,0)</f>
        <v>3.4742835255170101</v>
      </c>
      <c r="J64" s="92">
        <f>VLOOKUP($D64,'All data'!$E$2:$M$2281,7,0)</f>
        <v>45.743859307919628</v>
      </c>
      <c r="K64" s="43">
        <f>VLOOKUP($C$5,'All data'!$G$2285:$J$2299,4,0)</f>
        <v>1.64</v>
      </c>
      <c r="L64" s="93">
        <f>VLOOKUP($D64,'All data'!$E$2:$M$2281,9,0)</f>
        <v>11225.90628353377</v>
      </c>
    </row>
    <row r="65" spans="1:12">
      <c r="A65" s="90">
        <f t="shared" si="2"/>
        <v>110</v>
      </c>
      <c r="B65" s="43" t="s">
        <v>43</v>
      </c>
      <c r="C65" s="43" t="str">
        <f>VLOOKUP(B65,'country codes'!$A$3:$B$287,2,0)</f>
        <v>COG</v>
      </c>
      <c r="D65" s="91" t="str">
        <f t="shared" si="3"/>
        <v>2013COG</v>
      </c>
      <c r="E65" s="43">
        <v>5</v>
      </c>
      <c r="F65" s="59">
        <f>VLOOKUP($D65,'All data'!$E$2:$M$2281,2,0)</f>
        <v>4622.7569999999996</v>
      </c>
      <c r="G65" s="59">
        <f>VLOOKUP($D65,'All data'!$E$2:$M$2281,4,0)</f>
        <v>62</v>
      </c>
      <c r="H65" s="60">
        <f>VLOOKUP($D65,'All data'!$E$2:$M$2281,5,0)</f>
        <v>3.9549505710601807</v>
      </c>
      <c r="I65" s="60">
        <f>VLOOKUP($D65,'All data'!$E$2:$M$2281,6,0)</f>
        <v>1.2097384460101901</v>
      </c>
      <c r="J65" s="92">
        <f>VLOOKUP($D65,'All data'!$E$2:$M$2281,7,0)</f>
        <v>36.40587038420054</v>
      </c>
      <c r="K65" s="43">
        <f>VLOOKUP($C$5,'All data'!$G$2285:$J$2299,4,0)</f>
        <v>1.64</v>
      </c>
      <c r="L65" s="93">
        <f>VLOOKUP($D65,'All data'!$E$2:$M$2281,9,0)</f>
        <v>5381.2571891308917</v>
      </c>
    </row>
    <row r="66" spans="1:12">
      <c r="A66" s="90">
        <f t="shared" si="2"/>
        <v>51</v>
      </c>
      <c r="B66" s="43" t="s">
        <v>75</v>
      </c>
      <c r="C66" s="43" t="str">
        <f>VLOOKUP(B66,'country codes'!$A$3:$B$287,2,0)</f>
        <v>JPN</v>
      </c>
      <c r="D66" s="91" t="str">
        <f t="shared" si="3"/>
        <v>2013JPN</v>
      </c>
      <c r="E66" s="43">
        <v>8</v>
      </c>
      <c r="F66" s="59">
        <f>VLOOKUP($D66,'All data'!$E$2:$M$2281,2,0)</f>
        <v>128314.189</v>
      </c>
      <c r="G66" s="59">
        <f>VLOOKUP($D66,'All data'!$E$2:$M$2281,4,0)</f>
        <v>83.5</v>
      </c>
      <c r="H66" s="60">
        <f>VLOOKUP($D66,'All data'!$E$2:$M$2281,5,0)</f>
        <v>5.9593615531921387</v>
      </c>
      <c r="I66" s="60">
        <f>VLOOKUP($D66,'All data'!$E$2:$M$2281,6,0)</f>
        <v>4.7781980718149004</v>
      </c>
      <c r="J66" s="92">
        <f>VLOOKUP($D66,'All data'!$E$2:$M$2281,7,0)</f>
        <v>46.870774545200412</v>
      </c>
      <c r="K66" s="43">
        <f>VLOOKUP($C$5,'All data'!$G$2285:$J$2299,4,0)</f>
        <v>1.64</v>
      </c>
      <c r="L66" s="93">
        <f>VLOOKUP($D66,'All data'!$E$2:$M$2281,9,0)</f>
        <v>39177.861229546892</v>
      </c>
    </row>
    <row r="67" spans="1:12">
      <c r="A67" s="90">
        <f t="shared" si="2"/>
        <v>60</v>
      </c>
      <c r="B67" s="43" t="s">
        <v>83</v>
      </c>
      <c r="C67" s="43" t="str">
        <f>VLOOKUP(B67,'country codes'!$A$3:$B$287,2,0)</f>
        <v>CZE</v>
      </c>
      <c r="D67" s="91" t="str">
        <f t="shared" si="3"/>
        <v>2013CZE</v>
      </c>
      <c r="E67" s="43">
        <v>7</v>
      </c>
      <c r="F67" s="59">
        <f>VLOOKUP($D67,'All data'!$E$2:$M$2281,2,0)</f>
        <v>10586.529</v>
      </c>
      <c r="G67" s="59">
        <f>VLOOKUP($D67,'All data'!$E$2:$M$2281,4,0)</f>
        <v>78.3</v>
      </c>
      <c r="H67" s="60">
        <f>VLOOKUP($D67,'All data'!$E$2:$M$2281,5,0)</f>
        <v>6.6976556777954102</v>
      </c>
      <c r="I67" s="60">
        <f>VLOOKUP($D67,'All data'!$E$2:$M$2281,6,0)</f>
        <v>5.4868372966531203</v>
      </c>
      <c r="J67" s="92">
        <f>VLOOKUP($D67,'All data'!$E$2:$M$2281,7,0)</f>
        <v>44.841059188194556</v>
      </c>
      <c r="K67" s="43">
        <f>VLOOKUP($C$5,'All data'!$G$2285:$J$2299,4,0)</f>
        <v>1.64</v>
      </c>
      <c r="L67" s="93">
        <f>VLOOKUP($D67,'All data'!$E$2:$M$2281,9,0)</f>
        <v>33768.955734899639</v>
      </c>
    </row>
    <row r="68" spans="1:12">
      <c r="A68" s="90">
        <f t="shared" si="2"/>
        <v>44</v>
      </c>
      <c r="B68" s="43" t="s">
        <v>88</v>
      </c>
      <c r="C68" s="43" t="str">
        <f>VLOOKUP(B68,'country codes'!$A$3:$B$287,2,0)</f>
        <v>AUT</v>
      </c>
      <c r="D68" s="91" t="str">
        <f t="shared" si="3"/>
        <v>2013AUT</v>
      </c>
      <c r="E68" s="43">
        <v>3</v>
      </c>
      <c r="F68" s="59">
        <f>VLOOKUP($D68,'All data'!$E$2:$M$2281,2,0)</f>
        <v>8556.1910000000007</v>
      </c>
      <c r="G68" s="59">
        <f>VLOOKUP($D68,'All data'!$E$2:$M$2281,4,0)</f>
        <v>81</v>
      </c>
      <c r="H68" s="60">
        <f>VLOOKUP($D68,'All data'!$E$2:$M$2281,5,0)</f>
        <v>7.498802661895752</v>
      </c>
      <c r="I68" s="60">
        <f>VLOOKUP($D68,'All data'!$E$2:$M$2281,6,0)</f>
        <v>6.0661073346086001</v>
      </c>
      <c r="J68" s="92">
        <f>VLOOKUP($D68,'All data'!$E$2:$M$2281,7,0)</f>
        <v>48.467806308798181</v>
      </c>
      <c r="K68" s="43">
        <f>VLOOKUP($C$5,'All data'!$G$2285:$J$2299,4,0)</f>
        <v>1.64</v>
      </c>
      <c r="L68" s="93">
        <f>VLOOKUP($D68,'All data'!$E$2:$M$2281,9,0)</f>
        <v>53090.815192745496</v>
      </c>
    </row>
    <row r="69" spans="1:12">
      <c r="A69" s="90">
        <f t="shared" si="2"/>
        <v>43</v>
      </c>
      <c r="B69" s="43" t="s">
        <v>49</v>
      </c>
      <c r="C69" s="43" t="str">
        <f>VLOOKUP(B69,'country codes'!$A$3:$B$287,2,0)</f>
        <v>LKA</v>
      </c>
      <c r="D69" s="91" t="str">
        <f t="shared" si="3"/>
        <v>2013LKA</v>
      </c>
      <c r="E69" s="43">
        <v>6</v>
      </c>
      <c r="F69" s="59">
        <f>VLOOKUP($D69,'All data'!$E$2:$M$2281,2,0)</f>
        <v>20663.053</v>
      </c>
      <c r="G69" s="59">
        <f>VLOOKUP($D69,'All data'!$E$2:$M$2281,4,0)</f>
        <v>76</v>
      </c>
      <c r="H69" s="60">
        <f>VLOOKUP($D69,'All data'!$E$2:$M$2281,5,0)</f>
        <v>4.3646941184997559</v>
      </c>
      <c r="I69" s="60">
        <f>VLOOKUP($D69,'All data'!$E$2:$M$2281,6,0)</f>
        <v>1.32593145337434</v>
      </c>
      <c r="J69" s="92">
        <f>VLOOKUP($D69,'All data'!$E$2:$M$2281,7,0)</f>
        <v>48.788353719718899</v>
      </c>
      <c r="K69" s="43">
        <f>VLOOKUP($C$5,'All data'!$G$2285:$J$2299,4,0)</f>
        <v>1.64</v>
      </c>
      <c r="L69" s="93">
        <f>VLOOKUP($D69,'All data'!$E$2:$M$2281,9,0)</f>
        <v>10990.07027049745</v>
      </c>
    </row>
    <row r="70" spans="1:12">
      <c r="A70" s="90">
        <f t="shared" si="2"/>
        <v>65</v>
      </c>
      <c r="B70" s="43" t="s">
        <v>76</v>
      </c>
      <c r="C70" s="43" t="str">
        <f>VLOOKUP(B70,'country codes'!$A$3:$B$287,2,0)</f>
        <v>SVK</v>
      </c>
      <c r="D70" s="91" t="str">
        <f t="shared" si="3"/>
        <v>2013SVK</v>
      </c>
      <c r="E70" s="43">
        <v>7</v>
      </c>
      <c r="F70" s="59">
        <f>VLOOKUP($D70,'All data'!$E$2:$M$2281,2,0)</f>
        <v>5421.7209999999995</v>
      </c>
      <c r="G70" s="59">
        <f>VLOOKUP($D70,'All data'!$E$2:$M$2281,4,0)</f>
        <v>76.3</v>
      </c>
      <c r="H70" s="60">
        <f>VLOOKUP($D70,'All data'!$E$2:$M$2281,5,0)</f>
        <v>5.9365272521972656</v>
      </c>
      <c r="I70" s="60">
        <f>VLOOKUP($D70,'All data'!$E$2:$M$2281,6,0)</f>
        <v>4.3471721399486496</v>
      </c>
      <c r="J70" s="92">
        <f>VLOOKUP($D70,'All data'!$E$2:$M$2281,7,0)</f>
        <v>43.963105446978645</v>
      </c>
      <c r="K70" s="43">
        <f>VLOOKUP($C$5,'All data'!$G$2285:$J$2299,4,0)</f>
        <v>1.64</v>
      </c>
      <c r="L70" s="93">
        <f>VLOOKUP($D70,'All data'!$E$2:$M$2281,9,0)</f>
        <v>26791.15703475925</v>
      </c>
    </row>
    <row r="71" spans="1:12">
      <c r="A71" s="90">
        <f t="shared" si="2"/>
        <v>14</v>
      </c>
      <c r="B71" s="43" t="s">
        <v>63</v>
      </c>
      <c r="C71" s="43" t="str">
        <f>VLOOKUP(B71,'country codes'!$A$3:$B$287,2,0)</f>
        <v>DZA</v>
      </c>
      <c r="D71" s="91" t="str">
        <f t="shared" si="3"/>
        <v>2013DZA</v>
      </c>
      <c r="E71" s="43">
        <v>4</v>
      </c>
      <c r="F71" s="59">
        <f>VLOOKUP($D71,'All data'!$E$2:$M$2281,2,0)</f>
        <v>38140.135000000002</v>
      </c>
      <c r="G71" s="59">
        <f>VLOOKUP($D71,'All data'!$E$2:$M$2281,4,0)</f>
        <v>75.7</v>
      </c>
      <c r="H71" s="60">
        <f>VLOOKUP($D71,'All data'!$E$2:$M$2281,5,0)</f>
        <v>5.9797470569610596</v>
      </c>
      <c r="I71" s="60">
        <f>VLOOKUP($D71,'All data'!$E$2:$M$2281,6,0)</f>
        <v>2.3953188581782601</v>
      </c>
      <c r="J71" s="92">
        <f>VLOOKUP($D71,'All data'!$E$2:$M$2281,7,0)</f>
        <v>53.552757350357254</v>
      </c>
      <c r="K71" s="43">
        <f>VLOOKUP($C$5,'All data'!$G$2285:$J$2299,4,0)</f>
        <v>1.64</v>
      </c>
      <c r="L71" s="93">
        <f>VLOOKUP($D71,'All data'!$E$2:$M$2281,9,0)</f>
        <v>11319.097949101542</v>
      </c>
    </row>
    <row r="72" spans="1:12">
      <c r="A72" s="90">
        <f t="shared" si="2"/>
        <v>57</v>
      </c>
      <c r="B72" s="43" t="s">
        <v>84</v>
      </c>
      <c r="C72" s="43" t="str">
        <f>VLOOKUP(B72,'country codes'!$A$3:$B$287,2,0)</f>
        <v>PRT</v>
      </c>
      <c r="D72" s="91" t="str">
        <f t="shared" si="3"/>
        <v>2013PRT</v>
      </c>
      <c r="E72" s="43">
        <v>3</v>
      </c>
      <c r="F72" s="59">
        <f>VLOOKUP($D72,'All data'!$E$2:$M$2281,2,0)</f>
        <v>10473.025</v>
      </c>
      <c r="G72" s="59">
        <f>VLOOKUP($D72,'All data'!$E$2:$M$2281,4,0)</f>
        <v>80.8</v>
      </c>
      <c r="H72" s="60">
        <f>VLOOKUP($D72,'All data'!$E$2:$M$2281,5,0)</f>
        <v>5.1576881408691406</v>
      </c>
      <c r="I72" s="60">
        <f>VLOOKUP($D72,'All data'!$E$2:$M$2281,6,0)</f>
        <v>3.60087386069885</v>
      </c>
      <c r="J72" s="92">
        <f>VLOOKUP($D72,'All data'!$E$2:$M$2281,7,0)</f>
        <v>45.438785985565943</v>
      </c>
      <c r="K72" s="43">
        <f>VLOOKUP($C$5,'All data'!$G$2285:$J$2299,4,0)</f>
        <v>1.64</v>
      </c>
      <c r="L72" s="93">
        <f>VLOOKUP($D72,'All data'!$E$2:$M$2281,9,0)</f>
        <v>30138.800959032105</v>
      </c>
    </row>
    <row r="73" spans="1:12">
      <c r="A73" s="90">
        <f t="shared" si="2"/>
        <v>56</v>
      </c>
      <c r="B73" s="43" t="s">
        <v>77</v>
      </c>
      <c r="C73" s="43" t="str">
        <f>VLOOKUP(B73,'country codes'!$A$3:$B$287,2,0)</f>
        <v>ROU</v>
      </c>
      <c r="D73" s="91" t="str">
        <f t="shared" si="3"/>
        <v>2013ROU</v>
      </c>
      <c r="E73" s="43">
        <v>7</v>
      </c>
      <c r="F73" s="59">
        <f>VLOOKUP($D73,'All data'!$E$2:$M$2281,2,0)</f>
        <v>20132.78</v>
      </c>
      <c r="G73" s="59">
        <f>VLOOKUP($D73,'All data'!$E$2:$M$2281,4,0)</f>
        <v>75</v>
      </c>
      <c r="H73" s="60">
        <f>VLOOKUP($D73,'All data'!$E$2:$M$2281,5,0)</f>
        <v>5.0815844535827637</v>
      </c>
      <c r="I73" s="60">
        <f>VLOOKUP($D73,'All data'!$E$2:$M$2281,6,0)</f>
        <v>2.6951219542402298</v>
      </c>
      <c r="J73" s="92">
        <f>VLOOKUP($D73,'All data'!$E$2:$M$2281,7,0)</f>
        <v>45.440097520050273</v>
      </c>
      <c r="K73" s="43">
        <f>VLOOKUP($C$5,'All data'!$G$2285:$J$2299,4,0)</f>
        <v>1.64</v>
      </c>
      <c r="L73" s="93">
        <f>VLOOKUP($D73,'All data'!$E$2:$M$2281,9,0)</f>
        <v>22267.880296923136</v>
      </c>
    </row>
    <row r="74" spans="1:12">
      <c r="A74" s="90">
        <f t="shared" ref="A74:A105" si="4">IFERROR(RANK(J74,$J$10:$J$161),"")</f>
        <v>52</v>
      </c>
      <c r="B74" s="43" t="s">
        <v>69</v>
      </c>
      <c r="C74" s="43" t="str">
        <f>VLOOKUP(B74,'country codes'!$A$3:$B$287,2,0)</f>
        <v>HRV</v>
      </c>
      <c r="D74" s="91" t="str">
        <f t="shared" ref="D74:D105" si="5">$C$5&amp;C74</f>
        <v>2013HRV</v>
      </c>
      <c r="E74" s="43">
        <v>7</v>
      </c>
      <c r="F74" s="59">
        <f>VLOOKUP($D74,'All data'!$E$2:$M$2281,2,0)</f>
        <v>4276.5929999999998</v>
      </c>
      <c r="G74" s="59">
        <f>VLOOKUP($D74,'All data'!$E$2:$M$2281,4,0)</f>
        <v>77.5</v>
      </c>
      <c r="H74" s="60">
        <f>VLOOKUP($D74,'All data'!$E$2:$M$2281,5,0)</f>
        <v>5.885462760925293</v>
      </c>
      <c r="I74" s="60">
        <f>VLOOKUP($D74,'All data'!$E$2:$M$2281,6,0)</f>
        <v>3.80457144946085</v>
      </c>
      <c r="J74" s="92">
        <f>VLOOKUP($D74,'All data'!$E$2:$M$2281,7,0)</f>
        <v>46.816256333440911</v>
      </c>
      <c r="K74" s="43">
        <f>VLOOKUP($C$5,'All data'!$G$2285:$J$2299,4,0)</f>
        <v>1.64</v>
      </c>
      <c r="L74" s="93">
        <f>VLOOKUP($D74,'All data'!$E$2:$M$2281,9,0)</f>
        <v>23842.834419338662</v>
      </c>
    </row>
    <row r="75" spans="1:12">
      <c r="A75" s="90">
        <f t="shared" si="4"/>
        <v>93</v>
      </c>
      <c r="B75" s="43" t="s">
        <v>47</v>
      </c>
      <c r="C75" s="43" t="str">
        <f>VLOOKUP(B75,'country codes'!$A$3:$B$287,2,0)</f>
        <v>LBR</v>
      </c>
      <c r="D75" s="91" t="str">
        <f t="shared" si="5"/>
        <v>2013LBR</v>
      </c>
      <c r="E75" s="43">
        <v>5</v>
      </c>
      <c r="F75" s="59">
        <f>VLOOKUP($D75,'All data'!$E$2:$M$2281,2,0)</f>
        <v>4248.3370000000004</v>
      </c>
      <c r="G75" s="59">
        <f>VLOOKUP($D75,'All data'!$E$2:$M$2281,4,0)</f>
        <v>61.2</v>
      </c>
      <c r="H75" s="60">
        <f>VLOOKUP($D75,'All data'!$E$2:$M$2281,5,0)</f>
        <v>4.477580189704895</v>
      </c>
      <c r="I75" s="60">
        <f>VLOOKUP($D75,'All data'!$E$2:$M$2281,6,0)</f>
        <v>1.2057088818767201</v>
      </c>
      <c r="J75" s="92">
        <f>VLOOKUP($D75,'All data'!$E$2:$M$2281,7,0)</f>
        <v>39.15669893501159</v>
      </c>
      <c r="K75" s="43">
        <f>VLOOKUP($C$5,'All data'!$G$2285:$J$2299,4,0)</f>
        <v>1.64</v>
      </c>
      <c r="L75" s="93">
        <f>VLOOKUP($D75,'All data'!$E$2:$M$2281,9,0)</f>
        <v>1652.1891603678923</v>
      </c>
    </row>
    <row r="76" spans="1:12">
      <c r="A76" s="90">
        <f t="shared" si="4"/>
        <v>20</v>
      </c>
      <c r="B76" s="43" t="s">
        <v>86</v>
      </c>
      <c r="C76" s="43" t="str">
        <f>VLOOKUP(B76,'country codes'!$A$3:$B$287,2,0)</f>
        <v>CHL</v>
      </c>
      <c r="D76" s="91" t="str">
        <f t="shared" si="5"/>
        <v>2013CHL</v>
      </c>
      <c r="E76" s="43">
        <v>1</v>
      </c>
      <c r="F76" s="59">
        <f>VLOOKUP($D76,'All data'!$E$2:$M$2281,2,0)</f>
        <v>17571.510999999999</v>
      </c>
      <c r="G76" s="59">
        <f>VLOOKUP($D76,'All data'!$E$2:$M$2281,4,0)</f>
        <v>79.3</v>
      </c>
      <c r="H76" s="60">
        <f>VLOOKUP($D76,'All data'!$E$2:$M$2281,5,0)</f>
        <v>6.7401537895202637</v>
      </c>
      <c r="I76" s="60">
        <f>VLOOKUP($D76,'All data'!$E$2:$M$2281,6,0)</f>
        <v>4.1996985127523301</v>
      </c>
      <c r="J76" s="92">
        <f>VLOOKUP($D76,'All data'!$E$2:$M$2281,7,0)</f>
        <v>51.253803501224205</v>
      </c>
      <c r="K76" s="43">
        <f>VLOOKUP($C$5,'All data'!$G$2285:$J$2299,4,0)</f>
        <v>1.64</v>
      </c>
      <c r="L76" s="93">
        <f>VLOOKUP($D76,'All data'!$E$2:$M$2281,9,0)</f>
        <v>24081.879609374995</v>
      </c>
    </row>
    <row r="77" spans="1:12">
      <c r="A77" s="90">
        <f t="shared" si="4"/>
        <v>79</v>
      </c>
      <c r="B77" s="43" t="s">
        <v>95</v>
      </c>
      <c r="C77" s="43" t="str">
        <f>VLOOKUP(B77,'country codes'!$A$3:$B$287,2,0)</f>
        <v>SGP</v>
      </c>
      <c r="D77" s="91" t="str">
        <f t="shared" si="5"/>
        <v>2013SGP</v>
      </c>
      <c r="E77" s="43">
        <v>8</v>
      </c>
      <c r="F77" s="59">
        <f>VLOOKUP($D77,'All data'!$E$2:$M$2281,2,0)</f>
        <v>5453.732</v>
      </c>
      <c r="G77" s="59">
        <f>VLOOKUP($D77,'All data'!$E$2:$M$2281,4,0)</f>
        <v>82.5</v>
      </c>
      <c r="H77" s="60">
        <f>VLOOKUP($D77,'All data'!$E$2:$M$2281,5,0)</f>
        <v>6.5332069396972656</v>
      </c>
      <c r="I77" s="60">
        <f>VLOOKUP($D77,'All data'!$E$2:$M$2281,6,0)</f>
        <v>6.6600871461290696</v>
      </c>
      <c r="J77" s="92">
        <f>VLOOKUP($D77,'All data'!$E$2:$M$2281,7,0)</f>
        <v>42.418142901453166</v>
      </c>
      <c r="K77" s="43">
        <f>VLOOKUP($C$5,'All data'!$G$2285:$J$2299,4,0)</f>
        <v>1.64</v>
      </c>
      <c r="L77" s="93">
        <f>VLOOKUP($D77,'All data'!$E$2:$M$2281,9,0)</f>
        <v>85585.866538485294</v>
      </c>
    </row>
    <row r="78" spans="1:12">
      <c r="A78" s="90">
        <f t="shared" si="4"/>
        <v>82</v>
      </c>
      <c r="B78" s="43" t="s">
        <v>85</v>
      </c>
      <c r="C78" s="43" t="str">
        <f>VLOOKUP(B78,'country codes'!$A$3:$B$287,2,0)</f>
        <v>HUN</v>
      </c>
      <c r="D78" s="91" t="str">
        <f t="shared" si="5"/>
        <v>2013HUN</v>
      </c>
      <c r="E78" s="43">
        <v>7</v>
      </c>
      <c r="F78" s="59">
        <f>VLOOKUP($D78,'All data'!$E$2:$M$2281,2,0)</f>
        <v>9833.9230000000007</v>
      </c>
      <c r="G78" s="59">
        <f>VLOOKUP($D78,'All data'!$E$2:$M$2281,4,0)</f>
        <v>75.400000000000006</v>
      </c>
      <c r="H78" s="60">
        <f>VLOOKUP($D78,'All data'!$E$2:$M$2281,5,0)</f>
        <v>4.9144668579101563</v>
      </c>
      <c r="I78" s="60">
        <f>VLOOKUP($D78,'All data'!$E$2:$M$2281,6,0)</f>
        <v>3.2148816028107201</v>
      </c>
      <c r="J78" s="92">
        <f>VLOOKUP($D78,'All data'!$E$2:$M$2281,7,0)</f>
        <v>42.213560370997421</v>
      </c>
      <c r="K78" s="43">
        <f>VLOOKUP($C$5,'All data'!$G$2285:$J$2299,4,0)</f>
        <v>1.64</v>
      </c>
      <c r="L78" s="93">
        <f>VLOOKUP($D78,'All data'!$E$2:$M$2281,9,0)</f>
        <v>25365.10826626774</v>
      </c>
    </row>
    <row r="79" spans="1:12">
      <c r="A79" s="90">
        <f t="shared" si="4"/>
        <v>59</v>
      </c>
      <c r="B79" s="43" t="s">
        <v>101</v>
      </c>
      <c r="C79" s="43" t="str">
        <f>VLOOKUP(B79,'country codes'!$A$3:$B$287,2,0)</f>
        <v>DNK</v>
      </c>
      <c r="D79" s="91" t="str">
        <f t="shared" si="5"/>
        <v>2013DNK</v>
      </c>
      <c r="E79" s="43">
        <v>3</v>
      </c>
      <c r="F79" s="59">
        <f>VLOOKUP($D79,'All data'!$E$2:$M$2281,2,0)</f>
        <v>5638.152</v>
      </c>
      <c r="G79" s="59">
        <f>VLOOKUP($D79,'All data'!$E$2:$M$2281,4,0)</f>
        <v>80.2</v>
      </c>
      <c r="H79" s="60">
        <f>VLOOKUP($D79,'All data'!$E$2:$M$2281,5,0)</f>
        <v>7.5886068344116211</v>
      </c>
      <c r="I79" s="60">
        <f>VLOOKUP($D79,'All data'!$E$2:$M$2281,6,0)</f>
        <v>6.9522744998477304</v>
      </c>
      <c r="J79" s="92">
        <f>VLOOKUP($D79,'All data'!$E$2:$M$2281,7,0)</f>
        <v>45.181315416260794</v>
      </c>
      <c r="K79" s="43">
        <f>VLOOKUP($C$5,'All data'!$G$2285:$J$2299,4,0)</f>
        <v>1.64</v>
      </c>
      <c r="L79" s="93">
        <f>VLOOKUP($D79,'All data'!$E$2:$M$2281,9,0)</f>
        <v>51643.651546125235</v>
      </c>
    </row>
    <row r="80" spans="1:12">
      <c r="A80" s="90">
        <f t="shared" si="4"/>
        <v>78</v>
      </c>
      <c r="B80" s="43" t="s">
        <v>65</v>
      </c>
      <c r="C80" s="43" t="str">
        <f>VLOOKUP(B80,'country codes'!$A$3:$B$287,2,0)</f>
        <v>IRQ</v>
      </c>
      <c r="D80" s="91" t="str">
        <f t="shared" si="5"/>
        <v>2013IRQ</v>
      </c>
      <c r="E80" s="43">
        <v>4</v>
      </c>
      <c r="F80" s="59">
        <f>VLOOKUP($D80,'All data'!$E$2:$M$2281,2,0)</f>
        <v>33157.061000000002</v>
      </c>
      <c r="G80" s="59">
        <f>VLOOKUP($D80,'All data'!$E$2:$M$2281,4,0)</f>
        <v>69.400000000000006</v>
      </c>
      <c r="H80" s="60">
        <f>VLOOKUP($D80,'All data'!$E$2:$M$2281,5,0)</f>
        <v>4.7250170707702637</v>
      </c>
      <c r="I80" s="60">
        <f>VLOOKUP($D80,'All data'!$E$2:$M$2281,6,0)</f>
        <v>1.9737873990627499</v>
      </c>
      <c r="J80" s="92">
        <f>VLOOKUP($D80,'All data'!$E$2:$M$2281,7,0)</f>
        <v>42.847463333930044</v>
      </c>
      <c r="K80" s="43">
        <f>VLOOKUP($C$5,'All data'!$G$2285:$J$2299,4,0)</f>
        <v>1.64</v>
      </c>
      <c r="L80" s="93">
        <f>VLOOKUP($D80,'All data'!$E$2:$M$2281,9,0)</f>
        <v>10719.245192183209</v>
      </c>
    </row>
    <row r="81" spans="1:12">
      <c r="A81" s="90">
        <f t="shared" si="4"/>
        <v>106</v>
      </c>
      <c r="B81" s="43" t="s">
        <v>53</v>
      </c>
      <c r="C81" s="43" t="str">
        <f>VLOOKUP(B81,'country codes'!$A$3:$B$287,2,0)</f>
        <v>KEN</v>
      </c>
      <c r="D81" s="91" t="str">
        <f t="shared" si="5"/>
        <v>2013KEN</v>
      </c>
      <c r="E81" s="43">
        <v>5</v>
      </c>
      <c r="F81" s="59">
        <f>VLOOKUP($D81,'All data'!$E$2:$M$2281,2,0)</f>
        <v>45519.985999999997</v>
      </c>
      <c r="G81" s="59">
        <f>VLOOKUP($D81,'All data'!$E$2:$M$2281,4,0)</f>
        <v>63.4</v>
      </c>
      <c r="H81" s="60">
        <f>VLOOKUP($D81,'All data'!$E$2:$M$2281,5,0)</f>
        <v>3.7953832149505615</v>
      </c>
      <c r="I81" s="60">
        <f>VLOOKUP($D81,'All data'!$E$2:$M$2281,6,0)</f>
        <v>1.0165325505325999</v>
      </c>
      <c r="J81" s="92">
        <f>VLOOKUP($D81,'All data'!$E$2:$M$2281,7,0)</f>
        <v>37.303844924752717</v>
      </c>
      <c r="K81" s="43">
        <f>VLOOKUP($C$5,'All data'!$G$2285:$J$2299,4,0)</f>
        <v>1.64</v>
      </c>
      <c r="L81" s="93">
        <f>VLOOKUP($D81,'All data'!$E$2:$M$2281,9,0)</f>
        <v>3611.8279568075877</v>
      </c>
    </row>
    <row r="82" spans="1:12">
      <c r="A82" s="90">
        <f t="shared" si="4"/>
        <v>28</v>
      </c>
      <c r="B82" s="43" t="s">
        <v>51</v>
      </c>
      <c r="C82" s="43" t="str">
        <f>VLOOKUP(B82,'country codes'!$A$3:$B$287,2,0)</f>
        <v>PAK</v>
      </c>
      <c r="D82" s="91" t="str">
        <f t="shared" si="5"/>
        <v>2013PAK</v>
      </c>
      <c r="E82" s="43">
        <v>6</v>
      </c>
      <c r="F82" s="59">
        <f>VLOOKUP($D82,'All data'!$E$2:$M$2281,2,0)</f>
        <v>191260.799</v>
      </c>
      <c r="G82" s="59">
        <f>VLOOKUP($D82,'All data'!$E$2:$M$2281,4,0)</f>
        <v>66.099999999999994</v>
      </c>
      <c r="H82" s="60">
        <f>VLOOKUP($D82,'All data'!$E$2:$M$2281,5,0)</f>
        <v>5.1380825042724609</v>
      </c>
      <c r="I82" s="60">
        <f>VLOOKUP($D82,'All data'!$E$2:$M$2281,6,0)</f>
        <v>0.77741562886621296</v>
      </c>
      <c r="J82" s="92">
        <f>VLOOKUP($D82,'All data'!$E$2:$M$2281,7,0)</f>
        <v>50.230607672349677</v>
      </c>
      <c r="K82" s="43">
        <f>VLOOKUP($C$5,'All data'!$G$2285:$J$2299,4,0)</f>
        <v>1.64</v>
      </c>
      <c r="L82" s="93">
        <f>VLOOKUP($D82,'All data'!$E$2:$M$2281,9,0)</f>
        <v>4069.2223930845807</v>
      </c>
    </row>
    <row r="83" spans="1:12">
      <c r="A83" s="90">
        <f t="shared" si="4"/>
        <v>67</v>
      </c>
      <c r="B83" s="43" t="s">
        <v>94</v>
      </c>
      <c r="C83" s="43" t="str">
        <f>VLOOKUP(B83,'country codes'!$A$3:$B$287,2,0)</f>
        <v>POL</v>
      </c>
      <c r="D83" s="91" t="str">
        <f t="shared" si="5"/>
        <v>2013POL</v>
      </c>
      <c r="E83" s="43">
        <v>7</v>
      </c>
      <c r="F83" s="59">
        <f>VLOOKUP($D83,'All data'!$E$2:$M$2281,2,0)</f>
        <v>38158.042999999998</v>
      </c>
      <c r="G83" s="59">
        <f>VLOOKUP($D83,'All data'!$E$2:$M$2281,4,0)</f>
        <v>77.3</v>
      </c>
      <c r="H83" s="60">
        <f>VLOOKUP($D83,'All data'!$E$2:$M$2281,5,0)</f>
        <v>5.7461318969726563</v>
      </c>
      <c r="I83" s="60">
        <f>VLOOKUP($D83,'All data'!$E$2:$M$2281,6,0)</f>
        <v>4.2516067338727401</v>
      </c>
      <c r="J83" s="92">
        <f>VLOOKUP($D83,'All data'!$E$2:$M$2281,7,0)</f>
        <v>43.926576133758147</v>
      </c>
      <c r="K83" s="43">
        <f>VLOOKUP($C$5,'All data'!$G$2285:$J$2299,4,0)</f>
        <v>1.64</v>
      </c>
      <c r="L83" s="93">
        <f>VLOOKUP($D83,'All data'!$E$2:$M$2281,9,0)</f>
        <v>25841.584256584643</v>
      </c>
    </row>
    <row r="84" spans="1:12">
      <c r="A84" s="90">
        <f t="shared" si="4"/>
        <v>64</v>
      </c>
      <c r="B84" s="43" t="s">
        <v>78</v>
      </c>
      <c r="C84" s="43" t="str">
        <f>VLOOKUP(B84,'country codes'!$A$3:$B$287,2,0)</f>
        <v>BOL</v>
      </c>
      <c r="D84" s="91" t="str">
        <f t="shared" si="5"/>
        <v>2013BOL</v>
      </c>
      <c r="E84" s="43">
        <v>1</v>
      </c>
      <c r="F84" s="59">
        <f>VLOOKUP($D84,'All data'!$E$2:$M$2281,2,0)</f>
        <v>10542.375</v>
      </c>
      <c r="G84" s="59">
        <f>VLOOKUP($D84,'All data'!$E$2:$M$2281,4,0)</f>
        <v>69.5</v>
      </c>
      <c r="H84" s="60">
        <f>VLOOKUP($D84,'All data'!$E$2:$M$2281,5,0)</f>
        <v>5.7674288749694824</v>
      </c>
      <c r="I84" s="60">
        <f>VLOOKUP($D84,'All data'!$E$2:$M$2281,6,0)</f>
        <v>3.0516750795463699</v>
      </c>
      <c r="J84" s="92">
        <f>VLOOKUP($D84,'All data'!$E$2:$M$2281,7,0)</f>
        <v>44.027442988706873</v>
      </c>
      <c r="K84" s="43">
        <f>VLOOKUP($C$5,'All data'!$G$2285:$J$2299,4,0)</f>
        <v>1.64</v>
      </c>
      <c r="L84" s="93">
        <f>VLOOKUP($D84,'All data'!$E$2:$M$2281,9,0)</f>
        <v>7444.4900906241501</v>
      </c>
    </row>
    <row r="85" spans="1:12">
      <c r="A85" s="90">
        <f t="shared" si="4"/>
        <v>122</v>
      </c>
      <c r="B85" s="43" t="s">
        <v>56</v>
      </c>
      <c r="C85" s="43" t="str">
        <f>VLOOKUP(B85,'country codes'!$A$3:$B$287,2,0)</f>
        <v>UGA</v>
      </c>
      <c r="D85" s="91" t="str">
        <f t="shared" si="5"/>
        <v>2013UGA</v>
      </c>
      <c r="E85" s="43">
        <v>5</v>
      </c>
      <c r="F85" s="59">
        <f>VLOOKUP($D85,'All data'!$E$2:$M$2281,2,0)</f>
        <v>35694.519</v>
      </c>
      <c r="G85" s="59">
        <f>VLOOKUP($D85,'All data'!$E$2:$M$2281,4,0)</f>
        <v>59.9</v>
      </c>
      <c r="H85" s="60">
        <f>VLOOKUP($D85,'All data'!$E$2:$M$2281,5,0)</f>
        <v>3.7095787525177002</v>
      </c>
      <c r="I85" s="60">
        <f>VLOOKUP($D85,'All data'!$E$2:$M$2281,6,0)</f>
        <v>1.1484331709873099</v>
      </c>
      <c r="J85" s="92">
        <f>VLOOKUP($D85,'All data'!$E$2:$M$2281,7,0)</f>
        <v>33.674832204362751</v>
      </c>
      <c r="K85" s="43">
        <f>VLOOKUP($C$5,'All data'!$G$2285:$J$2299,4,0)</f>
        <v>1.64</v>
      </c>
      <c r="L85" s="93">
        <f>VLOOKUP($D85,'All data'!$E$2:$M$2281,9,0)</f>
        <v>1989.6072693155202</v>
      </c>
    </row>
    <row r="86" spans="1:12">
      <c r="A86" s="90">
        <f t="shared" si="4"/>
        <v>84</v>
      </c>
      <c r="B86" s="43" t="s">
        <v>48</v>
      </c>
      <c r="C86" s="43" t="str">
        <f>VLOOKUP(B86,'country codes'!$A$3:$B$287,2,0)</f>
        <v>YEM</v>
      </c>
      <c r="D86" s="91" t="str">
        <f t="shared" si="5"/>
        <v>2013YEM</v>
      </c>
      <c r="E86" s="43">
        <v>4</v>
      </c>
      <c r="F86" s="59">
        <f>VLOOKUP($D86,'All data'!$E$2:$M$2281,2,0)</f>
        <v>25147.112000000001</v>
      </c>
      <c r="G86" s="59">
        <f>VLOOKUP($D86,'All data'!$E$2:$M$2281,4,0)</f>
        <v>66</v>
      </c>
      <c r="H86" s="60">
        <f>VLOOKUP($D86,'All data'!$E$2:$M$2281,5,0)</f>
        <v>4.2176785469055176</v>
      </c>
      <c r="I86" s="60">
        <f>VLOOKUP($D86,'All data'!$E$2:$M$2281,6,0)</f>
        <v>1.02744654486152</v>
      </c>
      <c r="J86" s="92">
        <f>VLOOKUP($D86,'All data'!$E$2:$M$2281,7,0)</f>
        <v>42.036004394819933</v>
      </c>
      <c r="K86" s="43">
        <f>VLOOKUP($C$5,'All data'!$G$2285:$J$2299,4,0)</f>
        <v>1.64</v>
      </c>
      <c r="L86" s="93" t="str">
        <f>VLOOKUP($D86,'All data'!$E$2:$M$2281,9,0)</f>
        <v>..</v>
      </c>
    </row>
    <row r="87" spans="1:12">
      <c r="A87" s="90">
        <f t="shared" si="4"/>
        <v>71</v>
      </c>
      <c r="B87" s="43" t="s">
        <v>79</v>
      </c>
      <c r="C87" s="43" t="str">
        <f>VLOOKUP(B87,'country codes'!$A$3:$B$287,2,0)</f>
        <v>GEO</v>
      </c>
      <c r="D87" s="91" t="str">
        <f t="shared" si="5"/>
        <v>2013GEO</v>
      </c>
      <c r="E87" s="43">
        <v>7</v>
      </c>
      <c r="F87" s="59">
        <f>VLOOKUP($D87,'All data'!$E$2:$M$2281,2,0)</f>
        <v>4048.701</v>
      </c>
      <c r="G87" s="59">
        <f>VLOOKUP($D87,'All data'!$E$2:$M$2281,4,0)</f>
        <v>72.400000000000006</v>
      </c>
      <c r="H87" s="60">
        <f>VLOOKUP($D87,'All data'!$E$2:$M$2281,5,0)</f>
        <v>4.3489208221435547</v>
      </c>
      <c r="I87" s="60">
        <f>VLOOKUP($D87,'All data'!$E$2:$M$2281,6,0)</f>
        <v>1.73054594358988</v>
      </c>
      <c r="J87" s="92">
        <f>VLOOKUP($D87,'All data'!$E$2:$M$2281,7,0)</f>
        <v>43.716891208916586</v>
      </c>
      <c r="K87" s="43">
        <f>VLOOKUP($C$5,'All data'!$G$2285:$J$2299,4,0)</f>
        <v>1.64</v>
      </c>
      <c r="L87" s="93">
        <f>VLOOKUP($D87,'All data'!$E$2:$M$2281,9,0)</f>
        <v>11740.089116333696</v>
      </c>
    </row>
    <row r="88" spans="1:12">
      <c r="A88" s="90">
        <f t="shared" si="4"/>
        <v>103</v>
      </c>
      <c r="B88" s="43" t="s">
        <v>55</v>
      </c>
      <c r="C88" s="43" t="str">
        <f>VLOOKUP(B88,'country codes'!$A$3:$B$287,2,0)</f>
        <v>MOZ</v>
      </c>
      <c r="D88" s="91" t="str">
        <f t="shared" si="5"/>
        <v>2013MOZ</v>
      </c>
      <c r="E88" s="43">
        <v>5</v>
      </c>
      <c r="F88" s="59">
        <f>VLOOKUP($D88,'All data'!$E$2:$M$2281,2,0)</f>
        <v>25560.752</v>
      </c>
      <c r="G88" s="59">
        <f>VLOOKUP($D88,'All data'!$E$2:$M$2281,4,0)</f>
        <v>54.9</v>
      </c>
      <c r="H88" s="60">
        <f>VLOOKUP($D88,'All data'!$E$2:$M$2281,5,0)</f>
        <v>4.7604396343231201</v>
      </c>
      <c r="I88" s="60">
        <f>VLOOKUP($D88,'All data'!$E$2:$M$2281,6,0)</f>
        <v>0.84945892618323704</v>
      </c>
      <c r="J88" s="92">
        <f>VLOOKUP($D88,'All data'!$E$2:$M$2281,7,0)</f>
        <v>37.722888292225939</v>
      </c>
      <c r="K88" s="43">
        <f>VLOOKUP($C$5,'All data'!$G$2285:$J$2299,4,0)</f>
        <v>1.64</v>
      </c>
      <c r="L88" s="93">
        <f>VLOOKUP($D88,'All data'!$E$2:$M$2281,9,0)</f>
        <v>1165.4094365046269</v>
      </c>
    </row>
    <row r="89" spans="1:12">
      <c r="A89" s="90">
        <f t="shared" si="4"/>
        <v>99</v>
      </c>
      <c r="B89" s="43" t="s">
        <v>60</v>
      </c>
      <c r="C89" s="43" t="str">
        <f>VLOOKUP(B89,'country codes'!$A$3:$B$287,2,0)</f>
        <v>MDG</v>
      </c>
      <c r="D89" s="91" t="str">
        <f t="shared" si="5"/>
        <v>2013MDG</v>
      </c>
      <c r="E89" s="43">
        <v>5</v>
      </c>
      <c r="F89" s="59">
        <f>VLOOKUP($D89,'All data'!$E$2:$M$2281,2,0)</f>
        <v>22961.258999999998</v>
      </c>
      <c r="G89" s="59">
        <f>VLOOKUP($D89,'All data'!$E$2:$M$2281,4,0)</f>
        <v>64.7</v>
      </c>
      <c r="H89" s="60">
        <f>VLOOKUP($D89,'All data'!$E$2:$M$2281,5,0)</f>
        <v>3.8156070709228516</v>
      </c>
      <c r="I89" s="60">
        <f>VLOOKUP($D89,'All data'!$E$2:$M$2281,6,0)</f>
        <v>0.95576491041598399</v>
      </c>
      <c r="J89" s="92">
        <f>VLOOKUP($D89,'All data'!$E$2:$M$2281,7,0)</f>
        <v>38.682926958381763</v>
      </c>
      <c r="K89" s="43">
        <f>VLOOKUP($C$5,'All data'!$G$2285:$J$2299,4,0)</f>
        <v>1.64</v>
      </c>
      <c r="L89" s="93">
        <f>VLOOKUP($D89,'All data'!$E$2:$M$2281,9,0)</f>
        <v>1531.7788675091763</v>
      </c>
    </row>
    <row r="90" spans="1:12">
      <c r="A90" s="90">
        <f t="shared" si="4"/>
        <v>31</v>
      </c>
      <c r="B90" s="43" t="s">
        <v>72</v>
      </c>
      <c r="C90" s="43" t="str">
        <f>VLOOKUP(B90,'country codes'!$A$3:$B$287,2,0)</f>
        <v>TUN</v>
      </c>
      <c r="D90" s="91" t="str">
        <f t="shared" si="5"/>
        <v>2013TUN</v>
      </c>
      <c r="E90" s="43">
        <v>4</v>
      </c>
      <c r="F90" s="59">
        <f>VLOOKUP($D90,'All data'!$E$2:$M$2281,2,0)</f>
        <v>10952.949000000001</v>
      </c>
      <c r="G90" s="59">
        <f>VLOOKUP($D90,'All data'!$E$2:$M$2281,4,0)</f>
        <v>75.599999999999994</v>
      </c>
      <c r="H90" s="60">
        <f>VLOOKUP($D90,'All data'!$E$2:$M$2281,5,0)</f>
        <v>5.2456049919128418</v>
      </c>
      <c r="I90" s="60">
        <f>VLOOKUP($D90,'All data'!$E$2:$M$2281,6,0)</f>
        <v>2.1343622496696901</v>
      </c>
      <c r="J90" s="92">
        <f>VLOOKUP($D90,'All data'!$E$2:$M$2281,7,0)</f>
        <v>50.011154981851895</v>
      </c>
      <c r="K90" s="43">
        <f>VLOOKUP($C$5,'All data'!$G$2285:$J$2299,4,0)</f>
        <v>1.64</v>
      </c>
      <c r="L90" s="93">
        <f>VLOOKUP($D90,'All data'!$E$2:$M$2281,9,0)</f>
        <v>10304.809317166386</v>
      </c>
    </row>
    <row r="91" spans="1:12">
      <c r="A91" s="90">
        <f t="shared" si="4"/>
        <v>61</v>
      </c>
      <c r="B91" s="43" t="s">
        <v>87</v>
      </c>
      <c r="C91" s="43" t="str">
        <f>VLOOKUP(B91,'country codes'!$A$3:$B$287,2,0)</f>
        <v>MKD</v>
      </c>
      <c r="D91" s="91" t="str">
        <f t="shared" si="5"/>
        <v>2013MKD</v>
      </c>
      <c r="E91" s="43">
        <v>7</v>
      </c>
      <c r="F91" s="59">
        <f>VLOOKUP($D91,'All data'!$E$2:$M$2281,2,0)</f>
        <v>2076.0650000000001</v>
      </c>
      <c r="G91" s="59">
        <f>VLOOKUP($D91,'All data'!$E$2:$M$2281,4,0)</f>
        <v>75.2</v>
      </c>
      <c r="H91" s="60">
        <f>VLOOKUP($D91,'All data'!$E$2:$M$2281,5,0)</f>
        <v>5.1861906051635742</v>
      </c>
      <c r="I91" s="60">
        <f>VLOOKUP($D91,'All data'!$E$2:$M$2281,6,0)</f>
        <v>2.9988841507899</v>
      </c>
      <c r="J91" s="92">
        <f>VLOOKUP($D91,'All data'!$E$2:$M$2281,7,0)</f>
        <v>44.759092203663812</v>
      </c>
      <c r="K91" s="43">
        <f>VLOOKUP($C$5,'All data'!$G$2285:$J$2299,4,0)</f>
        <v>1.64</v>
      </c>
      <c r="L91" s="93">
        <f>VLOOKUP($D91,'All data'!$E$2:$M$2281,9,0)</f>
        <v>14071.90296789173</v>
      </c>
    </row>
    <row r="92" spans="1:12">
      <c r="A92" s="90">
        <f t="shared" si="4"/>
        <v>30</v>
      </c>
      <c r="B92" s="43" t="s">
        <v>70</v>
      </c>
      <c r="C92" s="43" t="str">
        <f>VLOOKUP(B92,'country codes'!$A$3:$B$287,2,0)</f>
        <v>JOR</v>
      </c>
      <c r="D92" s="91" t="str">
        <f t="shared" si="5"/>
        <v>2013JOR</v>
      </c>
      <c r="E92" s="43">
        <v>4</v>
      </c>
      <c r="F92" s="59">
        <f>VLOOKUP($D92,'All data'!$E$2:$M$2281,2,0)</f>
        <v>8518.9920000000002</v>
      </c>
      <c r="G92" s="59">
        <f>VLOOKUP($D92,'All data'!$E$2:$M$2281,4,0)</f>
        <v>73.900000000000006</v>
      </c>
      <c r="H92" s="60">
        <f>VLOOKUP($D92,'All data'!$E$2:$M$2281,5,0)</f>
        <v>5.1719527244567871</v>
      </c>
      <c r="I92" s="60">
        <f>VLOOKUP($D92,'All data'!$E$2:$M$2281,6,0)</f>
        <v>1.8059432338463099</v>
      </c>
      <c r="J92" s="92">
        <f>VLOOKUP($D92,'All data'!$E$2:$M$2281,7,0)</f>
        <v>50.169402689690386</v>
      </c>
      <c r="K92" s="43">
        <f>VLOOKUP($C$5,'All data'!$G$2285:$J$2299,4,0)</f>
        <v>1.64</v>
      </c>
      <c r="L92" s="93">
        <f>VLOOKUP($D92,'All data'!$E$2:$M$2281,9,0)</f>
        <v>10413.175761679075</v>
      </c>
    </row>
    <row r="93" spans="1:12">
      <c r="A93" s="90">
        <f t="shared" si="4"/>
        <v>74</v>
      </c>
      <c r="B93" s="43" t="s">
        <v>92</v>
      </c>
      <c r="C93" s="43" t="str">
        <f>VLOOKUP(B93,'country codes'!$A$3:$B$287,2,0)</f>
        <v>IRN</v>
      </c>
      <c r="D93" s="91" t="str">
        <f t="shared" si="5"/>
        <v>2013IRN</v>
      </c>
      <c r="E93" s="43">
        <v>4</v>
      </c>
      <c r="F93" s="59">
        <f>VLOOKUP($D93,'All data'!$E$2:$M$2281,2,0)</f>
        <v>76481.963000000003</v>
      </c>
      <c r="G93" s="59">
        <f>VLOOKUP($D93,'All data'!$E$2:$M$2281,4,0)</f>
        <v>75.2</v>
      </c>
      <c r="H93" s="60">
        <f>VLOOKUP($D93,'All data'!$E$2:$M$2281,5,0)</f>
        <v>5.1395792961120605</v>
      </c>
      <c r="I93" s="60">
        <f>VLOOKUP($D93,'All data'!$E$2:$M$2281,6,0)</f>
        <v>3.25762938898764</v>
      </c>
      <c r="J93" s="92">
        <f>VLOOKUP($D93,'All data'!$E$2:$M$2281,7,0)</f>
        <v>43.273619980309718</v>
      </c>
      <c r="K93" s="43">
        <f>VLOOKUP($C$5,'All data'!$G$2285:$J$2299,4,0)</f>
        <v>1.64</v>
      </c>
      <c r="L93" s="93">
        <f>VLOOKUP($D93,'All data'!$E$2:$M$2281,9,0)</f>
        <v>12625.090793688263</v>
      </c>
    </row>
    <row r="94" spans="1:12">
      <c r="A94" s="90">
        <f t="shared" si="4"/>
        <v>49</v>
      </c>
      <c r="B94" s="43" t="s">
        <v>113</v>
      </c>
      <c r="C94" s="43" t="str">
        <f>VLOOKUP(B94,'country codes'!$A$3:$B$287,2,0)</f>
        <v>MLT</v>
      </c>
      <c r="D94" s="91" t="str">
        <f t="shared" si="5"/>
        <v>2013MLT</v>
      </c>
      <c r="E94" s="43">
        <v>3</v>
      </c>
      <c r="F94" s="59">
        <f>VLOOKUP($D94,'All data'!$E$2:$M$2281,2,0)</f>
        <v>426.14400000000001</v>
      </c>
      <c r="G94" s="59">
        <f>VLOOKUP($D94,'All data'!$E$2:$M$2281,4,0)</f>
        <v>81.5</v>
      </c>
      <c r="H94" s="60">
        <f>VLOOKUP($D94,'All data'!$E$2:$M$2281,5,0)</f>
        <v>6.3799247741699219</v>
      </c>
      <c r="I94" s="60">
        <f>VLOOKUP($D94,'All data'!$E$2:$M$2281,6,0)</f>
        <v>4.9080913259777397</v>
      </c>
      <c r="J94" s="92">
        <f>VLOOKUP($D94,'All data'!$E$2:$M$2281,7,0)</f>
        <v>47.476925049454508</v>
      </c>
      <c r="K94" s="43">
        <f>VLOOKUP($C$5,'All data'!$G$2285:$J$2299,4,0)</f>
        <v>1.64</v>
      </c>
      <c r="L94" s="93">
        <f>VLOOKUP($D94,'All data'!$E$2:$M$2281,9,0)</f>
        <v>35302.889447633628</v>
      </c>
    </row>
    <row r="95" spans="1:12">
      <c r="A95" s="90">
        <f t="shared" si="4"/>
        <v>111</v>
      </c>
      <c r="B95" s="43" t="s">
        <v>71</v>
      </c>
      <c r="C95" s="43" t="str">
        <f>VLOOKUP(B95,'country codes'!$A$3:$B$287,2,0)</f>
        <v>EGY</v>
      </c>
      <c r="D95" s="91" t="str">
        <f t="shared" si="5"/>
        <v>2013EGY</v>
      </c>
      <c r="E95" s="43">
        <v>4</v>
      </c>
      <c r="F95" s="59">
        <f>VLOOKUP($D95,'All data'!$E$2:$M$2281,2,0)</f>
        <v>88404.652000000002</v>
      </c>
      <c r="G95" s="59">
        <f>VLOOKUP($D95,'All data'!$E$2:$M$2281,4,0)</f>
        <v>70.900000000000006</v>
      </c>
      <c r="H95" s="60">
        <f>VLOOKUP($D95,'All data'!$E$2:$M$2281,5,0)</f>
        <v>3.5585203170776367</v>
      </c>
      <c r="I95" s="60">
        <f>VLOOKUP($D95,'All data'!$E$2:$M$2281,6,0)</f>
        <v>1.92163168711705</v>
      </c>
      <c r="J95" s="92">
        <f>VLOOKUP($D95,'All data'!$E$2:$M$2281,7,0)</f>
        <v>36.402687536680766</v>
      </c>
      <c r="K95" s="43">
        <f>VLOOKUP($C$5,'All data'!$G$2285:$J$2299,4,0)</f>
        <v>1.64</v>
      </c>
      <c r="L95" s="93">
        <f>VLOOKUP($D95,'All data'!$E$2:$M$2281,9,0)</f>
        <v>10290.193019173099</v>
      </c>
    </row>
    <row r="96" spans="1:12">
      <c r="A96" s="90" t="str">
        <f t="shared" si="4"/>
        <v/>
      </c>
      <c r="B96" s="43" t="s">
        <v>114</v>
      </c>
      <c r="C96" s="43" t="str">
        <f>VLOOKUP(B96,'country codes'!$A$3:$B$287,2,0)</f>
        <v>TWN</v>
      </c>
      <c r="D96" s="91" t="str">
        <f t="shared" si="5"/>
        <v>2013TWN</v>
      </c>
      <c r="E96" s="43">
        <v>8</v>
      </c>
      <c r="F96" s="59">
        <f>VLOOKUP($D96,'All data'!$E$2:$M$2281,2,0)</f>
        <v>23421.581999999999</v>
      </c>
      <c r="G96" s="59">
        <f>VLOOKUP($D96,'All data'!$E$2:$M$2281,4,0)</f>
        <v>79.359300000000005</v>
      </c>
      <c r="H96" s="60">
        <f>VLOOKUP($D96,'All data'!$E$2:$M$2281,5,0)</f>
        <v>6.3403444290161133</v>
      </c>
      <c r="I96" s="60" t="str">
        <f>VLOOKUP($D96,'All data'!$E$2:$M$2281,6,0)</f>
        <v/>
      </c>
      <c r="J96" s="92" t="str">
        <f>VLOOKUP($D96,'All data'!$E$2:$M$2281,7,0)</f>
        <v/>
      </c>
      <c r="K96" s="43">
        <f>VLOOKUP($C$5,'All data'!$G$2285:$J$2299,4,0)</f>
        <v>1.64</v>
      </c>
      <c r="L96" s="93" t="e">
        <f>VLOOKUP($D96,'All data'!$E$2:$M$2281,9,0)</f>
        <v>#N/A</v>
      </c>
    </row>
    <row r="97" spans="1:12">
      <c r="A97" s="90">
        <f t="shared" si="4"/>
        <v>63</v>
      </c>
      <c r="B97" s="43" t="s">
        <v>119</v>
      </c>
      <c r="C97" s="43" t="str">
        <f>VLOOKUP(B97,'country codes'!$A$3:$B$287,2,0)</f>
        <v>AUS</v>
      </c>
      <c r="D97" s="91" t="str">
        <f t="shared" si="5"/>
        <v>2013AUS</v>
      </c>
      <c r="E97" s="43">
        <v>2</v>
      </c>
      <c r="F97" s="59">
        <f>VLOOKUP($D97,'All data'!$E$2:$M$2281,2,0)</f>
        <v>23254.912</v>
      </c>
      <c r="G97" s="59">
        <f>VLOOKUP($D97,'All data'!$E$2:$M$2281,4,0)</f>
        <v>82.5</v>
      </c>
      <c r="H97" s="60">
        <f>VLOOKUP($D97,'All data'!$E$2:$M$2281,5,0)</f>
        <v>7.3641691207885742</v>
      </c>
      <c r="I97" s="60">
        <f>VLOOKUP($D97,'All data'!$E$2:$M$2281,6,0)</f>
        <v>7.2740483651386203</v>
      </c>
      <c r="J97" s="92">
        <f>VLOOKUP($D97,'All data'!$E$2:$M$2281,7,0)</f>
        <v>44.4409124172224</v>
      </c>
      <c r="K97" s="43">
        <f>VLOOKUP($C$5,'All data'!$G$2285:$J$2299,4,0)</f>
        <v>1.64</v>
      </c>
      <c r="L97" s="93">
        <f>VLOOKUP($D97,'All data'!$E$2:$M$2281,9,0)</f>
        <v>46960.05024041899</v>
      </c>
    </row>
    <row r="98" spans="1:12">
      <c r="A98" s="90">
        <f t="shared" si="4"/>
        <v>90</v>
      </c>
      <c r="B98" s="43" t="s">
        <v>103</v>
      </c>
      <c r="C98" s="43" t="str">
        <f>VLOOKUP(B98,'country codes'!$A$3:$B$287,2,0)</f>
        <v>BLR</v>
      </c>
      <c r="D98" s="91" t="str">
        <f t="shared" si="5"/>
        <v>2013BLR</v>
      </c>
      <c r="E98" s="43">
        <v>7</v>
      </c>
      <c r="F98" s="59">
        <f>VLOOKUP($D98,'All data'!$E$2:$M$2281,2,0)</f>
        <v>9423.5020000000004</v>
      </c>
      <c r="G98" s="59">
        <f>VLOOKUP($D98,'All data'!$E$2:$M$2281,4,0)</f>
        <v>72.7</v>
      </c>
      <c r="H98" s="60">
        <f>VLOOKUP($D98,'All data'!$E$2:$M$2281,5,0)</f>
        <v>5.8764662742614746</v>
      </c>
      <c r="I98" s="60">
        <f>VLOOKUP($D98,'All data'!$E$2:$M$2281,6,0)</f>
        <v>4.5952043123554898</v>
      </c>
      <c r="J98" s="92">
        <f>VLOOKUP($D98,'All data'!$E$2:$M$2281,7,0)</f>
        <v>40.385925860048381</v>
      </c>
      <c r="K98" s="43">
        <f>VLOOKUP($C$5,'All data'!$G$2285:$J$2299,4,0)</f>
        <v>1.64</v>
      </c>
      <c r="L98" s="93">
        <f>VLOOKUP($D98,'All data'!$E$2:$M$2281,9,0)</f>
        <v>18760.16352401995</v>
      </c>
    </row>
    <row r="99" spans="1:12">
      <c r="A99" s="90" t="str">
        <f t="shared" si="4"/>
        <v/>
      </c>
      <c r="B99" s="43" t="s">
        <v>90</v>
      </c>
      <c r="C99" s="43" t="str">
        <f>VLOOKUP(B99,'country codes'!$A$3:$B$287,2,0)</f>
        <v>LAO</v>
      </c>
      <c r="D99" s="91" t="str">
        <f t="shared" si="5"/>
        <v>2013LAO</v>
      </c>
      <c r="E99" s="43">
        <v>8</v>
      </c>
      <c r="F99" s="59">
        <f>VLOOKUP($D99,'All data'!$E$2:$M$2281,2,0)</f>
        <v>6541.3019999999997</v>
      </c>
      <c r="G99" s="59">
        <f>VLOOKUP($D99,'All data'!$E$2:$M$2281,4,0)</f>
        <v>65.7</v>
      </c>
      <c r="H99" s="60" t="str">
        <f>VLOOKUP($D99,'All data'!$E$2:$M$2281,5,0)</f>
        <v/>
      </c>
      <c r="I99" s="60">
        <f>VLOOKUP($D99,'All data'!$E$2:$M$2281,6,0)</f>
        <v>1.5525700471122199</v>
      </c>
      <c r="J99" s="92" t="str">
        <f>VLOOKUP($D99,'All data'!$E$2:$M$2281,7,0)</f>
        <v/>
      </c>
      <c r="K99" s="43">
        <f>VLOOKUP($C$5,'All data'!$G$2285:$J$2299,4,0)</f>
        <v>1.64</v>
      </c>
      <c r="L99" s="93">
        <f>VLOOKUP($D99,'All data'!$E$2:$M$2281,9,0)</f>
        <v>5841.8800416898248</v>
      </c>
    </row>
    <row r="100" spans="1:12">
      <c r="A100" s="90">
        <f t="shared" si="4"/>
        <v>91</v>
      </c>
      <c r="B100" s="43" t="s">
        <v>97</v>
      </c>
      <c r="C100" s="43" t="str">
        <f>VLOOKUP(B100,'country codes'!$A$3:$B$287,2,0)</f>
        <v>LBY</v>
      </c>
      <c r="D100" s="91" t="str">
        <f t="shared" si="5"/>
        <v>2013LBY</v>
      </c>
      <c r="E100" s="43">
        <v>4</v>
      </c>
      <c r="F100" s="59">
        <f>VLOOKUP($D100,'All data'!$E$2:$M$2281,2,0)</f>
        <v>6320.35</v>
      </c>
      <c r="G100" s="59">
        <f>VLOOKUP($D100,'All data'!$E$2:$M$2281,4,0)</f>
        <v>71.900000000000006</v>
      </c>
      <c r="H100" s="60">
        <f>VLOOKUP($D100,'All data'!$E$2:$M$2281,5,0)</f>
        <v>5.7080642382303877</v>
      </c>
      <c r="I100" s="60">
        <f>VLOOKUP($D100,'All data'!$E$2:$M$2281,6,0)</f>
        <v>4.2281399530489097</v>
      </c>
      <c r="J100" s="92">
        <f>VLOOKUP($D100,'All data'!$E$2:$M$2281,7,0)</f>
        <v>40.370410552853727</v>
      </c>
      <c r="K100" s="43">
        <f>VLOOKUP($C$5,'All data'!$G$2285:$J$2299,4,0)</f>
        <v>1.64</v>
      </c>
      <c r="L100" s="93">
        <f>VLOOKUP($D100,'All data'!$E$2:$M$2281,9,0)</f>
        <v>16160.087227038855</v>
      </c>
    </row>
    <row r="101" spans="1:12">
      <c r="A101" s="90">
        <f t="shared" si="4"/>
        <v>75</v>
      </c>
      <c r="B101" s="43" t="s">
        <v>120</v>
      </c>
      <c r="C101" s="43" t="str">
        <f>VLOOKUP(B101,'country codes'!$A$3:$B$287,2,0)</f>
        <v>BEL</v>
      </c>
      <c r="D101" s="91" t="str">
        <f t="shared" si="5"/>
        <v>2013BEL</v>
      </c>
      <c r="E101" s="43">
        <v>3</v>
      </c>
      <c r="F101" s="59">
        <f>VLOOKUP($D101,'All data'!$E$2:$M$2281,2,0)</f>
        <v>11154.008</v>
      </c>
      <c r="G101" s="59">
        <f>VLOOKUP($D101,'All data'!$E$2:$M$2281,4,0)</f>
        <v>80.599999999999994</v>
      </c>
      <c r="H101" s="60">
        <f>VLOOKUP($D101,'All data'!$E$2:$M$2281,5,0)</f>
        <v>7.103661060333252</v>
      </c>
      <c r="I101" s="60">
        <f>VLOOKUP($D101,'All data'!$E$2:$M$2281,6,0)</f>
        <v>6.9689947557840002</v>
      </c>
      <c r="J101" s="92">
        <f>VLOOKUP($D101,'All data'!$E$2:$M$2281,7,0)</f>
        <v>43.079684023019006</v>
      </c>
      <c r="K101" s="43">
        <f>VLOOKUP($C$5,'All data'!$G$2285:$J$2299,4,0)</f>
        <v>1.64</v>
      </c>
      <c r="L101" s="93">
        <f>VLOOKUP($D101,'All data'!$E$2:$M$2281,9,0)</f>
        <v>48357.579170658857</v>
      </c>
    </row>
    <row r="102" spans="1:12">
      <c r="A102" s="90" t="str">
        <f t="shared" si="4"/>
        <v/>
      </c>
      <c r="B102" s="43" t="s">
        <v>68</v>
      </c>
      <c r="C102" s="43" t="str">
        <f>VLOOKUP(B102,'country codes'!$A$3:$B$287,2,0)</f>
        <v>COM</v>
      </c>
      <c r="D102" s="91" t="str">
        <f t="shared" si="5"/>
        <v>2013COM</v>
      </c>
      <c r="E102" s="43">
        <v>5</v>
      </c>
      <c r="F102" s="59">
        <f>VLOOKUP($D102,'All data'!$E$2:$M$2281,2,0)</f>
        <v>741.51099999999997</v>
      </c>
      <c r="G102" s="59">
        <f>VLOOKUP($D102,'All data'!$E$2:$M$2281,4,0)</f>
        <v>62.9</v>
      </c>
      <c r="H102" s="60" t="str">
        <f>VLOOKUP($D102,'All data'!$E$2:$M$2281,5,0)</f>
        <v/>
      </c>
      <c r="I102" s="60">
        <f>VLOOKUP($D102,'All data'!$E$2:$M$2281,6,0)</f>
        <v>1.12034874960779</v>
      </c>
      <c r="J102" s="92" t="str">
        <f>VLOOKUP($D102,'All data'!$E$2:$M$2281,7,0)</f>
        <v/>
      </c>
      <c r="K102" s="43">
        <f>VLOOKUP($C$5,'All data'!$G$2285:$J$2299,4,0)</f>
        <v>1.64</v>
      </c>
      <c r="L102" s="93">
        <f>VLOOKUP($D102,'All data'!$E$2:$M$2281,9,0)</f>
        <v>3005.5351762842452</v>
      </c>
    </row>
    <row r="103" spans="1:12">
      <c r="A103" s="90">
        <f t="shared" si="4"/>
        <v>81</v>
      </c>
      <c r="B103" s="43" t="s">
        <v>108</v>
      </c>
      <c r="C103" s="43" t="str">
        <f>VLOOKUP(B103,'country codes'!$A$3:$B$287,2,0)</f>
        <v>CHN</v>
      </c>
      <c r="D103" s="91" t="str">
        <f t="shared" si="5"/>
        <v>2013CHN</v>
      </c>
      <c r="E103" s="43">
        <v>8</v>
      </c>
      <c r="F103" s="59">
        <f>VLOOKUP($D103,'All data'!$E$2:$M$2281,2,0)</f>
        <v>1391883.335</v>
      </c>
      <c r="G103" s="59">
        <f>VLOOKUP($D103,'All data'!$E$2:$M$2281,4,0)</f>
        <v>75.3</v>
      </c>
      <c r="H103" s="60">
        <f>VLOOKUP($D103,'All data'!$E$2:$M$2281,5,0)</f>
        <v>5.2410902976989746</v>
      </c>
      <c r="I103" s="60">
        <f>VLOOKUP($D103,'All data'!$E$2:$M$2281,6,0)</f>
        <v>3.6541052038543498</v>
      </c>
      <c r="J103" s="92">
        <f>VLOOKUP($D103,'All data'!$E$2:$M$2281,7,0)</f>
        <v>42.223712273473268</v>
      </c>
      <c r="K103" s="43">
        <f>VLOOKUP($C$5,'All data'!$G$2285:$J$2299,4,0)</f>
        <v>1.64</v>
      </c>
      <c r="L103" s="93">
        <f>VLOOKUP($D103,'All data'!$E$2:$M$2281,9,0)</f>
        <v>11149.867558777172</v>
      </c>
    </row>
    <row r="104" spans="1:12">
      <c r="A104" s="90">
        <f t="shared" si="4"/>
        <v>73</v>
      </c>
      <c r="B104" s="43" t="s">
        <v>112</v>
      </c>
      <c r="C104" s="43" t="str">
        <f>VLOOKUP(B104,'country codes'!$A$3:$B$287,2,0)</f>
        <v>MYS</v>
      </c>
      <c r="D104" s="91" t="str">
        <f t="shared" si="5"/>
        <v>2013MYS</v>
      </c>
      <c r="E104" s="43">
        <v>8</v>
      </c>
      <c r="F104" s="59">
        <f>VLOOKUP($D104,'All data'!$E$2:$M$2281,2,0)</f>
        <v>29468.922999999999</v>
      </c>
      <c r="G104" s="59">
        <f>VLOOKUP($D104,'All data'!$E$2:$M$2281,4,0)</f>
        <v>75.099999999999994</v>
      </c>
      <c r="H104" s="60">
        <f>VLOOKUP($D104,'All data'!$E$2:$M$2281,5,0)</f>
        <v>5.7701997756958008</v>
      </c>
      <c r="I104" s="60">
        <f>VLOOKUP($D104,'All data'!$E$2:$M$2281,6,0)</f>
        <v>4.0853761207383803</v>
      </c>
      <c r="J104" s="92">
        <f>VLOOKUP($D104,'All data'!$E$2:$M$2281,7,0)</f>
        <v>43.333744791759827</v>
      </c>
      <c r="K104" s="43">
        <f>VLOOKUP($C$5,'All data'!$G$2285:$J$2299,4,0)</f>
        <v>1.64</v>
      </c>
      <c r="L104" s="93">
        <f>VLOOKUP($D104,'All data'!$E$2:$M$2281,9,0)</f>
        <v>22855.989250344293</v>
      </c>
    </row>
    <row r="105" spans="1:12">
      <c r="A105" s="90">
        <f t="shared" si="4"/>
        <v>83</v>
      </c>
      <c r="B105" s="43" t="s">
        <v>73</v>
      </c>
      <c r="C105" s="43" t="str">
        <f>VLOOKUP(B105,'country codes'!$A$3:$B$287,2,0)</f>
        <v>ETH</v>
      </c>
      <c r="D105" s="91" t="str">
        <f t="shared" si="5"/>
        <v>2013ETH</v>
      </c>
      <c r="E105" s="43">
        <v>5</v>
      </c>
      <c r="F105" s="59">
        <f>VLOOKUP($D105,'All data'!$E$2:$M$2281,2,0)</f>
        <v>95385.793000000005</v>
      </c>
      <c r="G105" s="59">
        <f>VLOOKUP($D105,'All data'!$E$2:$M$2281,4,0)</f>
        <v>64</v>
      </c>
      <c r="H105" s="60">
        <f>VLOOKUP($D105,'All data'!$E$2:$M$2281,5,0)</f>
        <v>4.4448270797729492</v>
      </c>
      <c r="I105" s="60">
        <f>VLOOKUP($D105,'All data'!$E$2:$M$2281,6,0)</f>
        <v>1.0187506656711101</v>
      </c>
      <c r="J105" s="92">
        <f>VLOOKUP($D105,'All data'!$E$2:$M$2281,7,0)</f>
        <v>42.113372213770873</v>
      </c>
      <c r="K105" s="43">
        <f>VLOOKUP($C$5,'All data'!$G$2285:$J$2299,4,0)</f>
        <v>1.64</v>
      </c>
      <c r="L105" s="93">
        <f>VLOOKUP($D105,'All data'!$E$2:$M$2281,9,0)</f>
        <v>1545.1780856012956</v>
      </c>
    </row>
    <row r="106" spans="1:12">
      <c r="A106" s="90">
        <f t="shared" ref="A106:A137" si="6">IFERROR(RANK(J106,$J$10:$J$161),"")</f>
        <v>89</v>
      </c>
      <c r="B106" s="43" t="s">
        <v>121</v>
      </c>
      <c r="C106" s="43" t="str">
        <f>VLOOKUP(B106,'country codes'!$A$3:$B$287,2,0)</f>
        <v>SAU</v>
      </c>
      <c r="D106" s="91" t="str">
        <f t="shared" ref="D106:D137" si="7">$C$5&amp;C106</f>
        <v>2013SAU</v>
      </c>
      <c r="E106" s="43">
        <v>4</v>
      </c>
      <c r="F106" s="59">
        <f>VLOOKUP($D106,'All data'!$E$2:$M$2281,2,0)</f>
        <v>30052.058000000001</v>
      </c>
      <c r="G106" s="59">
        <f>VLOOKUP($D106,'All data'!$E$2:$M$2281,4,0)</f>
        <v>74.400000000000006</v>
      </c>
      <c r="H106" s="60">
        <f>VLOOKUP($D106,'All data'!$E$2:$M$2281,5,0)</f>
        <v>6.4951329231262207</v>
      </c>
      <c r="I106" s="60">
        <f>VLOOKUP($D106,'All data'!$E$2:$M$2281,6,0)</f>
        <v>5.7643356405669897</v>
      </c>
      <c r="J106" s="92">
        <f>VLOOKUP($D106,'All data'!$E$2:$M$2281,7,0)</f>
        <v>40.429391009777923</v>
      </c>
      <c r="K106" s="43">
        <f>VLOOKUP($C$5,'All data'!$G$2285:$J$2299,4,0)</f>
        <v>1.64</v>
      </c>
      <c r="L106" s="93">
        <f>VLOOKUP($D106,'All data'!$E$2:$M$2281,9,0)</f>
        <v>47847.644071841336</v>
      </c>
    </row>
    <row r="107" spans="1:12">
      <c r="A107" s="90">
        <f t="shared" si="6"/>
        <v>133</v>
      </c>
      <c r="B107" s="43" t="s">
        <v>80</v>
      </c>
      <c r="C107" s="43" t="str">
        <f>VLOOKUP(B107,'country codes'!$A$3:$B$287,2,0)</f>
        <v>BFA</v>
      </c>
      <c r="D107" s="91" t="str">
        <f t="shared" si="7"/>
        <v>2013BFA</v>
      </c>
      <c r="E107" s="43">
        <v>5</v>
      </c>
      <c r="F107" s="59">
        <f>VLOOKUP($D107,'All data'!$E$2:$M$2281,2,0)</f>
        <v>17072.791000000001</v>
      </c>
      <c r="G107" s="59">
        <f>VLOOKUP($D107,'All data'!$E$2:$M$2281,4,0)</f>
        <v>58.9</v>
      </c>
      <c r="H107" s="60">
        <f>VLOOKUP($D107,'All data'!$E$2:$M$2281,5,0)</f>
        <v>3.3259496688842773</v>
      </c>
      <c r="I107" s="60">
        <f>VLOOKUP($D107,'All data'!$E$2:$M$2281,6,0)</f>
        <v>1.21521267259736</v>
      </c>
      <c r="J107" s="92">
        <f>VLOOKUP($D107,'All data'!$E$2:$M$2281,7,0)</f>
        <v>30.368892219341166</v>
      </c>
      <c r="K107" s="43">
        <f>VLOOKUP($C$5,'All data'!$G$2285:$J$2299,4,0)</f>
        <v>1.64</v>
      </c>
      <c r="L107" s="93">
        <f>VLOOKUP($D107,'All data'!$E$2:$M$2281,9,0)</f>
        <v>1883.798305122782</v>
      </c>
    </row>
    <row r="108" spans="1:12">
      <c r="A108" s="90">
        <f t="shared" si="6"/>
        <v>132</v>
      </c>
      <c r="B108" s="43" t="s">
        <v>89</v>
      </c>
      <c r="C108" s="43" t="str">
        <f>VLOOKUP(B108,'country codes'!$A$3:$B$287,2,0)</f>
        <v>BEN</v>
      </c>
      <c r="D108" s="91" t="str">
        <f t="shared" si="7"/>
        <v>2013BEN</v>
      </c>
      <c r="E108" s="43">
        <v>5</v>
      </c>
      <c r="F108" s="59">
        <f>VLOOKUP($D108,'All data'!$E$2:$M$2281,2,0)</f>
        <v>10004.593999999999</v>
      </c>
      <c r="G108" s="59">
        <f>VLOOKUP($D108,'All data'!$E$2:$M$2281,4,0)</f>
        <v>60.1</v>
      </c>
      <c r="H108" s="60">
        <f>VLOOKUP($D108,'All data'!$E$2:$M$2281,5,0)</f>
        <v>3.4794127941131592</v>
      </c>
      <c r="I108" s="60">
        <f>VLOOKUP($D108,'All data'!$E$2:$M$2281,6,0)</f>
        <v>1.3823496744641699</v>
      </c>
      <c r="J108" s="92">
        <f>VLOOKUP($D108,'All data'!$E$2:$M$2281,7,0)</f>
        <v>31.400302205090494</v>
      </c>
      <c r="K108" s="43">
        <f>VLOOKUP($C$5,'All data'!$G$2285:$J$2299,4,0)</f>
        <v>1.64</v>
      </c>
      <c r="L108" s="93">
        <f>VLOOKUP($D108,'All data'!$E$2:$M$2281,9,0)</f>
        <v>2876.9056341833466</v>
      </c>
    </row>
    <row r="109" spans="1:12">
      <c r="A109" s="90">
        <f t="shared" si="6"/>
        <v>129</v>
      </c>
      <c r="B109" s="43" t="s">
        <v>91</v>
      </c>
      <c r="C109" s="43" t="str">
        <f>VLOOKUP(B109,'country codes'!$A$3:$B$287,2,0)</f>
        <v>NER</v>
      </c>
      <c r="D109" s="91" t="str">
        <f t="shared" si="7"/>
        <v>2013NER</v>
      </c>
      <c r="E109" s="43">
        <v>5</v>
      </c>
      <c r="F109" s="59">
        <f>VLOOKUP($D109,'All data'!$E$2:$M$2281,2,0)</f>
        <v>18504.287</v>
      </c>
      <c r="G109" s="59">
        <f>VLOOKUP($D109,'All data'!$E$2:$M$2281,4,0)</f>
        <v>59.5</v>
      </c>
      <c r="H109" s="60">
        <f>VLOOKUP($D109,'All data'!$E$2:$M$2281,5,0)</f>
        <v>3.71632981300354</v>
      </c>
      <c r="I109" s="60">
        <f>VLOOKUP($D109,'All data'!$E$2:$M$2281,6,0)</f>
        <v>1.5447414027429101</v>
      </c>
      <c r="J109" s="92">
        <f>VLOOKUP($D109,'All data'!$E$2:$M$2281,7,0)</f>
        <v>31.770010598751998</v>
      </c>
      <c r="K109" s="43">
        <f>VLOOKUP($C$5,'All data'!$G$2285:$J$2299,4,0)</f>
        <v>1.64</v>
      </c>
      <c r="L109" s="93">
        <f>VLOOKUP($D109,'All data'!$E$2:$M$2281,9,0)</f>
        <v>1099.4341473814263</v>
      </c>
    </row>
    <row r="110" spans="1:12">
      <c r="A110" s="90">
        <f t="shared" si="6"/>
        <v>77</v>
      </c>
      <c r="B110" s="43" t="s">
        <v>116</v>
      </c>
      <c r="C110" s="43" t="str">
        <f>VLOOKUP(B110,'country codes'!$A$3:$B$287,2,0)</f>
        <v>MNE</v>
      </c>
      <c r="D110" s="91" t="str">
        <f t="shared" si="7"/>
        <v>2013MNE</v>
      </c>
      <c r="E110" s="43">
        <v>7</v>
      </c>
      <c r="F110" s="59">
        <f>VLOOKUP($D110,'All data'!$E$2:$M$2281,2,0)</f>
        <v>626.34199999999998</v>
      </c>
      <c r="G110" s="59">
        <f>VLOOKUP($D110,'All data'!$E$2:$M$2281,4,0)</f>
        <v>76.099999999999994</v>
      </c>
      <c r="H110" s="60">
        <f>VLOOKUP($D110,'All data'!$E$2:$M$2281,5,0)</f>
        <v>5.0743417739868164</v>
      </c>
      <c r="I110" s="60">
        <f>VLOOKUP($D110,'All data'!$E$2:$M$2281,6,0)</f>
        <v>3.39058025663264</v>
      </c>
      <c r="J110" s="92">
        <f>VLOOKUP($D110,'All data'!$E$2:$M$2281,7,0)</f>
        <v>42.868370940856195</v>
      </c>
      <c r="K110" s="43">
        <f>VLOOKUP($C$5,'All data'!$G$2285:$J$2299,4,0)</f>
        <v>1.64</v>
      </c>
      <c r="L110" s="93">
        <f>VLOOKUP($D110,'All data'!$E$2:$M$2281,9,0)</f>
        <v>17437.211816440769</v>
      </c>
    </row>
    <row r="111" spans="1:12">
      <c r="A111" s="90">
        <f t="shared" si="6"/>
        <v>80</v>
      </c>
      <c r="B111" s="43" t="s">
        <v>111</v>
      </c>
      <c r="C111" s="43" t="str">
        <f>VLOOKUP(B111,'country codes'!$A$3:$B$287,2,0)</f>
        <v>TUR</v>
      </c>
      <c r="D111" s="91" t="str">
        <f t="shared" si="7"/>
        <v>2013TUR</v>
      </c>
      <c r="E111" s="43">
        <v>4</v>
      </c>
      <c r="F111" s="59">
        <f>VLOOKUP($D111,'All data'!$E$2:$M$2281,2,0)</f>
        <v>75925.453999999998</v>
      </c>
      <c r="G111" s="59">
        <f>VLOOKUP($D111,'All data'!$E$2:$M$2281,4,0)</f>
        <v>75.8</v>
      </c>
      <c r="H111" s="60">
        <f>VLOOKUP($D111,'All data'!$E$2:$M$2281,5,0)</f>
        <v>4.8881773948669434</v>
      </c>
      <c r="I111" s="60">
        <f>VLOOKUP($D111,'All data'!$E$2:$M$2281,6,0)</f>
        <v>3.21559887535531</v>
      </c>
      <c r="J111" s="92">
        <f>VLOOKUP($D111,'All data'!$E$2:$M$2281,7,0)</f>
        <v>42.303406329602062</v>
      </c>
      <c r="K111" s="43">
        <f>VLOOKUP($C$5,'All data'!$G$2285:$J$2299,4,0)</f>
        <v>1.64</v>
      </c>
      <c r="L111" s="93">
        <f>VLOOKUP($D111,'All data'!$E$2:$M$2281,9,0)</f>
        <v>24193.675445300141</v>
      </c>
    </row>
    <row r="112" spans="1:12">
      <c r="A112" s="90">
        <f t="shared" si="6"/>
        <v>101</v>
      </c>
      <c r="B112" s="43" t="s">
        <v>107</v>
      </c>
      <c r="C112" s="43" t="str">
        <f>VLOOKUP(B112,'country codes'!$A$3:$B$287,2,0)</f>
        <v>UKR</v>
      </c>
      <c r="D112" s="91" t="str">
        <f t="shared" si="7"/>
        <v>2013UKR</v>
      </c>
      <c r="E112" s="43">
        <v>7</v>
      </c>
      <c r="F112" s="59">
        <f>VLOOKUP($D112,'All data'!$E$2:$M$2281,2,0)</f>
        <v>45286.987999999998</v>
      </c>
      <c r="G112" s="59">
        <f>VLOOKUP($D112,'All data'!$E$2:$M$2281,4,0)</f>
        <v>70.900000000000006</v>
      </c>
      <c r="H112" s="60">
        <f>VLOOKUP($D112,'All data'!$E$2:$M$2281,5,0)</f>
        <v>4.7108025550842285</v>
      </c>
      <c r="I112" s="60">
        <f>VLOOKUP($D112,'All data'!$E$2:$M$2281,6,0)</f>
        <v>3.1634608892863301</v>
      </c>
      <c r="J112" s="92">
        <f>VLOOKUP($D112,'All data'!$E$2:$M$2281,7,0)</f>
        <v>38.367003199490497</v>
      </c>
      <c r="K112" s="43">
        <f>VLOOKUP($C$5,'All data'!$G$2285:$J$2299,4,0)</f>
        <v>1.64</v>
      </c>
      <c r="L112" s="93">
        <f>VLOOKUP($D112,'All data'!$E$2:$M$2281,9,0)</f>
        <v>12552.6697613585</v>
      </c>
    </row>
    <row r="113" spans="1:12">
      <c r="A113" s="90">
        <f t="shared" si="6"/>
        <v>96</v>
      </c>
      <c r="B113" s="43" t="s">
        <v>82</v>
      </c>
      <c r="C113" s="43" t="str">
        <f>VLOOKUP(B113,'country codes'!$A$3:$B$287,2,0)</f>
        <v>COD</v>
      </c>
      <c r="D113" s="91" t="str">
        <f t="shared" si="7"/>
        <v>2013COD</v>
      </c>
      <c r="E113" s="43">
        <v>5</v>
      </c>
      <c r="F113" s="59">
        <f>VLOOKUP($D113,'All data'!$E$2:$M$2281,2,0)</f>
        <v>71358.804000000004</v>
      </c>
      <c r="G113" s="59">
        <f>VLOOKUP($D113,'All data'!$E$2:$M$2281,4,0)</f>
        <v>58.4</v>
      </c>
      <c r="H113" s="60">
        <f>VLOOKUP($D113,'All data'!$E$2:$M$2281,5,0)</f>
        <v>4.4974770545959473</v>
      </c>
      <c r="I113" s="60">
        <f>VLOOKUP($D113,'All data'!$E$2:$M$2281,6,0)</f>
        <v>0.86174067882497596</v>
      </c>
      <c r="J113" s="92">
        <f>VLOOKUP($D113,'All data'!$E$2:$M$2281,7,0)</f>
        <v>38.903384096807102</v>
      </c>
      <c r="K113" s="43">
        <f>VLOOKUP($C$5,'All data'!$G$2285:$J$2299,4,0)</f>
        <v>1.64</v>
      </c>
      <c r="L113" s="93">
        <f>VLOOKUP($D113,'All data'!$E$2:$M$2281,9,0)</f>
        <v>972.45589344605685</v>
      </c>
    </row>
    <row r="114" spans="1:12">
      <c r="A114" s="90">
        <f t="shared" si="6"/>
        <v>88</v>
      </c>
      <c r="B114" s="43" t="s">
        <v>130</v>
      </c>
      <c r="C114" s="43" t="str">
        <f>VLOOKUP(B114,'country codes'!$A$3:$B$287,2,0)</f>
        <v>CAN</v>
      </c>
      <c r="D114" s="91" t="str">
        <f t="shared" si="7"/>
        <v>2013CAN</v>
      </c>
      <c r="E114" s="43">
        <v>2</v>
      </c>
      <c r="F114" s="59">
        <f>VLOOKUP($D114,'All data'!$E$2:$M$2281,2,0)</f>
        <v>35296.535000000003</v>
      </c>
      <c r="G114" s="59">
        <f>VLOOKUP($D114,'All data'!$E$2:$M$2281,4,0)</f>
        <v>81.8</v>
      </c>
      <c r="H114" s="60">
        <f>VLOOKUP($D114,'All data'!$E$2:$M$2281,5,0)</f>
        <v>7.5937938690185547</v>
      </c>
      <c r="I114" s="60">
        <f>VLOOKUP($D114,'All data'!$E$2:$M$2281,6,0)</f>
        <v>8.7944658003328406</v>
      </c>
      <c r="J114" s="92">
        <f>VLOOKUP($D114,'All data'!$E$2:$M$2281,7,0)</f>
        <v>40.587444397269124</v>
      </c>
      <c r="K114" s="43">
        <f>VLOOKUP($C$5,'All data'!$G$2285:$J$2299,4,0)</f>
        <v>1.64</v>
      </c>
      <c r="L114" s="93">
        <f>VLOOKUP($D114,'All data'!$E$2:$M$2281,9,0)</f>
        <v>46810.286839871202</v>
      </c>
    </row>
    <row r="115" spans="1:12">
      <c r="A115" s="90">
        <f t="shared" si="6"/>
        <v>112</v>
      </c>
      <c r="B115" s="43" t="s">
        <v>122</v>
      </c>
      <c r="C115" s="43" t="str">
        <f>VLOOKUP(B115,'country codes'!$A$3:$B$287,2,0)</f>
        <v>BGR</v>
      </c>
      <c r="D115" s="91" t="str">
        <f t="shared" si="7"/>
        <v>2013BGR</v>
      </c>
      <c r="E115" s="43">
        <v>7</v>
      </c>
      <c r="F115" s="59">
        <f>VLOOKUP($D115,'All data'!$E$2:$M$2281,2,0)</f>
        <v>7290.0919999999996</v>
      </c>
      <c r="G115" s="59">
        <f>VLOOKUP($D115,'All data'!$E$2:$M$2281,4,0)</f>
        <v>74.3</v>
      </c>
      <c r="H115" s="60">
        <f>VLOOKUP($D115,'All data'!$E$2:$M$2281,5,0)</f>
        <v>3.9930205345153809</v>
      </c>
      <c r="I115" s="60">
        <f>VLOOKUP($D115,'All data'!$E$2:$M$2281,6,0)</f>
        <v>3.18114134732595</v>
      </c>
      <c r="J115" s="92">
        <f>VLOOKUP($D115,'All data'!$E$2:$M$2281,7,0)</f>
        <v>36.054527856670319</v>
      </c>
      <c r="K115" s="43">
        <f>VLOOKUP($C$5,'All data'!$G$2285:$J$2299,4,0)</f>
        <v>1.64</v>
      </c>
      <c r="L115" s="93">
        <f>VLOOKUP($D115,'All data'!$E$2:$M$2281,9,0)</f>
        <v>18354.564903525687</v>
      </c>
    </row>
    <row r="116" spans="1:12">
      <c r="A116" s="90">
        <f t="shared" si="6"/>
        <v>97</v>
      </c>
      <c r="B116" s="43" t="s">
        <v>102</v>
      </c>
      <c r="C116" s="43" t="str">
        <f>VLOOKUP(B116,'country codes'!$A$3:$B$287,2,0)</f>
        <v>MMR</v>
      </c>
      <c r="D116" s="91" t="str">
        <f t="shared" si="7"/>
        <v>2013MMR</v>
      </c>
      <c r="E116" s="43">
        <v>8</v>
      </c>
      <c r="F116" s="59">
        <f>VLOOKUP($D116,'All data'!$E$2:$M$2281,2,0)</f>
        <v>51852.464</v>
      </c>
      <c r="G116" s="59">
        <f>VLOOKUP($D116,'All data'!$E$2:$M$2281,4,0)</f>
        <v>64.900000000000006</v>
      </c>
      <c r="H116" s="60">
        <f>VLOOKUP($D116,'All data'!$E$2:$M$2281,5,0)</f>
        <v>4.1756706237792969</v>
      </c>
      <c r="I116" s="60">
        <f>VLOOKUP($D116,'All data'!$E$2:$M$2281,6,0)</f>
        <v>1.4232138663239</v>
      </c>
      <c r="J116" s="92">
        <f>VLOOKUP($D116,'All data'!$E$2:$M$2281,7,0)</f>
        <v>38.845328538983367</v>
      </c>
      <c r="K116" s="43">
        <f>VLOOKUP($C$5,'All data'!$G$2285:$J$2299,4,0)</f>
        <v>1.64</v>
      </c>
      <c r="L116" s="93">
        <f>VLOOKUP($D116,'All data'!$E$2:$M$2281,9,0)</f>
        <v>3753.3223051810123</v>
      </c>
    </row>
    <row r="117" spans="1:12">
      <c r="A117" s="90">
        <f t="shared" si="6"/>
        <v>117</v>
      </c>
      <c r="B117" s="43" t="s">
        <v>96</v>
      </c>
      <c r="C117" s="43" t="str">
        <f>VLOOKUP(B117,'country codes'!$A$3:$B$287,2,0)</f>
        <v>CMR</v>
      </c>
      <c r="D117" s="91" t="str">
        <f t="shared" si="7"/>
        <v>2013CMR</v>
      </c>
      <c r="E117" s="43">
        <v>5</v>
      </c>
      <c r="F117" s="59">
        <f>VLOOKUP($D117,'All data'!$E$2:$M$2281,2,0)</f>
        <v>22077.3</v>
      </c>
      <c r="G117" s="59">
        <f>VLOOKUP($D117,'All data'!$E$2:$M$2281,4,0)</f>
        <v>56.6</v>
      </c>
      <c r="H117" s="60">
        <f>VLOOKUP($D117,'All data'!$E$2:$M$2281,5,0)</f>
        <v>4.2710380554199219</v>
      </c>
      <c r="I117" s="60">
        <f>VLOOKUP($D117,'All data'!$E$2:$M$2281,6,0)</f>
        <v>1.2754278648919</v>
      </c>
      <c r="J117" s="92">
        <f>VLOOKUP($D117,'All data'!$E$2:$M$2281,7,0)</f>
        <v>34.1289056579337</v>
      </c>
      <c r="K117" s="43">
        <f>VLOOKUP($C$5,'All data'!$G$2285:$J$2299,4,0)</f>
        <v>1.64</v>
      </c>
      <c r="L117" s="93">
        <f>VLOOKUP($D117,'All data'!$E$2:$M$2281,9,0)</f>
        <v>3262.7635945137918</v>
      </c>
    </row>
    <row r="118" spans="1:12">
      <c r="A118" s="90">
        <f t="shared" si="6"/>
        <v>131</v>
      </c>
      <c r="B118" s="43" t="s">
        <v>109</v>
      </c>
      <c r="C118" s="43" t="str">
        <f>VLOOKUP(B118,'country codes'!$A$3:$B$287,2,0)</f>
        <v>GAB</v>
      </c>
      <c r="D118" s="91" t="str">
        <f t="shared" si="7"/>
        <v>2013GAB</v>
      </c>
      <c r="E118" s="43">
        <v>5</v>
      </c>
      <c r="F118" s="59">
        <f>VLOOKUP($D118,'All data'!$E$2:$M$2281,2,0)</f>
        <v>1817.07</v>
      </c>
      <c r="G118" s="59">
        <f>VLOOKUP($D118,'All data'!$E$2:$M$2281,4,0)</f>
        <v>63.6</v>
      </c>
      <c r="H118" s="60">
        <f>VLOOKUP($D118,'All data'!$E$2:$M$2281,5,0)</f>
        <v>3.8002870082855225</v>
      </c>
      <c r="I118" s="60">
        <f>VLOOKUP($D118,'All data'!$E$2:$M$2281,6,0)</f>
        <v>2.4274650049603599</v>
      </c>
      <c r="J118" s="92">
        <f>VLOOKUP($D118,'All data'!$E$2:$M$2281,7,0)</f>
        <v>31.479031822694211</v>
      </c>
      <c r="K118" s="43">
        <f>VLOOKUP($C$5,'All data'!$G$2285:$J$2299,4,0)</f>
        <v>1.64</v>
      </c>
      <c r="L118" s="93">
        <f>VLOOKUP($D118,'All data'!$E$2:$M$2281,9,0)</f>
        <v>15342.172866190251</v>
      </c>
    </row>
    <row r="119" spans="1:12">
      <c r="A119" s="90">
        <f t="shared" si="6"/>
        <v>85</v>
      </c>
      <c r="B119" s="94" t="s">
        <v>127</v>
      </c>
      <c r="C119" s="43" t="str">
        <f>VLOOKUP(B119,'country codes'!$A$3:$B$287,2,0)</f>
        <v>KOR</v>
      </c>
      <c r="D119" s="91" t="str">
        <f t="shared" si="7"/>
        <v>2013KOR</v>
      </c>
      <c r="E119" s="43">
        <v>8</v>
      </c>
      <c r="F119" s="59">
        <f>VLOOKUP($D119,'All data'!$E$2:$M$2281,2,0)</f>
        <v>50345.72</v>
      </c>
      <c r="G119" s="59">
        <f>VLOOKUP($D119,'All data'!$E$2:$M$2281,4,0)</f>
        <v>81.5</v>
      </c>
      <c r="H119" s="60">
        <f>VLOOKUP($D119,'All data'!$E$2:$M$2281,5,0)</f>
        <v>5.9588098526000977</v>
      </c>
      <c r="I119" s="60">
        <f>VLOOKUP($D119,'All data'!$E$2:$M$2281,6,0)</f>
        <v>5.7524472157032802</v>
      </c>
      <c r="J119" s="92">
        <f>VLOOKUP($D119,'All data'!$E$2:$M$2281,7,0)</f>
        <v>41.960729711195192</v>
      </c>
      <c r="K119" s="43">
        <f>VLOOKUP($C$5,'All data'!$G$2285:$J$2299,4,0)</f>
        <v>1.64</v>
      </c>
      <c r="L119" s="93">
        <f>VLOOKUP($D119,'All data'!$E$2:$M$2281,9,0)</f>
        <v>37159.634786389695</v>
      </c>
    </row>
    <row r="120" spans="1:12">
      <c r="A120" s="90">
        <f t="shared" si="6"/>
        <v>135</v>
      </c>
      <c r="B120" s="43" t="s">
        <v>104</v>
      </c>
      <c r="C120" s="43" t="str">
        <f>VLOOKUP(B120,'country codes'!$A$3:$B$287,2,0)</f>
        <v>CIV</v>
      </c>
      <c r="D120" s="91" t="str">
        <f t="shared" si="7"/>
        <v>2013CIV</v>
      </c>
      <c r="E120" s="43">
        <v>5</v>
      </c>
      <c r="F120" s="59">
        <f>VLOOKUP($D120,'All data'!$E$2:$M$2281,2,0)</f>
        <v>22087.506000000001</v>
      </c>
      <c r="G120" s="59">
        <f>VLOOKUP($D120,'All data'!$E$2:$M$2281,4,0)</f>
        <v>54.9</v>
      </c>
      <c r="H120" s="60">
        <f>VLOOKUP($D120,'All data'!$E$2:$M$2281,5,0)</f>
        <v>3.7393655776977539</v>
      </c>
      <c r="I120" s="60">
        <f>VLOOKUP($D120,'All data'!$E$2:$M$2281,6,0)</f>
        <v>1.2243817398298</v>
      </c>
      <c r="J120" s="92">
        <f>VLOOKUP($D120,'All data'!$E$2:$M$2281,7,0)</f>
        <v>30.09755241248714</v>
      </c>
      <c r="K120" s="43">
        <f>VLOOKUP($C$5,'All data'!$G$2285:$J$2299,4,0)</f>
        <v>1.64</v>
      </c>
      <c r="L120" s="93">
        <f>VLOOKUP($D120,'All data'!$E$2:$M$2281,9,0)</f>
        <v>3922.5410618889209</v>
      </c>
    </row>
    <row r="121" spans="1:12">
      <c r="A121" s="90">
        <f t="shared" si="6"/>
        <v>92</v>
      </c>
      <c r="B121" s="43" t="s">
        <v>99</v>
      </c>
      <c r="C121" s="43" t="str">
        <f>VLOOKUP(B121,'country codes'!$A$3:$B$287,2,0)</f>
        <v>SDN</v>
      </c>
      <c r="D121" s="91" t="str">
        <f t="shared" si="7"/>
        <v>2013SDN</v>
      </c>
      <c r="E121" s="43">
        <v>5</v>
      </c>
      <c r="F121" s="59">
        <f>VLOOKUP($D121,'All data'!$E$2:$M$2281,2,0)</f>
        <v>37072.555</v>
      </c>
      <c r="G121" s="59">
        <f>VLOOKUP($D121,'All data'!$E$2:$M$2281,4,0)</f>
        <v>63.9</v>
      </c>
      <c r="H121" s="60">
        <f>VLOOKUP($D121,'All data'!$E$2:$M$2281,5,0)</f>
        <v>4.3445861339569092</v>
      </c>
      <c r="I121" s="60">
        <f>VLOOKUP($D121,'All data'!$E$2:$M$2281,6,0)</f>
        <v>1.35048730180647</v>
      </c>
      <c r="J121" s="92">
        <f>VLOOKUP($D121,'All data'!$E$2:$M$2281,7,0)</f>
        <v>39.584862815307879</v>
      </c>
      <c r="K121" s="43">
        <f>VLOOKUP($C$5,'All data'!$G$2285:$J$2299,4,0)</f>
        <v>1.64</v>
      </c>
      <c r="L121" s="93">
        <f>VLOOKUP($D121,'All data'!$E$2:$M$2281,9,0)</f>
        <v>4083.6557788902301</v>
      </c>
    </row>
    <row r="122" spans="1:12">
      <c r="A122" s="90">
        <f t="shared" si="6"/>
        <v>94</v>
      </c>
      <c r="B122" s="43" t="s">
        <v>110</v>
      </c>
      <c r="C122" s="43" t="str">
        <f>VLOOKUP(B122,'country codes'!$A$3:$B$287,2,0)</f>
        <v>GHA</v>
      </c>
      <c r="D122" s="91" t="str">
        <f t="shared" si="7"/>
        <v>2013GHA</v>
      </c>
      <c r="E122" s="43">
        <v>5</v>
      </c>
      <c r="F122" s="59">
        <f>VLOOKUP($D122,'All data'!$E$2:$M$2281,2,0)</f>
        <v>26607.641</v>
      </c>
      <c r="G122" s="59">
        <f>VLOOKUP($D122,'All data'!$E$2:$M$2281,4,0)</f>
        <v>62.1</v>
      </c>
      <c r="H122" s="60">
        <f>VLOOKUP($D122,'All data'!$E$2:$M$2281,5,0)</f>
        <v>4.9650530815124512</v>
      </c>
      <c r="I122" s="60">
        <f>VLOOKUP($D122,'All data'!$E$2:$M$2281,6,0)</f>
        <v>1.9669191522409899</v>
      </c>
      <c r="J122" s="92">
        <f>VLOOKUP($D122,'All data'!$E$2:$M$2281,7,0)</f>
        <v>39.049763363103409</v>
      </c>
      <c r="K122" s="43">
        <f>VLOOKUP($C$5,'All data'!$G$2285:$J$2299,4,0)</f>
        <v>1.64</v>
      </c>
      <c r="L122" s="93">
        <f>VLOOKUP($D122,'All data'!$E$2:$M$2281,9,0)</f>
        <v>4649.4393848246418</v>
      </c>
    </row>
    <row r="123" spans="1:12">
      <c r="A123" s="90">
        <f t="shared" si="6"/>
        <v>134</v>
      </c>
      <c r="B123" s="43" t="s">
        <v>105</v>
      </c>
      <c r="C123" s="43" t="str">
        <f>VLOOKUP(B123,'country codes'!$A$3:$B$287,2,0)</f>
        <v>MLI</v>
      </c>
      <c r="D123" s="91" t="str">
        <f t="shared" si="7"/>
        <v>2013MLI</v>
      </c>
      <c r="E123" s="43">
        <v>5</v>
      </c>
      <c r="F123" s="59">
        <f>VLOOKUP($D123,'All data'!$E$2:$M$2281,2,0)</f>
        <v>16449.853999999999</v>
      </c>
      <c r="G123" s="59">
        <f>VLOOKUP($D123,'All data'!$E$2:$M$2281,4,0)</f>
        <v>56.6</v>
      </c>
      <c r="H123" s="60">
        <f>VLOOKUP($D123,'All data'!$E$2:$M$2281,5,0)</f>
        <v>3.6762771606445313</v>
      </c>
      <c r="I123" s="60">
        <f>VLOOKUP($D123,'All data'!$E$2:$M$2281,6,0)</f>
        <v>1.4210645750633799</v>
      </c>
      <c r="J123" s="92">
        <f>VLOOKUP($D123,'All data'!$E$2:$M$2281,7,0)</f>
        <v>30.116313690467987</v>
      </c>
      <c r="K123" s="43">
        <f>VLOOKUP($C$5,'All data'!$G$2285:$J$2299,4,0)</f>
        <v>1.64</v>
      </c>
      <c r="L123" s="93">
        <f>VLOOKUP($D123,'All data'!$E$2:$M$2281,9,0)</f>
        <v>1995.1580387222702</v>
      </c>
    </row>
    <row r="124" spans="1:12">
      <c r="A124" s="90">
        <f t="shared" si="6"/>
        <v>100</v>
      </c>
      <c r="B124" s="43" t="s">
        <v>93</v>
      </c>
      <c r="C124" s="43" t="str">
        <f>VLOOKUP(B124,'country codes'!$A$3:$B$287,2,0)</f>
        <v>RWA</v>
      </c>
      <c r="D124" s="91" t="str">
        <f t="shared" si="7"/>
        <v>2013RWA</v>
      </c>
      <c r="E124" s="43">
        <v>5</v>
      </c>
      <c r="F124" s="59">
        <f>VLOOKUP($D124,'All data'!$E$2:$M$2281,2,0)</f>
        <v>10811.538</v>
      </c>
      <c r="G124" s="59">
        <f>VLOOKUP($D124,'All data'!$E$2:$M$2281,4,0)</f>
        <v>66.2</v>
      </c>
      <c r="H124" s="60">
        <f>VLOOKUP($D124,'All data'!$E$2:$M$2281,5,0)</f>
        <v>3.4663877487182617</v>
      </c>
      <c r="I124" s="60">
        <f>VLOOKUP($D124,'All data'!$E$2:$M$2281,6,0)</f>
        <v>0.73367496899690399</v>
      </c>
      <c r="J124" s="92">
        <f>VLOOKUP($D124,'All data'!$E$2:$M$2281,7,0)</f>
        <v>38.458132898285506</v>
      </c>
      <c r="K124" s="43">
        <f>VLOOKUP($C$5,'All data'!$G$2285:$J$2299,4,0)</f>
        <v>1.64</v>
      </c>
      <c r="L124" s="93">
        <f>VLOOKUP($D124,'All data'!$E$2:$M$2281,9,0)</f>
        <v>1718.9349658335695</v>
      </c>
    </row>
    <row r="125" spans="1:12">
      <c r="A125" s="90">
        <f t="shared" si="6"/>
        <v>69</v>
      </c>
      <c r="B125" s="43" t="s">
        <v>123</v>
      </c>
      <c r="C125" s="43" t="str">
        <f>VLOOKUP(B125,'country codes'!$A$3:$B$287,2,0)</f>
        <v>LBN</v>
      </c>
      <c r="D125" s="91" t="str">
        <f t="shared" si="7"/>
        <v>2013LBN</v>
      </c>
      <c r="E125" s="43">
        <v>4</v>
      </c>
      <c r="F125" s="59">
        <f>VLOOKUP($D125,'All data'!$E$2:$M$2281,2,0)</f>
        <v>5913.0159999999996</v>
      </c>
      <c r="G125" s="59">
        <f>VLOOKUP($D125,'All data'!$E$2:$M$2281,4,0)</f>
        <v>78.7</v>
      </c>
      <c r="H125" s="60">
        <f>VLOOKUP($D125,'All data'!$E$2:$M$2281,5,0)</f>
        <v>4.9832887649536133</v>
      </c>
      <c r="I125" s="60">
        <f>VLOOKUP($D125,'All data'!$E$2:$M$2281,6,0)</f>
        <v>3.4159804522435002</v>
      </c>
      <c r="J125" s="92">
        <f>VLOOKUP($D125,'All data'!$E$2:$M$2281,7,0)</f>
        <v>43.844861318027256</v>
      </c>
      <c r="K125" s="43">
        <f>VLOOKUP($C$5,'All data'!$G$2285:$J$2299,4,0)</f>
        <v>1.64</v>
      </c>
      <c r="L125" s="93">
        <f>VLOOKUP($D125,'All data'!$E$2:$M$2281,9,0)</f>
        <v>17532.863717112043</v>
      </c>
    </row>
    <row r="126" spans="1:12">
      <c r="A126" s="90">
        <f t="shared" si="6"/>
        <v>108</v>
      </c>
      <c r="B126" s="43" t="s">
        <v>100</v>
      </c>
      <c r="C126" s="43" t="str">
        <f>VLOOKUP(B126,'country codes'!$A$3:$B$287,2,0)</f>
        <v>MWI</v>
      </c>
      <c r="D126" s="91" t="str">
        <f t="shared" si="7"/>
        <v>2013MWI</v>
      </c>
      <c r="E126" s="43">
        <v>5</v>
      </c>
      <c r="F126" s="59">
        <f>VLOOKUP($D126,'All data'!$E$2:$M$2281,2,0)</f>
        <v>15839.287</v>
      </c>
      <c r="G126" s="59">
        <f>VLOOKUP($D126,'All data'!$E$2:$M$2281,4,0)</f>
        <v>59.9</v>
      </c>
      <c r="H126" s="60">
        <f>VLOOKUP($D126,'All data'!$E$2:$M$2281,5,0)</f>
        <v>4.0350842475891113</v>
      </c>
      <c r="I126" s="60">
        <f>VLOOKUP($D126,'All data'!$E$2:$M$2281,6,0)</f>
        <v>0.90201445964924798</v>
      </c>
      <c r="J126" s="92">
        <f>VLOOKUP($D126,'All data'!$E$2:$M$2281,7,0)</f>
        <v>36.907999501129112</v>
      </c>
      <c r="K126" s="43">
        <f>VLOOKUP($C$5,'All data'!$G$2285:$J$2299,4,0)</f>
        <v>1.64</v>
      </c>
      <c r="L126" s="93">
        <f>VLOOKUP($D126,'All data'!$E$2:$M$2281,9,0)</f>
        <v>999.44132224378632</v>
      </c>
    </row>
    <row r="127" spans="1:12">
      <c r="A127" s="90">
        <f t="shared" si="6"/>
        <v>124</v>
      </c>
      <c r="B127" s="43" t="s">
        <v>131</v>
      </c>
      <c r="C127" s="43" t="str">
        <f>VLOOKUP(B127,'country codes'!$A$3:$B$287,2,0)</f>
        <v>KAZ</v>
      </c>
      <c r="D127" s="91" t="str">
        <f t="shared" si="7"/>
        <v>2013KAZ</v>
      </c>
      <c r="E127" s="43">
        <v>7</v>
      </c>
      <c r="F127" s="59">
        <f>VLOOKUP($D127,'All data'!$E$2:$M$2281,2,0)</f>
        <v>17026.117999999999</v>
      </c>
      <c r="G127" s="59">
        <f>VLOOKUP($D127,'All data'!$E$2:$M$2281,4,0)</f>
        <v>69.599999999999994</v>
      </c>
      <c r="H127" s="60">
        <f>VLOOKUP($D127,'All data'!$E$2:$M$2281,5,0)</f>
        <v>5.8354830741882324</v>
      </c>
      <c r="I127" s="60">
        <f>VLOOKUP($D127,'All data'!$E$2:$M$2281,6,0)</f>
        <v>6.3484215386196299</v>
      </c>
      <c r="J127" s="92">
        <f>VLOOKUP($D127,'All data'!$E$2:$M$2281,7,0)</f>
        <v>32.97416718309367</v>
      </c>
      <c r="K127" s="43">
        <f>VLOOKUP($C$5,'All data'!$G$2285:$J$2299,4,0)</f>
        <v>1.64</v>
      </c>
      <c r="L127" s="93">
        <f>VLOOKUP($D127,'All data'!$E$2:$M$2281,9,0)</f>
        <v>23720.816071603393</v>
      </c>
    </row>
    <row r="128" spans="1:12">
      <c r="A128" s="90">
        <f t="shared" si="6"/>
        <v>72</v>
      </c>
      <c r="B128" s="43" t="s">
        <v>98</v>
      </c>
      <c r="C128" s="43" t="str">
        <f>VLOOKUP(B128,'country codes'!$A$3:$B$287,2,0)</f>
        <v>HTI</v>
      </c>
      <c r="D128" s="91" t="str">
        <f t="shared" si="7"/>
        <v>2013HTI</v>
      </c>
      <c r="E128" s="43">
        <v>1</v>
      </c>
      <c r="F128" s="59">
        <f>VLOOKUP($D128,'All data'!$E$2:$M$2281,2,0)</f>
        <v>10400.672</v>
      </c>
      <c r="G128" s="59">
        <f>VLOOKUP($D128,'All data'!$E$2:$M$2281,4,0)</f>
        <v>61.7</v>
      </c>
      <c r="H128" s="60">
        <f>VLOOKUP($D128,'All data'!$E$2:$M$2281,5,0)</f>
        <v>4.6219620704650879</v>
      </c>
      <c r="I128" s="60">
        <f>VLOOKUP($D128,'All data'!$E$2:$M$2281,6,0)</f>
        <v>0.64914118790945596</v>
      </c>
      <c r="J128" s="92">
        <f>VLOOKUP($D128,'All data'!$E$2:$M$2281,7,0)</f>
        <v>43.657374813866895</v>
      </c>
      <c r="K128" s="43">
        <f>VLOOKUP($C$5,'All data'!$G$2285:$J$2299,4,0)</f>
        <v>1.64</v>
      </c>
      <c r="L128" s="93">
        <f>VLOOKUP($D128,'All data'!$E$2:$M$2281,9,0)</f>
        <v>2879.1399909160186</v>
      </c>
    </row>
    <row r="129" spans="1:12">
      <c r="A129" s="90">
        <f t="shared" si="6"/>
        <v>128</v>
      </c>
      <c r="B129" s="43" t="s">
        <v>118</v>
      </c>
      <c r="C129" s="43" t="str">
        <f>VLOOKUP(B129,'country codes'!$A$3:$B$287,2,0)</f>
        <v>GIN</v>
      </c>
      <c r="D129" s="91" t="str">
        <f t="shared" si="7"/>
        <v>2013GIN</v>
      </c>
      <c r="E129" s="43">
        <v>5</v>
      </c>
      <c r="F129" s="59">
        <f>VLOOKUP($D129,'All data'!$E$2:$M$2281,2,0)</f>
        <v>10892.821</v>
      </c>
      <c r="G129" s="59">
        <f>VLOOKUP($D129,'All data'!$E$2:$M$2281,4,0)</f>
        <v>58.4</v>
      </c>
      <c r="H129" s="60">
        <f>VLOOKUP($D129,'All data'!$E$2:$M$2281,5,0)</f>
        <v>3.9017930030822754</v>
      </c>
      <c r="I129" s="60">
        <f>VLOOKUP($D129,'All data'!$E$2:$M$2281,6,0)</f>
        <v>1.5537673480294301</v>
      </c>
      <c r="J129" s="92">
        <f>VLOOKUP($D129,'All data'!$E$2:$M$2281,7,0)</f>
        <v>32.082238715404898</v>
      </c>
      <c r="K129" s="43">
        <f>VLOOKUP($C$5,'All data'!$G$2285:$J$2299,4,0)</f>
        <v>1.64</v>
      </c>
      <c r="L129" s="93">
        <f>VLOOKUP($D129,'All data'!$E$2:$M$2281,9,0)</f>
        <v>2035.1730531417541</v>
      </c>
    </row>
    <row r="130" spans="1:12">
      <c r="A130" s="90">
        <f t="shared" si="6"/>
        <v>130</v>
      </c>
      <c r="B130" s="43" t="s">
        <v>106</v>
      </c>
      <c r="C130" s="43" t="str">
        <f>VLOOKUP(B130,'country codes'!$A$3:$B$287,2,0)</f>
        <v>BDI</v>
      </c>
      <c r="D130" s="91" t="str">
        <f t="shared" si="7"/>
        <v>2013BDI</v>
      </c>
      <c r="E130" s="43">
        <v>5</v>
      </c>
      <c r="F130" s="59">
        <f>VLOOKUP($D130,'All data'!$E$2:$M$2281,2,0)</f>
        <v>9540.3019999999997</v>
      </c>
      <c r="G130" s="59">
        <f>VLOOKUP($D130,'All data'!$E$2:$M$2281,4,0)</f>
        <v>59.1</v>
      </c>
      <c r="H130" s="60">
        <f>VLOOKUP($D130,'All data'!$E$2:$M$2281,5,0)</f>
        <v>3.17165478070577</v>
      </c>
      <c r="I130" s="60">
        <f>VLOOKUP($D130,'All data'!$E$2:$M$2281,6,0)</f>
        <v>0.68920725101029301</v>
      </c>
      <c r="J130" s="92">
        <f>VLOOKUP($D130,'All data'!$E$2:$M$2281,7,0)</f>
        <v>31.755743625299758</v>
      </c>
      <c r="K130" s="43">
        <f>VLOOKUP($C$5,'All data'!$G$2285:$J$2299,4,0)</f>
        <v>1.64</v>
      </c>
      <c r="L130" s="93">
        <f>VLOOKUP($D130,'All data'!$E$2:$M$2281,9,0)</f>
        <v>877.27416026108131</v>
      </c>
    </row>
    <row r="131" spans="1:12">
      <c r="A131" s="90">
        <f t="shared" si="6"/>
        <v>95</v>
      </c>
      <c r="B131" s="43" t="s">
        <v>136</v>
      </c>
      <c r="C131" s="43" t="str">
        <f>VLOOKUP(B131,'country codes'!$A$3:$B$287,2,0)</f>
        <v>USA</v>
      </c>
      <c r="D131" s="91" t="str">
        <f t="shared" si="7"/>
        <v>2013USA</v>
      </c>
      <c r="E131" s="43">
        <v>2</v>
      </c>
      <c r="F131" s="59">
        <f>VLOOKUP($D131,'All data'!$E$2:$M$2281,2,0)</f>
        <v>316400.53899999999</v>
      </c>
      <c r="G131" s="59">
        <f>VLOOKUP($D131,'All data'!$E$2:$M$2281,4,0)</f>
        <v>78.900000000000006</v>
      </c>
      <c r="H131" s="60">
        <f>VLOOKUP($D131,'All data'!$E$2:$M$2281,5,0)</f>
        <v>7.2492852210998535</v>
      </c>
      <c r="I131" s="60">
        <f>VLOOKUP($D131,'All data'!$E$2:$M$2281,6,0)</f>
        <v>8.2680114496936792</v>
      </c>
      <c r="J131" s="92">
        <f>VLOOKUP($D131,'All data'!$E$2:$M$2281,7,0)</f>
        <v>38.96445961204374</v>
      </c>
      <c r="K131" s="43">
        <f>VLOOKUP($C$5,'All data'!$G$2285:$J$2299,4,0)</f>
        <v>1.64</v>
      </c>
      <c r="L131" s="93">
        <f>VLOOKUP($D131,'All data'!$E$2:$M$2281,9,0)</f>
        <v>56269.956426826917</v>
      </c>
    </row>
    <row r="132" spans="1:12">
      <c r="A132" s="90" t="str">
        <f t="shared" si="6"/>
        <v/>
      </c>
      <c r="B132" s="43" t="s">
        <v>115</v>
      </c>
      <c r="C132" s="43" t="str">
        <f>VLOOKUP(B132,'country codes'!$A$3:$B$287,2,0)</f>
        <v>TGO</v>
      </c>
      <c r="D132" s="91" t="str">
        <f t="shared" si="7"/>
        <v>2013TGO</v>
      </c>
      <c r="E132" s="43">
        <v>5</v>
      </c>
      <c r="F132" s="59">
        <f>VLOOKUP($D132,'All data'!$E$2:$M$2281,2,0)</f>
        <v>6954.7209999999995</v>
      </c>
      <c r="G132" s="59">
        <f>VLOOKUP($D132,'All data'!$E$2:$M$2281,4,0)</f>
        <v>59.2</v>
      </c>
      <c r="H132" s="60" t="str">
        <f>VLOOKUP($D132,'All data'!$E$2:$M$2281,5,0)</f>
        <v/>
      </c>
      <c r="I132" s="60">
        <f>VLOOKUP($D132,'All data'!$E$2:$M$2281,6,0)</f>
        <v>1.0505856439810199</v>
      </c>
      <c r="J132" s="92" t="str">
        <f>VLOOKUP($D132,'All data'!$E$2:$M$2281,7,0)</f>
        <v/>
      </c>
      <c r="K132" s="43">
        <f>VLOOKUP($C$5,'All data'!$G$2285:$J$2299,4,0)</f>
        <v>1.64</v>
      </c>
      <c r="L132" s="93">
        <f>VLOOKUP($D132,'All data'!$E$2:$M$2281,9,0)</f>
        <v>1360.5812782801395</v>
      </c>
    </row>
    <row r="133" spans="1:12">
      <c r="A133" s="90">
        <f t="shared" si="6"/>
        <v>115</v>
      </c>
      <c r="B133" s="43" t="s">
        <v>117</v>
      </c>
      <c r="C133" s="43" t="str">
        <f>VLOOKUP(B133,'country codes'!$A$3:$B$287,2,0)</f>
        <v>TZA</v>
      </c>
      <c r="D133" s="91" t="str">
        <f t="shared" si="7"/>
        <v>2013TZA</v>
      </c>
      <c r="E133" s="43">
        <v>5</v>
      </c>
      <c r="F133" s="59">
        <f>VLOOKUP($D133,'All data'!$E$2:$M$2281,2,0)</f>
        <v>48483.131999999998</v>
      </c>
      <c r="G133" s="59">
        <f>VLOOKUP($D133,'All data'!$E$2:$M$2281,4,0)</f>
        <v>61.4</v>
      </c>
      <c r="H133" s="60">
        <f>VLOOKUP($D133,'All data'!$E$2:$M$2281,5,0)</f>
        <v>3.8523948192596436</v>
      </c>
      <c r="I133" s="60">
        <f>VLOOKUP($D133,'All data'!$E$2:$M$2281,6,0)</f>
        <v>1.37463246789155</v>
      </c>
      <c r="J133" s="92">
        <f>VLOOKUP($D133,'All data'!$E$2:$M$2281,7,0)</f>
        <v>34.581018724197143</v>
      </c>
      <c r="K133" s="43">
        <f>VLOOKUP($C$5,'All data'!$G$2285:$J$2299,4,0)</f>
        <v>1.64</v>
      </c>
      <c r="L133" s="93">
        <f>VLOOKUP($D133,'All data'!$E$2:$M$2281,9,0)</f>
        <v>2205.99087157043</v>
      </c>
    </row>
    <row r="134" spans="1:12">
      <c r="A134" s="90">
        <f t="shared" si="6"/>
        <v>98</v>
      </c>
      <c r="B134" s="43" t="s">
        <v>135</v>
      </c>
      <c r="C134" s="43" t="str">
        <f>VLOOKUP(B134,'country codes'!$A$3:$B$287,2,0)</f>
        <v>LTU</v>
      </c>
      <c r="D134" s="91" t="str">
        <f t="shared" si="7"/>
        <v>2013LTU</v>
      </c>
      <c r="E134" s="43">
        <v>7</v>
      </c>
      <c r="F134" s="59">
        <f>VLOOKUP($D134,'All data'!$E$2:$M$2281,2,0)</f>
        <v>3008.9380000000001</v>
      </c>
      <c r="G134" s="59">
        <f>VLOOKUP($D134,'All data'!$E$2:$M$2281,4,0)</f>
        <v>74.099999999999994</v>
      </c>
      <c r="H134" s="60">
        <f>VLOOKUP($D134,'All data'!$E$2:$M$2281,5,0)</f>
        <v>5.5956892967224121</v>
      </c>
      <c r="I134" s="60">
        <f>VLOOKUP($D134,'All data'!$E$2:$M$2281,6,0)</f>
        <v>4.8652104880333402</v>
      </c>
      <c r="J134" s="92">
        <f>VLOOKUP($D134,'All data'!$E$2:$M$2281,7,0)</f>
        <v>38.825797751297557</v>
      </c>
      <c r="K134" s="43">
        <f>VLOOKUP($C$5,'All data'!$G$2285:$J$2299,4,0)</f>
        <v>1.64</v>
      </c>
      <c r="L134" s="93">
        <f>VLOOKUP($D134,'All data'!$E$2:$M$2281,9,0)</f>
        <v>28680.369542922759</v>
      </c>
    </row>
    <row r="135" spans="1:12">
      <c r="A135" s="90" t="str">
        <f t="shared" si="6"/>
        <v/>
      </c>
      <c r="B135" s="43" t="s">
        <v>125</v>
      </c>
      <c r="C135" s="43" t="str">
        <f>VLOOKUP(B135,'country codes'!$A$3:$B$287,2,0)</f>
        <v>NAM</v>
      </c>
      <c r="D135" s="91" t="str">
        <f t="shared" si="7"/>
        <v>2013NAM</v>
      </c>
      <c r="E135" s="43">
        <v>5</v>
      </c>
      <c r="F135" s="59">
        <f>VLOOKUP($D135,'All data'!$E$2:$M$2281,2,0)</f>
        <v>2233.5059999999999</v>
      </c>
      <c r="G135" s="59">
        <f>VLOOKUP($D135,'All data'!$E$2:$M$2281,4,0)</f>
        <v>60.5</v>
      </c>
      <c r="H135" s="60" t="str">
        <f>VLOOKUP($D135,'All data'!$E$2:$M$2281,5,0)</f>
        <v/>
      </c>
      <c r="I135" s="60">
        <f>VLOOKUP($D135,'All data'!$E$2:$M$2281,6,0)</f>
        <v>2.1054436441917499</v>
      </c>
      <c r="J135" s="92" t="str">
        <f>VLOOKUP($D135,'All data'!$E$2:$M$2281,7,0)</f>
        <v/>
      </c>
      <c r="K135" s="43">
        <f>VLOOKUP($C$5,'All data'!$G$2285:$J$2299,4,0)</f>
        <v>1.64</v>
      </c>
      <c r="L135" s="93">
        <f>VLOOKUP($D135,'All data'!$E$2:$M$2281,9,0)</f>
        <v>9832.7995261844881</v>
      </c>
    </row>
    <row r="136" spans="1:12">
      <c r="A136" s="90">
        <f t="shared" si="6"/>
        <v>107</v>
      </c>
      <c r="B136" s="43" t="s">
        <v>134</v>
      </c>
      <c r="C136" s="43" t="str">
        <f>VLOOKUP(B136,'country codes'!$A$3:$B$287,2,0)</f>
        <v>BTN</v>
      </c>
      <c r="D136" s="91" t="str">
        <f t="shared" si="7"/>
        <v>2013BTN</v>
      </c>
      <c r="E136" s="43">
        <v>6</v>
      </c>
      <c r="F136" s="59">
        <f>VLOOKUP($D136,'All data'!$E$2:$M$2281,2,0)</f>
        <v>710.23500000000001</v>
      </c>
      <c r="G136" s="59">
        <f>VLOOKUP($D136,'All data'!$E$2:$M$2281,4,0)</f>
        <v>69.7</v>
      </c>
      <c r="H136" s="60">
        <f>VLOOKUP($D136,'All data'!$E$2:$M$2281,5,0)</f>
        <v>5.569091796875</v>
      </c>
      <c r="I136" s="60">
        <f>VLOOKUP($D136,'All data'!$E$2:$M$2281,6,0)</f>
        <v>4.5612193753041899</v>
      </c>
      <c r="J136" s="92">
        <f>VLOOKUP($D136,'All data'!$E$2:$M$2281,7,0)</f>
        <v>37.09200847169145</v>
      </c>
      <c r="K136" s="43">
        <f>VLOOKUP($C$5,'All data'!$G$2285:$J$2299,4,0)</f>
        <v>1.64</v>
      </c>
      <c r="L136" s="93">
        <f>VLOOKUP($D136,'All data'!$E$2:$M$2281,9,0)</f>
        <v>9163.5248448113853</v>
      </c>
    </row>
    <row r="137" spans="1:12">
      <c r="A137" s="90">
        <f t="shared" si="6"/>
        <v>62</v>
      </c>
      <c r="B137" s="43" t="s">
        <v>124</v>
      </c>
      <c r="C137" s="43" t="str">
        <f>VLOOKUP(B137,'country codes'!$A$3:$B$287,2,0)</f>
        <v>IND</v>
      </c>
      <c r="D137" s="91" t="str">
        <f t="shared" si="7"/>
        <v>2013IND</v>
      </c>
      <c r="E137" s="43">
        <v>6</v>
      </c>
      <c r="F137" s="59">
        <f>VLOOKUP($D137,'All data'!$E$2:$M$2281,2,0)</f>
        <v>1280842.1189999999</v>
      </c>
      <c r="G137" s="59">
        <f>VLOOKUP($D137,'All data'!$E$2:$M$2281,4,0)</f>
        <v>67.900000000000006</v>
      </c>
      <c r="H137" s="60">
        <f>VLOOKUP($D137,'All data'!$E$2:$M$2281,5,0)</f>
        <v>4.4277887344360352</v>
      </c>
      <c r="I137" s="60">
        <f>VLOOKUP($D137,'All data'!$E$2:$M$2281,6,0)</f>
        <v>1.09607691360516</v>
      </c>
      <c r="J137" s="92">
        <f>VLOOKUP($D137,'All data'!$E$2:$M$2281,7,0)</f>
        <v>44.562121563305858</v>
      </c>
      <c r="K137" s="43">
        <f>VLOOKUP($C$5,'All data'!$G$2285:$J$2299,4,0)</f>
        <v>1.64</v>
      </c>
      <c r="L137" s="93">
        <f>VLOOKUP($D137,'All data'!$E$2:$M$2281,9,0)</f>
        <v>4809.6481151420267</v>
      </c>
    </row>
    <row r="138" spans="1:12">
      <c r="A138" s="90">
        <f t="shared" ref="A138:A161" si="8">IFERROR(RANK(J138,$J$10:$J$161),"")</f>
        <v>139</v>
      </c>
      <c r="B138" s="43" t="s">
        <v>132</v>
      </c>
      <c r="C138" s="43" t="str">
        <f>VLOOKUP(B138,'country codes'!$A$3:$B$287,2,0)</f>
        <v>ZAF</v>
      </c>
      <c r="D138" s="91" t="str">
        <f t="shared" ref="D138:D161" si="9">$C$5&amp;C138</f>
        <v>2013ZAF</v>
      </c>
      <c r="E138" s="43">
        <v>5</v>
      </c>
      <c r="F138" s="59">
        <f>VLOOKUP($D138,'All data'!$E$2:$M$2281,2,0)</f>
        <v>53687.125</v>
      </c>
      <c r="G138" s="59">
        <f>VLOOKUP($D138,'All data'!$E$2:$M$2281,4,0)</f>
        <v>61.1</v>
      </c>
      <c r="H138" s="60">
        <f>VLOOKUP($D138,'All data'!$E$2:$M$2281,5,0)</f>
        <v>3.6607272624969482</v>
      </c>
      <c r="I138" s="60">
        <f>VLOOKUP($D138,'All data'!$E$2:$M$2281,6,0)</f>
        <v>3.3689587065787601</v>
      </c>
      <c r="J138" s="92">
        <f>VLOOKUP($D138,'All data'!$E$2:$M$2281,7,0)</f>
        <v>26.40835210868509</v>
      </c>
      <c r="K138" s="43">
        <f>VLOOKUP($C$5,'All data'!$G$2285:$J$2299,4,0)</f>
        <v>1.64</v>
      </c>
      <c r="L138" s="93">
        <f>VLOOKUP($D138,'All data'!$E$2:$M$2281,9,0)</f>
        <v>12852.782159696138</v>
      </c>
    </row>
    <row r="139" spans="1:12">
      <c r="A139" s="90" t="str">
        <f t="shared" si="8"/>
        <v/>
      </c>
      <c r="B139" s="43" t="s">
        <v>128</v>
      </c>
      <c r="C139" s="43" t="str">
        <f>VLOOKUP(B139,'country codes'!$A$3:$B$287,2,0)</f>
        <v>SWZ</v>
      </c>
      <c r="D139" s="91" t="str">
        <f t="shared" si="9"/>
        <v>2013SWZ</v>
      </c>
      <c r="E139" s="43">
        <v>5</v>
      </c>
      <c r="F139" s="59">
        <f>VLOOKUP($D139,'All data'!$E$2:$M$2281,2,0)</f>
        <v>1086.8430000000001</v>
      </c>
      <c r="G139" s="59">
        <f>VLOOKUP($D139,'All data'!$E$2:$M$2281,4,0)</f>
        <v>51.7</v>
      </c>
      <c r="H139" s="60" t="str">
        <f>VLOOKUP($D139,'All data'!$E$2:$M$2281,5,0)</f>
        <v/>
      </c>
      <c r="I139" s="60">
        <f>VLOOKUP($D139,'All data'!$E$2:$M$2281,6,0)</f>
        <v>2.1308783640717799</v>
      </c>
      <c r="J139" s="92" t="str">
        <f>VLOOKUP($D139,'All data'!$E$2:$M$2281,7,0)</f>
        <v/>
      </c>
      <c r="K139" s="43">
        <f>VLOOKUP($C$5,'All data'!$G$2285:$J$2299,4,0)</f>
        <v>1.64</v>
      </c>
      <c r="L139" s="93">
        <f>VLOOKUP($D139,'All data'!$E$2:$M$2281,9,0)</f>
        <v>8179.5158697053994</v>
      </c>
    </row>
    <row r="140" spans="1:12">
      <c r="A140" s="90">
        <f t="shared" si="8"/>
        <v>119</v>
      </c>
      <c r="B140" s="43" t="s">
        <v>137</v>
      </c>
      <c r="C140" s="43" t="str">
        <f>VLOOKUP(B140,'country codes'!$A$3:$B$287,2,0)</f>
        <v>RUS</v>
      </c>
      <c r="D140" s="91" t="str">
        <f t="shared" si="9"/>
        <v>2013RUS</v>
      </c>
      <c r="E140" s="43">
        <v>7</v>
      </c>
      <c r="F140" s="59">
        <f>VLOOKUP($D140,'All data'!$E$2:$M$2281,2,0)</f>
        <v>144325.45600000001</v>
      </c>
      <c r="G140" s="59">
        <f>VLOOKUP($D140,'All data'!$E$2:$M$2281,4,0)</f>
        <v>70.5</v>
      </c>
      <c r="H140" s="60">
        <f>VLOOKUP($D140,'All data'!$E$2:$M$2281,5,0)</f>
        <v>5.537177562713623</v>
      </c>
      <c r="I140" s="60">
        <f>VLOOKUP($D140,'All data'!$E$2:$M$2281,6,0)</f>
        <v>5.6273982319229603</v>
      </c>
      <c r="J140" s="92">
        <f>VLOOKUP($D140,'All data'!$E$2:$M$2281,7,0)</f>
        <v>34.096062924741098</v>
      </c>
      <c r="K140" s="43">
        <f>VLOOKUP($C$5,'All data'!$G$2285:$J$2299,4,0)</f>
        <v>1.64</v>
      </c>
      <c r="L140" s="93">
        <f>VLOOKUP($D140,'All data'!$E$2:$M$2281,9,0)</f>
        <v>26413.178281508001</v>
      </c>
    </row>
    <row r="141" spans="1:12">
      <c r="A141" s="90">
        <f t="shared" si="8"/>
        <v>118</v>
      </c>
      <c r="B141" s="43" t="s">
        <v>133</v>
      </c>
      <c r="C141" s="43" t="str">
        <f>VLOOKUP(B141,'country codes'!$A$3:$B$287,2,0)</f>
        <v>MRT</v>
      </c>
      <c r="D141" s="91" t="str">
        <f t="shared" si="9"/>
        <v>2013MRT</v>
      </c>
      <c r="E141" s="43">
        <v>5</v>
      </c>
      <c r="F141" s="59">
        <f>VLOOKUP($D141,'All data'!$E$2:$M$2281,2,0)</f>
        <v>3817.4969999999998</v>
      </c>
      <c r="G141" s="59">
        <f>VLOOKUP($D141,'All data'!$E$2:$M$2281,4,0)</f>
        <v>63.4</v>
      </c>
      <c r="H141" s="60">
        <f>VLOOKUP($D141,'All data'!$E$2:$M$2281,5,0)</f>
        <v>4.1990151405334473</v>
      </c>
      <c r="I141" s="60">
        <f>VLOOKUP($D141,'All data'!$E$2:$M$2281,6,0)</f>
        <v>2.2950968502625599</v>
      </c>
      <c r="J141" s="92">
        <f>VLOOKUP($D141,'All data'!$E$2:$M$2281,7,0)</f>
        <v>34.117723498000792</v>
      </c>
      <c r="K141" s="43">
        <f>VLOOKUP($C$5,'All data'!$G$2285:$J$2299,4,0)</f>
        <v>1.64</v>
      </c>
      <c r="L141" s="93">
        <f>VLOOKUP($D141,'All data'!$E$2:$M$2281,9,0)</f>
        <v>4946.0386864835082</v>
      </c>
    </row>
    <row r="142" spans="1:12">
      <c r="A142" s="90">
        <f t="shared" si="8"/>
        <v>113</v>
      </c>
      <c r="B142" s="43" t="s">
        <v>141</v>
      </c>
      <c r="C142" s="43" t="str">
        <f>VLOOKUP(B142,'country codes'!$A$3:$B$287,2,0)</f>
        <v>EST</v>
      </c>
      <c r="D142" s="91" t="str">
        <f t="shared" si="9"/>
        <v>2013EST</v>
      </c>
      <c r="E142" s="43">
        <v>7</v>
      </c>
      <c r="F142" s="59">
        <f>VLOOKUP($D142,'All data'!$E$2:$M$2281,2,0)</f>
        <v>1319.068</v>
      </c>
      <c r="G142" s="59">
        <f>VLOOKUP($D142,'All data'!$E$2:$M$2281,4,0)</f>
        <v>77</v>
      </c>
      <c r="H142" s="60">
        <f>VLOOKUP($D142,'All data'!$E$2:$M$2281,5,0)</f>
        <v>5.3674459457397461</v>
      </c>
      <c r="I142" s="60">
        <f>VLOOKUP($D142,'All data'!$E$2:$M$2281,6,0)</f>
        <v>6.0977034568777198</v>
      </c>
      <c r="J142" s="92">
        <f>VLOOKUP($D142,'All data'!$E$2:$M$2281,7,0)</f>
        <v>35.438991571287708</v>
      </c>
      <c r="K142" s="43">
        <f>VLOOKUP($C$5,'All data'!$G$2285:$J$2299,4,0)</f>
        <v>1.64</v>
      </c>
      <c r="L142" s="93">
        <f>VLOOKUP($D142,'All data'!$E$2:$M$2281,9,0)</f>
        <v>29731.745078695345</v>
      </c>
    </row>
    <row r="143" spans="1:12">
      <c r="A143" s="90">
        <f t="shared" si="8"/>
        <v>66</v>
      </c>
      <c r="B143" s="43" t="s">
        <v>126</v>
      </c>
      <c r="C143" s="43" t="str">
        <f>VLOOKUP(B143,'country codes'!$A$3:$B$287,2,0)</f>
        <v>ZMB</v>
      </c>
      <c r="D143" s="91" t="str">
        <f t="shared" si="9"/>
        <v>2013ZMB</v>
      </c>
      <c r="E143" s="43">
        <v>5</v>
      </c>
      <c r="F143" s="59">
        <f>VLOOKUP($D143,'All data'!$E$2:$M$2281,2,0)</f>
        <v>14926.550999999999</v>
      </c>
      <c r="G143" s="59">
        <f>VLOOKUP($D143,'All data'!$E$2:$M$2281,4,0)</f>
        <v>59.7</v>
      </c>
      <c r="H143" s="60">
        <f>VLOOKUP($D143,'All data'!$E$2:$M$2281,5,0)</f>
        <v>5.2439956665039063</v>
      </c>
      <c r="I143" s="60">
        <f>VLOOKUP($D143,'All data'!$E$2:$M$2281,6,0)</f>
        <v>0.99744521215106796</v>
      </c>
      <c r="J143" s="92">
        <f>VLOOKUP($D143,'All data'!$E$2:$M$2281,7,0)</f>
        <v>43.936539746050876</v>
      </c>
      <c r="K143" s="43">
        <f>VLOOKUP($C$5,'All data'!$G$2285:$J$2299,4,0)</f>
        <v>1.64</v>
      </c>
      <c r="L143" s="93">
        <f>VLOOKUP($D143,'All data'!$E$2:$M$2281,9,0)</f>
        <v>3399.7129992239288</v>
      </c>
    </row>
    <row r="144" spans="1:12">
      <c r="A144" s="90">
        <f t="shared" si="8"/>
        <v>120</v>
      </c>
      <c r="B144" s="43" t="s">
        <v>145</v>
      </c>
      <c r="C144" s="43" t="str">
        <f>VLOOKUP(B144,'country codes'!$A$3:$B$287,2,0)</f>
        <v>ARE</v>
      </c>
      <c r="D144" s="91" t="str">
        <f t="shared" si="9"/>
        <v>2013ARE</v>
      </c>
      <c r="E144" s="43">
        <v>4</v>
      </c>
      <c r="F144" s="59">
        <f>VLOOKUP($D144,'All data'!$E$2:$M$2281,2,0)</f>
        <v>9197.9079999999994</v>
      </c>
      <c r="G144" s="59">
        <f>VLOOKUP($D144,'All data'!$E$2:$M$2281,4,0)</f>
        <v>76.900000000000006</v>
      </c>
      <c r="H144" s="60">
        <f>VLOOKUP($D144,'All data'!$E$2:$M$2281,5,0)</f>
        <v>6.6209511756896973</v>
      </c>
      <c r="I144" s="60">
        <f>VLOOKUP($D144,'All data'!$E$2:$M$2281,6,0)</f>
        <v>8.9098047846884807</v>
      </c>
      <c r="J144" s="92">
        <f>VLOOKUP($D144,'All data'!$E$2:$M$2281,7,0)</f>
        <v>33.815369746539929</v>
      </c>
      <c r="K144" s="43">
        <f>VLOOKUP($C$5,'All data'!$G$2285:$J$2299,4,0)</f>
        <v>1.64</v>
      </c>
      <c r="L144" s="93">
        <f>VLOOKUP($D144,'All data'!$E$2:$M$2281,9,0)</f>
        <v>59921.734803307139</v>
      </c>
    </row>
    <row r="145" spans="1:12">
      <c r="A145" s="90">
        <f t="shared" si="8"/>
        <v>114</v>
      </c>
      <c r="B145" s="43" t="s">
        <v>142</v>
      </c>
      <c r="C145" s="43" t="str">
        <f>VLOOKUP(B145,'country codes'!$A$3:$B$287,2,0)</f>
        <v>LVA</v>
      </c>
      <c r="D145" s="91" t="str">
        <f t="shared" si="9"/>
        <v>2013LVA</v>
      </c>
      <c r="E145" s="43">
        <v>7</v>
      </c>
      <c r="F145" s="59">
        <f>VLOOKUP($D145,'All data'!$E$2:$M$2281,2,0)</f>
        <v>2044.95</v>
      </c>
      <c r="G145" s="59">
        <f>VLOOKUP($D145,'All data'!$E$2:$M$2281,4,0)</f>
        <v>74.2</v>
      </c>
      <c r="H145" s="60">
        <f>VLOOKUP($D145,'All data'!$E$2:$M$2281,5,0)</f>
        <v>5.069770336151123</v>
      </c>
      <c r="I145" s="60">
        <f>VLOOKUP($D145,'All data'!$E$2:$M$2281,6,0)</f>
        <v>5.3592637876656202</v>
      </c>
      <c r="J145" s="92">
        <f>VLOOKUP($D145,'All data'!$E$2:$M$2281,7,0)</f>
        <v>34.648123489247183</v>
      </c>
      <c r="K145" s="43">
        <f>VLOOKUP($C$5,'All data'!$G$2285:$J$2299,4,0)</f>
        <v>1.64</v>
      </c>
      <c r="L145" s="93">
        <f>VLOOKUP($D145,'All data'!$E$2:$M$2281,9,0)</f>
        <v>24961.346247027788</v>
      </c>
    </row>
    <row r="146" spans="1:12">
      <c r="A146" s="90">
        <f t="shared" si="8"/>
        <v>116</v>
      </c>
      <c r="B146" s="43" t="s">
        <v>129</v>
      </c>
      <c r="C146" s="43" t="str">
        <f>VLOOKUP(B146,'country codes'!$A$3:$B$287,2,0)</f>
        <v>NGA</v>
      </c>
      <c r="D146" s="91" t="str">
        <f t="shared" si="9"/>
        <v>2013NGA</v>
      </c>
      <c r="E146" s="43">
        <v>5</v>
      </c>
      <c r="F146" s="59">
        <f>VLOOKUP($D146,'All data'!$E$2:$M$2281,2,0)</f>
        <v>171765.81899999999</v>
      </c>
      <c r="G146" s="59">
        <f>VLOOKUP($D146,'All data'!$E$2:$M$2281,4,0)</f>
        <v>52.2</v>
      </c>
      <c r="H146" s="60">
        <f>VLOOKUP($D146,'All data'!$E$2:$M$2281,5,0)</f>
        <v>4.817868709564209</v>
      </c>
      <c r="I146" s="60">
        <f>VLOOKUP($D146,'All data'!$E$2:$M$2281,6,0)</f>
        <v>1.1362129790027</v>
      </c>
      <c r="J146" s="92">
        <f>VLOOKUP($D146,'All data'!$E$2:$M$2281,7,0)</f>
        <v>34.438899229139878</v>
      </c>
      <c r="K146" s="43">
        <f>VLOOKUP($C$5,'All data'!$G$2285:$J$2299,4,0)</f>
        <v>1.64</v>
      </c>
      <c r="L146" s="93">
        <f>VLOOKUP($D146,'All data'!$E$2:$M$2281,9,0)</f>
        <v>5329.1230678739885</v>
      </c>
    </row>
    <row r="147" spans="1:12">
      <c r="A147" s="90" t="str">
        <f t="shared" si="8"/>
        <v/>
      </c>
      <c r="B147" s="43" t="s">
        <v>147</v>
      </c>
      <c r="C147" s="43" t="str">
        <f>VLOOKUP(B147,'country codes'!$A$3:$B$287,2,0)</f>
        <v>HKG</v>
      </c>
      <c r="D147" s="91" t="str">
        <f t="shared" si="9"/>
        <v>2013HKG</v>
      </c>
      <c r="E147" s="43">
        <v>8</v>
      </c>
      <c r="F147" s="59">
        <f>VLOOKUP($D147,'All data'!$E$2:$M$2281,2,0)</f>
        <v>7088.78</v>
      </c>
      <c r="G147" s="59">
        <f>VLOOKUP($D147,'All data'!$E$2:$M$2281,4,0)</f>
        <v>83.6</v>
      </c>
      <c r="H147" s="60">
        <f>VLOOKUP($D147,'All data'!$E$2:$M$2281,5,0)</f>
        <v>5.4709076881408691</v>
      </c>
      <c r="I147" s="60" t="str">
        <f>VLOOKUP($D147,'All data'!$E$2:$M$2281,6,0)</f>
        <v/>
      </c>
      <c r="J147" s="92" t="str">
        <f>VLOOKUP($D147,'All data'!$E$2:$M$2281,7,0)</f>
        <v/>
      </c>
      <c r="K147" s="43">
        <f>VLOOKUP($C$5,'All data'!$G$2285:$J$2299,4,0)</f>
        <v>1.64</v>
      </c>
      <c r="L147" s="93">
        <f>VLOOKUP($D147,'All data'!$E$2:$M$2281,9,0)</f>
        <v>55230.846079012663</v>
      </c>
    </row>
    <row r="148" spans="1:12">
      <c r="A148" s="90">
        <f t="shared" si="8"/>
        <v>86</v>
      </c>
      <c r="B148" s="43" t="s">
        <v>149</v>
      </c>
      <c r="C148" s="43" t="str">
        <f>VLOOKUP(B148,'country codes'!$A$3:$B$287,2,0)</f>
        <v>BHR</v>
      </c>
      <c r="D148" s="91" t="str">
        <f t="shared" si="9"/>
        <v>2013BHR</v>
      </c>
      <c r="E148" s="43">
        <v>4</v>
      </c>
      <c r="F148" s="59">
        <f>VLOOKUP($D148,'All data'!$E$2:$M$2281,2,0)</f>
        <v>1315.029</v>
      </c>
      <c r="G148" s="59">
        <f>VLOOKUP($D148,'All data'!$E$2:$M$2281,4,0)</f>
        <v>76.5</v>
      </c>
      <c r="H148" s="60">
        <f>VLOOKUP($D148,'All data'!$E$2:$M$2281,5,0)</f>
        <v>6.6897110939025879</v>
      </c>
      <c r="I148" s="60">
        <f>VLOOKUP($D148,'All data'!$E$2:$M$2281,6,0)</f>
        <v>6.1155135872193798</v>
      </c>
      <c r="J148" s="92">
        <f>VLOOKUP($D148,'All data'!$E$2:$M$2281,7,0)</f>
        <v>41.464014466020586</v>
      </c>
      <c r="K148" s="43">
        <f>VLOOKUP($C$5,'All data'!$G$2285:$J$2299,4,0)</f>
        <v>1.64</v>
      </c>
      <c r="L148" s="93">
        <f>VLOOKUP($D148,'All data'!$E$2:$M$2281,9,0)</f>
        <v>46930.830728237343</v>
      </c>
    </row>
    <row r="149" spans="1:12">
      <c r="A149" s="90">
        <f t="shared" si="8"/>
        <v>123</v>
      </c>
      <c r="B149" s="43" t="s">
        <v>148</v>
      </c>
      <c r="C149" s="43" t="str">
        <f>VLOOKUP(B149,'country codes'!$A$3:$B$287,2,0)</f>
        <v>KWT</v>
      </c>
      <c r="D149" s="91" t="str">
        <f t="shared" si="9"/>
        <v>2013KWT</v>
      </c>
      <c r="E149" s="43">
        <v>4</v>
      </c>
      <c r="F149" s="59">
        <f>VLOOKUP($D149,'All data'!$E$2:$M$2281,2,0)</f>
        <v>3526.3820000000001</v>
      </c>
      <c r="G149" s="59">
        <f>VLOOKUP($D149,'All data'!$E$2:$M$2281,4,0)</f>
        <v>74.900000000000006</v>
      </c>
      <c r="H149" s="60">
        <f>VLOOKUP($D149,'All data'!$E$2:$M$2281,5,0)</f>
        <v>6.4800310134887695</v>
      </c>
      <c r="I149" s="60">
        <f>VLOOKUP($D149,'All data'!$E$2:$M$2281,6,0)</f>
        <v>8.2898612162630201</v>
      </c>
      <c r="J149" s="92">
        <f>VLOOKUP($D149,'All data'!$E$2:$M$2281,7,0)</f>
        <v>33.662851144222643</v>
      </c>
      <c r="K149" s="43">
        <f>VLOOKUP($C$5,'All data'!$G$2285:$J$2299,4,0)</f>
        <v>1.64</v>
      </c>
      <c r="L149" s="93">
        <f>VLOOKUP($D149,'All data'!$E$2:$M$2281,9,0)</f>
        <v>58995.365272179901</v>
      </c>
    </row>
    <row r="150" spans="1:12">
      <c r="A150" s="90">
        <f t="shared" si="8"/>
        <v>127</v>
      </c>
      <c r="B150" s="43" t="s">
        <v>144</v>
      </c>
      <c r="C150" s="43" t="str">
        <f>VLOOKUP(B150,'country codes'!$A$3:$B$287,2,0)</f>
        <v>TKM</v>
      </c>
      <c r="D150" s="91" t="str">
        <f t="shared" si="9"/>
        <v>2013TKM</v>
      </c>
      <c r="E150" s="43">
        <v>7</v>
      </c>
      <c r="F150" s="59">
        <f>VLOOKUP($D150,'All data'!$E$2:$M$2281,2,0)</f>
        <v>5366.3760000000002</v>
      </c>
      <c r="G150" s="59">
        <f>VLOOKUP($D150,'All data'!$E$2:$M$2281,4,0)</f>
        <v>67.400000000000006</v>
      </c>
      <c r="H150" s="60">
        <f>VLOOKUP($D150,'All data'!$E$2:$M$2281,5,0)</f>
        <v>5.3917627334594727</v>
      </c>
      <c r="I150" s="60">
        <f>VLOOKUP($D150,'All data'!$E$2:$M$2281,6,0)</f>
        <v>5.3470489033428299</v>
      </c>
      <c r="J150" s="92">
        <f>VLOOKUP($D150,'All data'!$E$2:$M$2281,7,0)</f>
        <v>32.507552455209449</v>
      </c>
      <c r="K150" s="43">
        <f>VLOOKUP($C$5,'All data'!$G$2285:$J$2299,4,0)</f>
        <v>1.64</v>
      </c>
      <c r="L150" s="93">
        <f>VLOOKUP($D150,'All data'!$E$2:$M$2281,9,0)</f>
        <v>11471.186220399255</v>
      </c>
    </row>
    <row r="151" spans="1:12">
      <c r="A151" s="90">
        <f t="shared" si="8"/>
        <v>125</v>
      </c>
      <c r="B151" s="43" t="s">
        <v>139</v>
      </c>
      <c r="C151" s="43" t="str">
        <f>VLOOKUP(B151,'country codes'!$A$3:$B$287,2,0)</f>
        <v>BWA</v>
      </c>
      <c r="D151" s="91" t="str">
        <f t="shared" si="9"/>
        <v>2013BWA</v>
      </c>
      <c r="E151" s="43">
        <v>5</v>
      </c>
      <c r="F151" s="59">
        <f>VLOOKUP($D151,'All data'!$E$2:$M$2281,2,0)</f>
        <v>2062.5509999999999</v>
      </c>
      <c r="G151" s="59">
        <f>VLOOKUP($D151,'All data'!$E$2:$M$2281,4,0)</f>
        <v>65</v>
      </c>
      <c r="H151" s="60">
        <f>VLOOKUP($D151,'All data'!$E$2:$M$2281,5,0)</f>
        <v>4.1282987594604492</v>
      </c>
      <c r="I151" s="60">
        <f>VLOOKUP($D151,'All data'!$E$2:$M$2281,6,0)</f>
        <v>2.8044699419680899</v>
      </c>
      <c r="J151" s="92">
        <f>VLOOKUP($D151,'All data'!$E$2:$M$2281,7,0)</f>
        <v>32.80539664609848</v>
      </c>
      <c r="K151" s="43">
        <f>VLOOKUP($C$5,'All data'!$G$2285:$J$2299,4,0)</f>
        <v>1.64</v>
      </c>
      <c r="L151" s="93">
        <f>VLOOKUP($D151,'All data'!$E$2:$M$2281,9,0)</f>
        <v>16786.218543331684</v>
      </c>
    </row>
    <row r="152" spans="1:12">
      <c r="A152" s="90">
        <f t="shared" si="8"/>
        <v>136</v>
      </c>
      <c r="B152" s="43" t="s">
        <v>152</v>
      </c>
      <c r="C152" s="43" t="str">
        <f>VLOOKUP(B152,'country codes'!$A$3:$B$287,2,0)</f>
        <v>LUX</v>
      </c>
      <c r="D152" s="91" t="str">
        <f t="shared" si="9"/>
        <v>2013LUX</v>
      </c>
      <c r="E152" s="43">
        <v>3</v>
      </c>
      <c r="F152" s="59">
        <f>VLOOKUP($D152,'All data'!$E$2:$M$2281,2,0)</f>
        <v>542.55399999999997</v>
      </c>
      <c r="G152" s="59">
        <f>VLOOKUP($D152,'All data'!$E$2:$M$2281,4,0)</f>
        <v>81.2</v>
      </c>
      <c r="H152" s="60">
        <f>VLOOKUP($D152,'All data'!$E$2:$M$2281,5,0)</f>
        <v>7.1308093070983887</v>
      </c>
      <c r="I152" s="60">
        <f>VLOOKUP($D152,'All data'!$E$2:$M$2281,6,0)</f>
        <v>13.4208374422599</v>
      </c>
      <c r="J152" s="92">
        <f>VLOOKUP($D152,'All data'!$E$2:$M$2281,7,0)</f>
        <v>29.371936210535324</v>
      </c>
      <c r="K152" s="43">
        <f>VLOOKUP($C$5,'All data'!$G$2285:$J$2299,4,0)</f>
        <v>1.64</v>
      </c>
      <c r="L152" s="93">
        <f>VLOOKUP($D152,'All data'!$E$2:$M$2281,9,0)</f>
        <v>106767.27500452004</v>
      </c>
    </row>
    <row r="153" spans="1:12">
      <c r="A153" s="90">
        <f t="shared" si="8"/>
        <v>121</v>
      </c>
      <c r="B153" s="43" t="s">
        <v>151</v>
      </c>
      <c r="C153" s="43" t="str">
        <f>VLOOKUP(B153,'country codes'!$A$3:$B$287,2,0)</f>
        <v>TTO</v>
      </c>
      <c r="D153" s="91" t="str">
        <f t="shared" si="9"/>
        <v>2013TTO</v>
      </c>
      <c r="E153" s="43">
        <v>1</v>
      </c>
      <c r="F153" s="59">
        <f>VLOOKUP($D153,'All data'!$E$2:$M$2281,2,0)</f>
        <v>1353.7080000000001</v>
      </c>
      <c r="G153" s="59">
        <f>VLOOKUP($D153,'All data'!$E$2:$M$2281,4,0)</f>
        <v>72.599999999999994</v>
      </c>
      <c r="H153" s="60">
        <f>VLOOKUP($D153,'All data'!$E$2:$M$2281,5,0)</f>
        <v>6.1677069664001465</v>
      </c>
      <c r="I153" s="60">
        <f>VLOOKUP($D153,'All data'!$E$2:$M$2281,6,0)</f>
        <v>7.2229870445198197</v>
      </c>
      <c r="J153" s="92">
        <f>VLOOKUP($D153,'All data'!$E$2:$M$2281,7,0)</f>
        <v>33.753666723239078</v>
      </c>
      <c r="K153" s="43">
        <f>VLOOKUP($C$5,'All data'!$G$2285:$J$2299,4,0)</f>
        <v>1.64</v>
      </c>
      <c r="L153" s="93">
        <f>VLOOKUP($D153,'All data'!$E$2:$M$2281,9,0)</f>
        <v>29279.273610395037</v>
      </c>
    </row>
    <row r="154" spans="1:12">
      <c r="A154" s="90">
        <f t="shared" si="8"/>
        <v>140</v>
      </c>
      <c r="B154" s="43" t="s">
        <v>140</v>
      </c>
      <c r="C154" s="43" t="str">
        <f>VLOOKUP(B154,'country codes'!$A$3:$B$287,2,0)</f>
        <v>TCD</v>
      </c>
      <c r="D154" s="91" t="str">
        <f t="shared" si="9"/>
        <v>2013TCD</v>
      </c>
      <c r="E154" s="43">
        <v>5</v>
      </c>
      <c r="F154" s="59">
        <f>VLOOKUP($D154,'All data'!$E$2:$M$2281,2,0)</f>
        <v>13220.433000000001</v>
      </c>
      <c r="G154" s="59">
        <f>VLOOKUP($D154,'All data'!$E$2:$M$2281,4,0)</f>
        <v>52.4</v>
      </c>
      <c r="H154" s="60">
        <f>VLOOKUP($D154,'All data'!$E$2:$M$2281,5,0)</f>
        <v>3.5076630115509033</v>
      </c>
      <c r="I154" s="60">
        <f>VLOOKUP($D154,'All data'!$E$2:$M$2281,6,0)</f>
        <v>1.5135845749080701</v>
      </c>
      <c r="J154" s="92">
        <f>VLOOKUP($D154,'All data'!$E$2:$M$2281,7,0)</f>
        <v>26.142680366797311</v>
      </c>
      <c r="K154" s="43">
        <f>VLOOKUP($C$5,'All data'!$G$2285:$J$2299,4,0)</f>
        <v>1.64</v>
      </c>
      <c r="L154" s="93">
        <f>VLOOKUP($D154,'All data'!$E$2:$M$2281,9,0)</f>
        <v>1804.3237505043307</v>
      </c>
    </row>
    <row r="155" spans="1:12">
      <c r="A155" s="90">
        <f t="shared" si="8"/>
        <v>109</v>
      </c>
      <c r="B155" s="43" t="s">
        <v>138</v>
      </c>
      <c r="C155" s="43" t="str">
        <f>VLOOKUP(B155,'country codes'!$A$3:$B$287,2,0)</f>
        <v>AFG</v>
      </c>
      <c r="D155" s="91" t="str">
        <f t="shared" si="9"/>
        <v>2013AFG</v>
      </c>
      <c r="E155" s="43">
        <v>6</v>
      </c>
      <c r="F155" s="59">
        <f>VLOOKUP($D155,'All data'!$E$2:$M$2281,2,0)</f>
        <v>32269.592000000001</v>
      </c>
      <c r="G155" s="59">
        <f>VLOOKUP($D155,'All data'!$E$2:$M$2281,4,0)</f>
        <v>62.5</v>
      </c>
      <c r="H155" s="60">
        <f>VLOOKUP($D155,'All data'!$E$2:$M$2281,5,0)</f>
        <v>3.5721004009246826</v>
      </c>
      <c r="I155" s="60">
        <f>VLOOKUP($D155,'All data'!$E$2:$M$2281,6,0)</f>
        <v>0.74001508514797598</v>
      </c>
      <c r="J155" s="92">
        <f>VLOOKUP($D155,'All data'!$E$2:$M$2281,7,0)</f>
        <v>36.55420164921852</v>
      </c>
      <c r="K155" s="43">
        <f>VLOOKUP($C$5,'All data'!$G$2285:$J$2299,4,0)</f>
        <v>1.64</v>
      </c>
      <c r="L155" s="93">
        <f>VLOOKUP($D155,'All data'!$E$2:$M$2281,9,0)</f>
        <v>2116.4654544419586</v>
      </c>
    </row>
    <row r="156" spans="1:12">
      <c r="A156" s="90">
        <f t="shared" si="8"/>
        <v>126</v>
      </c>
      <c r="B156" s="43" t="s">
        <v>143</v>
      </c>
      <c r="C156" s="43" t="str">
        <f>VLOOKUP(B156,'country codes'!$A$3:$B$287,2,0)</f>
        <v>SLE</v>
      </c>
      <c r="D156" s="91" t="str">
        <f t="shared" si="9"/>
        <v>2013SLE</v>
      </c>
      <c r="E156" s="43">
        <v>5</v>
      </c>
      <c r="F156" s="59">
        <f>VLOOKUP($D156,'All data'!$E$2:$M$2281,2,0)</f>
        <v>6863.9750000000004</v>
      </c>
      <c r="G156" s="59">
        <f>VLOOKUP($D156,'All data'!$E$2:$M$2281,4,0)</f>
        <v>51.7</v>
      </c>
      <c r="H156" s="60">
        <f>VLOOKUP($D156,'All data'!$E$2:$M$2281,5,0)</f>
        <v>4.5142912864685059</v>
      </c>
      <c r="I156" s="60">
        <f>VLOOKUP($D156,'All data'!$E$2:$M$2281,6,0)</f>
        <v>1.1000423697413999</v>
      </c>
      <c r="J156" s="92">
        <f>VLOOKUP($D156,'All data'!$E$2:$M$2281,7,0)</f>
        <v>32.559264958526548</v>
      </c>
      <c r="K156" s="43">
        <f>VLOOKUP($C$5,'All data'!$G$2285:$J$2299,4,0)</f>
        <v>1.64</v>
      </c>
      <c r="L156" s="93">
        <f>VLOOKUP($D156,'All data'!$E$2:$M$2281,9,0)</f>
        <v>1953.0869413983785</v>
      </c>
    </row>
    <row r="157" spans="1:12">
      <c r="A157" s="90">
        <f t="shared" si="8"/>
        <v>105</v>
      </c>
      <c r="B157" s="43" t="s">
        <v>146</v>
      </c>
      <c r="C157" s="43" t="str">
        <f>VLOOKUP(B157,'country codes'!$A$3:$B$287,2,0)</f>
        <v>ZWE</v>
      </c>
      <c r="D157" s="91" t="str">
        <f t="shared" si="9"/>
        <v>2013ZWE</v>
      </c>
      <c r="E157" s="43">
        <v>5</v>
      </c>
      <c r="F157" s="59">
        <f>VLOOKUP($D157,'All data'!$E$2:$M$2281,2,0)</f>
        <v>13350.378000000001</v>
      </c>
      <c r="G157" s="59">
        <f>VLOOKUP($D157,'All data'!$E$2:$M$2281,4,0)</f>
        <v>56.9</v>
      </c>
      <c r="H157" s="60">
        <f>VLOOKUP($D157,'All data'!$E$2:$M$2281,5,0)</f>
        <v>4.690187931060791</v>
      </c>
      <c r="I157" s="60">
        <f>VLOOKUP($D157,'All data'!$E$2:$M$2281,6,0)</f>
        <v>1.1151482589122701</v>
      </c>
      <c r="J157" s="92">
        <f>VLOOKUP($D157,'All data'!$E$2:$M$2281,7,0)</f>
        <v>37.572567171546609</v>
      </c>
      <c r="K157" s="43">
        <f>VLOOKUP($C$5,'All data'!$G$2285:$J$2299,4,0)</f>
        <v>1.64</v>
      </c>
      <c r="L157" s="93">
        <f>VLOOKUP($D157,'All data'!$E$2:$M$2281,9,0)</f>
        <v>2937.7256244578921</v>
      </c>
    </row>
    <row r="158" spans="1:12">
      <c r="A158" s="90" t="str">
        <f t="shared" si="8"/>
        <v/>
      </c>
      <c r="B158" s="43" t="s">
        <v>150</v>
      </c>
      <c r="C158" s="43" t="str">
        <f>VLOOKUP(B158,'country codes'!$A$3:$B$287,2,0)</f>
        <v>LSO</v>
      </c>
      <c r="D158" s="91" t="str">
        <f t="shared" si="9"/>
        <v>2013LSO</v>
      </c>
      <c r="E158" s="43">
        <v>5</v>
      </c>
      <c r="F158" s="59">
        <f>VLOOKUP($D158,'All data'!$E$2:$M$2281,2,0)</f>
        <v>2028.528</v>
      </c>
      <c r="G158" s="59">
        <f>VLOOKUP($D158,'All data'!$E$2:$M$2281,4,0)</f>
        <v>48.7</v>
      </c>
      <c r="H158" s="60" t="str">
        <f>VLOOKUP($D158,'All data'!$E$2:$M$2281,5,0)</f>
        <v/>
      </c>
      <c r="I158" s="60">
        <f>VLOOKUP($D158,'All data'!$E$2:$M$2281,6,0)</f>
        <v>1.41242843579072</v>
      </c>
      <c r="J158" s="92" t="str">
        <f>VLOOKUP($D158,'All data'!$E$2:$M$2281,7,0)</f>
        <v/>
      </c>
      <c r="K158" s="43">
        <f>VLOOKUP($C$5,'All data'!$G$2285:$J$2299,4,0)</f>
        <v>1.64</v>
      </c>
      <c r="L158" s="93">
        <f>VLOOKUP($D158,'All data'!$E$2:$M$2281,9,0)</f>
        <v>2621.070949435446</v>
      </c>
    </row>
    <row r="159" spans="1:12">
      <c r="A159" s="90" t="str">
        <f t="shared" si="8"/>
        <v/>
      </c>
      <c r="B159" s="43" t="s">
        <v>153</v>
      </c>
      <c r="C159" s="43" t="str">
        <f>VLOOKUP(B159,'country codes'!$A$3:$B$287,2,0)</f>
        <v>CAF</v>
      </c>
      <c r="D159" s="91" t="str">
        <f t="shared" si="9"/>
        <v>2013CAF</v>
      </c>
      <c r="E159" s="43">
        <v>5</v>
      </c>
      <c r="F159" s="59">
        <f>VLOOKUP($D159,'All data'!$E$2:$M$2281,2,0)</f>
        <v>4447.9449999999997</v>
      </c>
      <c r="G159" s="59">
        <f>VLOOKUP($D159,'All data'!$E$2:$M$2281,4,0)</f>
        <v>49.4</v>
      </c>
      <c r="H159" s="60" t="str">
        <f>VLOOKUP($D159,'All data'!$E$2:$M$2281,5,0)</f>
        <v/>
      </c>
      <c r="I159" s="60">
        <f>VLOOKUP($D159,'All data'!$E$2:$M$2281,6,0)</f>
        <v>1.17196223251181</v>
      </c>
      <c r="J159" s="92" t="str">
        <f>VLOOKUP($D159,'All data'!$E$2:$M$2281,7,0)</f>
        <v/>
      </c>
      <c r="K159" s="43">
        <f>VLOOKUP($C$5,'All data'!$G$2285:$J$2299,4,0)</f>
        <v>1.64</v>
      </c>
      <c r="L159" s="93">
        <f>VLOOKUP($D159,'All data'!$E$2:$M$2281,9,0)</f>
        <v>824.94383205232805</v>
      </c>
    </row>
    <row r="160" spans="1:12">
      <c r="A160" s="90">
        <f t="shared" si="8"/>
        <v>138</v>
      </c>
      <c r="B160" s="43" t="s">
        <v>154</v>
      </c>
      <c r="C160" s="43" t="str">
        <f>VLOOKUP(B160,'country codes'!$A$3:$B$287,2,0)</f>
        <v>MNG</v>
      </c>
      <c r="D160" s="91" t="str">
        <f t="shared" si="9"/>
        <v>2013MNG</v>
      </c>
      <c r="E160" s="43">
        <v>8</v>
      </c>
      <c r="F160" s="59">
        <f>VLOOKUP($D160,'All data'!$E$2:$M$2281,2,0)</f>
        <v>2881.7829999999999</v>
      </c>
      <c r="G160" s="59">
        <f>VLOOKUP($D160,'All data'!$E$2:$M$2281,4,0)</f>
        <v>68.599999999999994</v>
      </c>
      <c r="H160" s="60">
        <f>VLOOKUP($D160,'All data'!$E$2:$M$2281,5,0)</f>
        <v>4.9129281044006348</v>
      </c>
      <c r="I160" s="60">
        <f>VLOOKUP($D160,'All data'!$E$2:$M$2281,6,0)</f>
        <v>6.9827523428772897</v>
      </c>
      <c r="J160" s="92">
        <f>VLOOKUP($D160,'All data'!$E$2:$M$2281,7,0)</f>
        <v>27.190505269475494</v>
      </c>
      <c r="K160" s="43">
        <f>VLOOKUP($C$5,'All data'!$G$2285:$J$2299,4,0)</f>
        <v>1.64</v>
      </c>
      <c r="L160" s="93">
        <f>VLOOKUP($D160,'All data'!$E$2:$M$2281,9,0)</f>
        <v>10383.751278782425</v>
      </c>
    </row>
    <row r="161" spans="1:12">
      <c r="A161" s="95">
        <f t="shared" si="8"/>
        <v>137</v>
      </c>
      <c r="B161" s="96" t="s">
        <v>155</v>
      </c>
      <c r="C161" s="96" t="str">
        <f>VLOOKUP(B161,'country codes'!$A$3:$B$287,2,0)</f>
        <v>QAT</v>
      </c>
      <c r="D161" s="97" t="str">
        <f t="shared" si="9"/>
        <v>2013QAT</v>
      </c>
      <c r="E161" s="96">
        <v>4</v>
      </c>
      <c r="F161" s="98">
        <f>VLOOKUP($D161,'All data'!$E$2:$M$2281,2,0)</f>
        <v>2336.5790000000002</v>
      </c>
      <c r="G161" s="98">
        <f>VLOOKUP($D161,'All data'!$E$2:$M$2281,4,0)</f>
        <v>79.5</v>
      </c>
      <c r="H161" s="67">
        <f>VLOOKUP($D161,'All data'!$E$2:$M$2281,5,0)</f>
        <v>6.5323754946390791</v>
      </c>
      <c r="I161" s="67">
        <f>VLOOKUP($D161,'All data'!$E$2:$M$2281,6,0)</f>
        <v>12.5156600642407</v>
      </c>
      <c r="J161" s="99">
        <f>VLOOKUP($D161,'All data'!$E$2:$M$2281,7,0)</f>
        <v>28.100191188077066</v>
      </c>
      <c r="K161" s="96">
        <f>VLOOKUP($C$5,'All data'!$G$2285:$J$2299,4,0)</f>
        <v>1.64</v>
      </c>
      <c r="L161" s="100">
        <f>VLOOKUP($D161,'All data'!$E$2:$M$2281,9,0)</f>
        <v>95500.111971598628</v>
      </c>
    </row>
  </sheetData>
  <autoFilter ref="A9:L161" xr:uid="{306DA80B-41B7-40D0-AB90-0D348B7CD9F1}">
    <sortState xmlns:xlrd2="http://schemas.microsoft.com/office/spreadsheetml/2017/richdata2" ref="A10:L161">
      <sortCondition ref="A9:A161"/>
    </sortState>
  </autoFilter>
  <mergeCells count="1">
    <mergeCell ref="A2:L3"/>
  </mergeCells>
  <phoneticPr fontId="47" type="noConversion"/>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75" defaultRowHeight="16.5"/>
  <cols>
    <col min="1" max="1" width="9.75" customWidth="1"/>
    <col min="2" max="2" width="21" customWidth="1"/>
    <col min="3" max="3" width="8.25" customWidth="1"/>
    <col min="4" max="4" width="12.75" customWidth="1"/>
    <col min="6" max="6" width="13.75" customWidth="1"/>
    <col min="7" max="7" width="15.375" customWidth="1"/>
    <col min="8" max="8" width="19.125" style="10" customWidth="1"/>
    <col min="9" max="9" width="19.125" customWidth="1"/>
    <col min="10" max="10" width="23" customWidth="1"/>
    <col min="11" max="11" width="11" style="1" customWidth="1"/>
    <col min="12" max="12" width="12.875" customWidth="1"/>
    <col min="13" max="13" width="12.375" customWidth="1"/>
  </cols>
  <sheetData>
    <row r="1" spans="1:13" ht="52.5" customHeight="1">
      <c r="A1" s="2" t="s">
        <v>2</v>
      </c>
      <c r="B1" s="2" t="s">
        <v>3</v>
      </c>
      <c r="C1" s="2" t="s">
        <v>175</v>
      </c>
      <c r="D1" s="2" t="s">
        <v>157</v>
      </c>
      <c r="E1" s="3"/>
      <c r="F1" s="2" t="s">
        <v>336</v>
      </c>
      <c r="G1" s="2" t="s">
        <v>156</v>
      </c>
      <c r="H1" s="2" t="s">
        <v>337</v>
      </c>
      <c r="I1" s="2" t="s">
        <v>338</v>
      </c>
      <c r="J1" s="2" t="s">
        <v>339</v>
      </c>
      <c r="K1" s="4" t="s">
        <v>167</v>
      </c>
      <c r="L1" s="3" t="s">
        <v>340</v>
      </c>
      <c r="M1" s="3"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19"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19"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19"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19"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19"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19"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19"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19"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19"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19"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19"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19"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19"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19"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19"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19"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19"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19"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19"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19"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19"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19"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19"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19"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19"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19"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19"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19"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19"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19"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19"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19"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19"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19"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19"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19"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19"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19"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19"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19"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19"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19"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19"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19"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19"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19"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19"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19"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19"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19"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19"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19"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19"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19"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19"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19"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19"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19"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19"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19"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19"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19"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19"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19"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19"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19"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19"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19"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19"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19"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19"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19"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19"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19"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19"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19"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19"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19"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19"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19"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19"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19"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19"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19"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19"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19"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19"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19"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19"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19"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19"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19"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19"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19"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19"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19"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19"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19"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19"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19"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19"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19"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19"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19"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19"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19"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19"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19"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19"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19"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19"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19"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19"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19"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19"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19"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19"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19"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19"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19"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19"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19"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19"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19"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19"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19"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19"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19"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19"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19"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19"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19"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19"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19"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19"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19"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19"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19"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19"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19"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19"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19"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19"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19"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19"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19"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19"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19"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19"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19"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19"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19"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19">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19">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19">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19">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19">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19">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19">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19">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19">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19">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19">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19">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19">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19">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19">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19">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19">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19">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19">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19">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19">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19">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19">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19">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19">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19">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19">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19">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19">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19">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19">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19">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19">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19">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19">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19">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19">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19">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19">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19">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19">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19">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19">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19">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19">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19">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19">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19">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19">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19">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19">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19">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19">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19">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19">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19">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19">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19">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19">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19">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19">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19">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19">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19">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19">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19">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19">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19">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19">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19">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19">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19">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19">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19">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19">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19">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19">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19">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19">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19">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19">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19">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19">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19">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19">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19">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19">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19">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19">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19">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19">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19">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19">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19">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19">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19">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19">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19">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19">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19">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19">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19">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19">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19">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19">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19">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19">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19">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19">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19">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19">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19">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19">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19">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19">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19">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19">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19">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19">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19">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19">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19">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19">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19">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19">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19">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19">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19">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19">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19">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19"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19">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19">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19">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19">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19">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19">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19">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19"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19">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19">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19">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19">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19">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19">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19">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19">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19"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19">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19"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19">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19">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19">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19">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19">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19">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19">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19">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19">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19">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19">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19">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19">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19">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19">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19">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19">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19">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19">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19">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19">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19">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19">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19">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19">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19">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19">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19">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19">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19">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19">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19">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19">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19">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19">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19">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19">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19">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19">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19">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19">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19">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19">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19">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19">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19">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19">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19">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19">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19">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19">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19">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19">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19">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19">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19">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19">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19">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19">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19">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19">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19">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19">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19"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19">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19">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19">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19">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19">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19">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19">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19">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19">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19">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19">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19">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19">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19">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19">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19">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19">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19">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19">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19">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19">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19">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19">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19">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19">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19"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19">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19">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19">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19">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19">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19">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19">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19">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19">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19">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19">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19">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19">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19">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19">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19">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19">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19">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19">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19">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19">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19">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19">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19">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19">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19">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19">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19">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19">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19">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19">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19">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19">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19">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19">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19"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19">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19">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19">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19">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19">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19">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19">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19">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19">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19">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19">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19">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19">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19">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19">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19">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19">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19">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19">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19">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19">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19">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19">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19">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19">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19">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19">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19">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19">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19">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19">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19">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19">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19">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19">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19">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19">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19">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19">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19">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19">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19">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19">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19">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19">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19">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19">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19">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19">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19">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19">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19">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19">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19">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19">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19">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19">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19">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19">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19">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19">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19">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19">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19">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19">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19">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19">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19">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19">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19">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19">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19">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19">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19">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19">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19">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19">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19">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19">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19">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19">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19">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19">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19">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19">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19">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19">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19">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19">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19">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19">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19">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19">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19"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19">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19">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19">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19">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19">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19">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19">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19">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19">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19">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19">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19">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19">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19">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19">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19">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19">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19"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19">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19">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19">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19">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19">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19">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19">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19">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19">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19">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19">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19">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19">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19">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19">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19">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19">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19">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19">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19">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19">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19">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19">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19">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19">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19">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19">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19">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19">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19">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19">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19">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19">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19">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19">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19">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19">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19">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19"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19">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19">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19">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19">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19">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19">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19">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19">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19">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19">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19">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19">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19">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19">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19">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19">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19">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19">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19">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19">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19">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19">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19">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19">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19">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19">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19">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19">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19">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19">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19">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19">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19">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19">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19">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19">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19">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19">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19">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19">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19">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19">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19">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19">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19">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19">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19">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19">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19">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19">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19">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19">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19">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19">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19">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19">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19">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19">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19">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19">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19">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19">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19">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19">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19">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19">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19">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19">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19">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19">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19">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19">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19">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19">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19">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19">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19">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19">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19">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19">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19">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19">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19">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19">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19">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19">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19">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19">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19">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19">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19">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19">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19">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19">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19">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19">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19">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19">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19">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19">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19">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19">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19">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19">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19">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19">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19">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19">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19">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19">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19">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19">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19">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19">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19">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19">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19"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19">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19">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19">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19">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19">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19">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19">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19">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19">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19">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19">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19">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19">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19">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19">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19">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19">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19"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19">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19">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19">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19">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19">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19">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19">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19">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19">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19">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19">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19">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19">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19">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19">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19">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19">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19">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19">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19">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19">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19">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19">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19">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19">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19">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19">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19">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19">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19">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19">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19">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19">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19">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19">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19">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19">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19">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19">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19">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19">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19">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19"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19">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19">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19">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19">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19">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19">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19">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19">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19">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19">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19">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19">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19">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19">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19">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19">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19">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19">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19">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19">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19">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19">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19">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19">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19">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19">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19">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19">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19">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19">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19">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19">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19">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19">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19">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19">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19">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19">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19">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19">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19">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19">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19">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19">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19">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19">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19">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19">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19">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19">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19">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19">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19">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19">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19">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19">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19">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19">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19">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19">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19">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19">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19">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19"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19">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19">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19">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19">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19">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19">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19">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19">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19">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19">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19">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19">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19">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19">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19">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19">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19">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19">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19">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19">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19">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19">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19">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19">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19">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19">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19">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19">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19">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19">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19">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19">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19">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19">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19">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19">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19">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19">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19">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19">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19">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19">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19">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19">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19">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19">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19">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19">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19">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19">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19">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19">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19">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19">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19">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19">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19">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19"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19">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19">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19">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19">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19">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19">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19">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19">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19">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19">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19">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19">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19">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19">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19">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19">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19">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19">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19">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19">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19">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19">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19">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19">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19">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19">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19">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19">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19">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19"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19">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19">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19">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19">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19">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19">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19">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19">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19">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19">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19">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19">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19">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19">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19">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19">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19">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19">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19">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19">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19">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19">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19">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19">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19">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19">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19">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19">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19">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19">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19">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19">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19">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19">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19">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19">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19">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19">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19">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19">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19">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19">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19">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19">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19">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19">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19">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19">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19"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19">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19">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19">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19">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19">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19">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19">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19">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19">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19">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19">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19">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19">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19">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19">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19">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19">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19">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19">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19">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19">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19">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19">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19">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19">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19">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19">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19">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19">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19">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19">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19">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19">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19">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19">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19">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19">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19">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19">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19">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19">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19">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19"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19">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19">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19">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19">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19">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19">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19">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19">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19">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19">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19">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19">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19">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19">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19">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19">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19">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19">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19">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19">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19">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19">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19">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19">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19">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19">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19">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19">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19">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19">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19">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19">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19">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19">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19">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19">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19">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19">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19">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19">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19">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19">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19">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19">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19">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19">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19">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19">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19">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19">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19">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19">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19">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19">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19">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19">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19">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19">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19">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19"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19">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19">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19">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19">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19">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19">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19">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19">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19">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19">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19">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19">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19">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19">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19">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19">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19">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19">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19">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19">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19">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19">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19">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19">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19">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19">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19">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19">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19">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19">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19">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19">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19">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19">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19">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19">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19">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19"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19">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19">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19">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19">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19">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19">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19">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19">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19">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19">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19">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19">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19">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19">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19">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19">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19">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19">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19">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19">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19">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19">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19">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19">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19">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19">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19">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19">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19">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19">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19">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19">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19">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19">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19">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19">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19">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19">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19">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19">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19">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19">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19">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19">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19">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19">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19">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19">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19"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19">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19">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19">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19">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19">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19">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19">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19">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19">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19">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19">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19">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19">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19">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19">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19">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19">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19">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19">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19">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19">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19">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19">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19">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19">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19">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19">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19">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19">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19">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19">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19">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19">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19">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19">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19">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19">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19">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19">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19">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19">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19">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19">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19">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19">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19">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19">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19">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19">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19">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19">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19">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19">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19">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19">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19">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19">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19">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19">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19">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19">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19">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19">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19">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19"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19">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19">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19">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19">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19">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19">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19">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19">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19">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19">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19">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19">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19">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19">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19">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19">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19">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19">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19">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19">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19">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19">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19">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19"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19">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19">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19">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19">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19">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19">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19">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19">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19">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19">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19">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19">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19">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19">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19">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19">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19">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19">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19">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19">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19">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19">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19">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19">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19">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19">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19">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19">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19">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19">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19">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19">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19">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19">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19">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19">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19">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19">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19">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19">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19">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19">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19">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19">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19">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19">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19">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19">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19">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19">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19">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19">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19">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19">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19">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19">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19">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19">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19">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19">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19">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19">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19">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19">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19"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19">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19">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19">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19">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19">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19">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19">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19">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19">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19">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19">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19">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19">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19">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19">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19">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19">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19">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19">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19">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19">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19">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19">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19">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19">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19">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19">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19">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19">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19">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19">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19">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19">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19">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19">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19">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19">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19">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19">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19">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19">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19">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19">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19">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19">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19">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19">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19">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19">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19">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19">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19">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19">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19">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19">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19">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19">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19">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19">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19">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19">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19">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19"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19">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19">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19">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19">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19">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19">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19">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19">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19">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19">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19">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19">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19">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19">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19">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19">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19">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19">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19">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19">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19">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19">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19">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19">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19">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19">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19">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19">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19"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19">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19">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19">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19">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19">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19">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19">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19">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19">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19">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19">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19">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19">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19">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19">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19">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19">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19">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19">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19">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19">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19">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19">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19">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19">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19">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19">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19">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19">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19">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19">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19">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19">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19">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19">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19">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19">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19">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19">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19">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19">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19">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19">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19">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19">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19">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19">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19">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19">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19">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19">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19">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19">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19">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19">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19">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19">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19">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19">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19">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19">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19">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19">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19">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19">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19">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19">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19"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19">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19">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19">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19">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19">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19">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19">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19">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19">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19">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19">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19">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19">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19">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19">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19">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19">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19">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19">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19">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19">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19">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19">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19">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19">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19">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19">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19">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19">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19">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19">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19">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19">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19">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19">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19">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19">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19">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19">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19">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19">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19">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19">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19">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19">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19">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19">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19">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19">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19">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19">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19">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19">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19">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19">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19"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19">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19">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19"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19"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19"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19"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19"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19"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19"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19"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19"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19"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19"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19"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19"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19"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19"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19"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19"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19"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19"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19"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19"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19"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19"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19"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19"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19"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19"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19"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19"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19"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19"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19"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19"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19"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19"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19"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19"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19"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19"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19"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19"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19"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19"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19"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19"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19"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19"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19"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19"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19"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19"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19"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19"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19"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19"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19"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19"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19"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19"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19"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19"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19"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19"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19"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19"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19"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19"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19"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19"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19"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19"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19"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19"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19"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19"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19"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19"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19"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19"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19"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19"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19"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19"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19"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19"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19"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19"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19"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19"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19"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19"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19"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19"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19"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19"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19"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19"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19"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19"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19"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19"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19"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19"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19"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19"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19"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19"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19"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19"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19"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19"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19"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19"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19"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19"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19"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19"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19"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19"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19"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19"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19"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19"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19"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19"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19"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19"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19"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19"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19"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19"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19"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19"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19"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19"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19"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19"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19"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19"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19"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19"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19"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19"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19"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19"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19"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19"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19"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19"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19"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19"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19"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19"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19"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19"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19"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19"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19"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19"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19"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19"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19"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19"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19"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19"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19"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19"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19"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19"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19"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19"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19"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19"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19"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19"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19"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19"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19"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19"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19"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19"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19"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19"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19"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19"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19"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19"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19"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19"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19"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19"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19"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19"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19"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19"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19"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19"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19"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19"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19"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19"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19"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19"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19"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19"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19"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19"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19"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19"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19"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19"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19"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19"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19"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19"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19"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19"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19"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19"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19"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19"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19"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19"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19"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19"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19"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19"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19"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19"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19"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19"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19"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19"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19"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19"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19"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19"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19"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19"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19"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19"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19"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19"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19"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19"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19"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19"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19"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19"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19"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19"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19"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19"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19"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19"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19"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19"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19"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19"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19"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19"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19"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19"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19"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19"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19"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19"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19"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19"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19"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19"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19"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19"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19"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19"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19"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19"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19"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19"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19"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19"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19"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19"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19"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19"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19"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19"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19"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19"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19"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19"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19"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19"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19"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19"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19"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19"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19"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19"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19"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19"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19"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19"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19"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19"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19"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19"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19"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19"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19"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19"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19"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19"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19"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19"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19"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19"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19"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19"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19"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19"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19"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19"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19"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19"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19"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19"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19"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19"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19"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19"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19"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19"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19"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19"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19"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19"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19"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19"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19"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19"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19"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19"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19"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19"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19"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19"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19"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19"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19"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19"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19"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19"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19"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19"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19"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19"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19"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19"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19"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19"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19"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19"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19"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19"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19"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19"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19"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19"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19"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19"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19"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19"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19"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19"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19"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19"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19"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19"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19"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19"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19"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19"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19"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19"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19"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19"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19"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19"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19"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19"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19"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19"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19"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19"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19"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19"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19"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19"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19"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19"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19"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19"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19"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19"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19"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19"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19"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19"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19"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19"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19"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19"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19"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19"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19"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19"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19"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19"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19"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19"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19"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19"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19"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19"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19"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19"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19"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19"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19"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19"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19"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19"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19"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19"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19"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19"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19"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19"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19"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19"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19"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19"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19"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19"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19"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19"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19"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19"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19"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19"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19"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19"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19"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19"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19"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19"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19"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19"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19"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19"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19"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19"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19"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19"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19"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19"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19"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19"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19"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19"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19"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19"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19"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19"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19"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19"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19"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19"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19"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19"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19"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19"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19"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19"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19"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19"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19"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19"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19"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19"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19"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19"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19"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19"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19"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19"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19"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19"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19"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19"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19"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19"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19"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19"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19"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19"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19"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19"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19"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19"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19"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19"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19"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19"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19"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19"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19"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19"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19"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19"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19"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19"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19"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19"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19"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19"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19"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19"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19"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19"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19"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19"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19"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19"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19"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19"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19"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19"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19"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19"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19"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19"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19"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19"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19"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19"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19"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19"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19"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19"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19"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19"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19"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19"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19"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19"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19"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19"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19"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19"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19"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19"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19"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19"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19"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19"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19"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19"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19"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19"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19"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19"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19"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19"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19"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19"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19"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19"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19"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19"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19"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19"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19"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19"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19"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19"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19"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19"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19"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19"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19"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19"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19"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19"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19"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19"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19"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19"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19"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19"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19"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19"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19"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19"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19"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19"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19"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19"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19"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19"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19"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19"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19"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19"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19"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19"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19"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19"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19"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19"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19"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19"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19"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19"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19"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19"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19"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19"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19"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19"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19"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19"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19"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19"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19"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19"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19"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19"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19"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19"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19"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19"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19"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19"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19"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19"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19"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19"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19"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19"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19"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19"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19"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19"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19"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19"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19"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19"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19"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19"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19"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19"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19"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19"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19"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19"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19"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19"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19"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19"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19"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19"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19"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19"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19"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19"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19"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19"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19"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19"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19"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19"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19"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19"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19"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19"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19"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19"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19"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19"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19"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19"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19"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19"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19"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19"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19"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19"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19"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19"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19"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19"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19"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19"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19"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19"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19"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19"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19"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19"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19"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19"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19"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19"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19"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19"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19"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19"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19"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19"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19"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19"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19"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19"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19"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19"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19"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19"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19"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19"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19"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19"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19"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19"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19"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19"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19"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19"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19"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19"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19"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19"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19"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19"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19"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19"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19"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19"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19"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19"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19"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19"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19"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19"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19"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19"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19"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19"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19"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phoneticPr fontId="47" type="noConversion"/>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topLeftCell="A4" zoomScale="85" zoomScaleNormal="85" workbookViewId="0">
      <selection activeCell="F7" sqref="F7"/>
    </sheetView>
  </sheetViews>
  <sheetFormatPr defaultColWidth="8.875" defaultRowHeight="14.25"/>
  <cols>
    <col min="1" max="1" width="4.25" style="43" customWidth="1"/>
    <col min="2" max="2" width="13.375" style="43" customWidth="1"/>
    <col min="3" max="5" width="13.125" style="43" customWidth="1"/>
    <col min="6" max="6" width="8.875" style="43"/>
    <col min="7" max="7" width="8.125" style="43" customWidth="1"/>
    <col min="8" max="8" width="8.875" style="43"/>
    <col min="9" max="12" width="11.875" style="43" customWidth="1"/>
    <col min="13" max="16384" width="8.875" style="43"/>
  </cols>
  <sheetData>
    <row r="1" spans="1:8" s="81" customFormat="1" ht="26.25">
      <c r="B1" s="84" t="s">
        <v>369</v>
      </c>
    </row>
    <row r="2" spans="1:8" ht="18">
      <c r="B2" s="112" t="s">
        <v>385</v>
      </c>
    </row>
    <row r="4" spans="1:8" ht="19.5">
      <c r="A4" s="80" t="s">
        <v>356</v>
      </c>
      <c r="B4" s="49"/>
      <c r="C4" s="49"/>
      <c r="D4" s="49"/>
      <c r="E4" s="49"/>
    </row>
    <row r="5" spans="1:8" ht="15" thickBot="1"/>
    <row r="6" spans="1:8" ht="18">
      <c r="B6" s="50" t="s">
        <v>171</v>
      </c>
      <c r="C6" s="51"/>
      <c r="D6" s="52"/>
      <c r="E6" s="43" t="s">
        <v>331</v>
      </c>
    </row>
    <row r="7" spans="1:8" ht="18.75" thickBot="1">
      <c r="B7" s="180" t="s">
        <v>138</v>
      </c>
      <c r="C7" s="181"/>
      <c r="D7" s="182"/>
      <c r="E7" s="43" t="str">
        <f>VLOOKUP(B7,'country codes'!$A$3:$B$287,2,0)</f>
        <v>AFG</v>
      </c>
    </row>
    <row r="9" spans="1:8">
      <c r="B9" s="73" t="s">
        <v>344</v>
      </c>
    </row>
    <row r="10" spans="1:8" ht="45">
      <c r="B10" s="53"/>
      <c r="C10" s="54" t="s">
        <v>366</v>
      </c>
      <c r="D10" s="54" t="s">
        <v>367</v>
      </c>
      <c r="E10" s="54" t="s">
        <v>368</v>
      </c>
      <c r="F10" s="55" t="s">
        <v>167</v>
      </c>
      <c r="G10" s="56" t="s">
        <v>332</v>
      </c>
      <c r="H10" s="57" t="s">
        <v>361</v>
      </c>
    </row>
    <row r="11" spans="1:8" ht="15">
      <c r="B11" s="58">
        <v>2006</v>
      </c>
      <c r="C11" s="59">
        <f>VLOOKUP($B11&amp;$E$7,'All data'!$E$2:$K$2281,4,0)</f>
        <v>58.8</v>
      </c>
      <c r="D11" s="60" t="str">
        <f>VLOOKUP($B11&amp;$E$7,'All data'!$E$2:$K$2281,5,0)</f>
        <v/>
      </c>
      <c r="E11" s="60">
        <f>VLOOKUP($B11&amp;$E$7,'All data'!$E$2:$K$2281,6,0)</f>
        <v>0.62208291193006404</v>
      </c>
      <c r="F11" s="61" t="str">
        <f>VLOOKUP($B11&amp;$E$7,'All data'!$E$2:$K$2281,7,0)</f>
        <v/>
      </c>
      <c r="G11" s="62"/>
      <c r="H11" s="63">
        <v>1.74</v>
      </c>
    </row>
    <row r="12" spans="1:8" ht="15">
      <c r="B12" s="64">
        <v>2007</v>
      </c>
      <c r="C12" s="59">
        <f>VLOOKUP($B12&amp;$E$7,'All data'!$E$2:$K$2281,4,0)</f>
        <v>59.4</v>
      </c>
      <c r="D12" s="60" t="str">
        <f>VLOOKUP($B12&amp;$E$7,'All data'!$E$2:$K$2281,5,0)</f>
        <v/>
      </c>
      <c r="E12" s="60">
        <f>VLOOKUP($B12&amp;$E$7,'All data'!$E$2:$K$2281,6,0)</f>
        <v>0.662415204167633</v>
      </c>
      <c r="F12" s="61" t="str">
        <f>VLOOKUP($B12&amp;$E$7,'All data'!$E$2:$K$2281,7,0)</f>
        <v/>
      </c>
      <c r="G12" s="62" t="str">
        <f>IF(ISNUMBER(F12),COUNTIFS('All data'!$G$2:$G$2281,B12,'All data'!$K$2:$K$2281,"&gt;"&amp;F12)+1,"")</f>
        <v/>
      </c>
      <c r="H12" s="63">
        <v>1.72</v>
      </c>
    </row>
    <row r="13" spans="1:8" ht="15">
      <c r="B13" s="64">
        <v>2008</v>
      </c>
      <c r="C13" s="59">
        <f>VLOOKUP($B13&amp;$E$7,'All data'!$E$2:$K$2281,4,0)</f>
        <v>59.9</v>
      </c>
      <c r="D13" s="60">
        <f>VLOOKUP($B13&amp;$E$7,'All data'!$E$2:$K$2281,5,0)</f>
        <v>3.7235898971557617</v>
      </c>
      <c r="E13" s="60">
        <f>VLOOKUP($B13&amp;$E$7,'All data'!$E$2:$K$2281,6,0)</f>
        <v>0.64575882180292099</v>
      </c>
      <c r="F13" s="61">
        <f>VLOOKUP($B13&amp;$E$7,'All data'!$E$2:$K$2281,7,0)</f>
        <v>36.536091387604159</v>
      </c>
      <c r="G13" s="62">
        <f>IF(ISNUMBER(F13),COUNTIFS('All data'!$G$2:$G$2281,B13,'All data'!$K$2:$K$2281,"&gt;"&amp;F13)+1,"")</f>
        <v>90</v>
      </c>
      <c r="H13" s="63">
        <v>1.72</v>
      </c>
    </row>
    <row r="14" spans="1:8" ht="15">
      <c r="B14" s="64">
        <v>2009</v>
      </c>
      <c r="C14" s="59">
        <f>VLOOKUP($B14&amp;$E$7,'All data'!$E$2:$K$2281,4,0)</f>
        <v>60.5</v>
      </c>
      <c r="D14" s="60">
        <f>VLOOKUP($B14&amp;$E$7,'All data'!$E$2:$K$2281,5,0)</f>
        <v>4.4017782211303711</v>
      </c>
      <c r="E14" s="60">
        <f>VLOOKUP($B14&amp;$E$7,'All data'!$E$2:$K$2281,6,0)</f>
        <v>0.75210749077447003</v>
      </c>
      <c r="F14" s="61">
        <f>VLOOKUP($B14&amp;$E$7,'All data'!$E$2:$K$2281,7,0)</f>
        <v>40.826796282659359</v>
      </c>
      <c r="G14" s="62">
        <f>IF(ISNUMBER(F14),COUNTIFS('All data'!$G$2:$G$2281,B14,'All data'!$K$2:$K$2281,"&gt;"&amp;F14)+1,"")</f>
        <v>82</v>
      </c>
      <c r="H14" s="63">
        <v>1.69</v>
      </c>
    </row>
    <row r="15" spans="1:8" ht="15">
      <c r="B15" s="64">
        <v>2010</v>
      </c>
      <c r="C15" s="59">
        <f>VLOOKUP($B15&amp;$E$7,'All data'!$E$2:$K$2281,4,0)</f>
        <v>61</v>
      </c>
      <c r="D15" s="60">
        <f>VLOOKUP($B15&amp;$E$7,'All data'!$E$2:$K$2281,5,0)</f>
        <v>4.7583808898925781</v>
      </c>
      <c r="E15" s="60">
        <f>VLOOKUP($B15&amp;$E$7,'All data'!$E$2:$K$2281,6,0)</f>
        <v>0.77686634879466598</v>
      </c>
      <c r="F15" s="61">
        <f>VLOOKUP($B15&amp;$E$7,'All data'!$E$2:$K$2281,7,0)</f>
        <v>43.426891193302453</v>
      </c>
      <c r="G15" s="62">
        <f>IF(ISNUMBER(F15),COUNTIFS('All data'!$G$2:$G$2281,B15,'All data'!$K$2:$K$2281,"&gt;"&amp;F15)+1,"")</f>
        <v>61</v>
      </c>
      <c r="H15" s="63">
        <v>1.68</v>
      </c>
    </row>
    <row r="16" spans="1:8" ht="15">
      <c r="B16" s="64">
        <v>2011</v>
      </c>
      <c r="C16" s="59">
        <f>VLOOKUP($B16&amp;$E$7,'All data'!$E$2:$K$2281,4,0)</f>
        <v>61.6</v>
      </c>
      <c r="D16" s="60">
        <f>VLOOKUP($B16&amp;$E$7,'All data'!$E$2:$K$2281,5,0)</f>
        <v>3.8317191600799561</v>
      </c>
      <c r="E16" s="60">
        <f>VLOOKUP($B16&amp;$E$7,'All data'!$E$2:$K$2281,6,0)</f>
        <v>0.75786863355734602</v>
      </c>
      <c r="F16" s="61">
        <f>VLOOKUP($B16&amp;$E$7,'All data'!$E$2:$K$2281,7,0)</f>
        <v>37.668961913428859</v>
      </c>
      <c r="G16" s="62">
        <f>IF(ISNUMBER(F16),COUNTIFS('All data'!$G$2:$G$2281,B16,'All data'!$K$2:$K$2281,"&gt;"&amp;F16)+1,"")</f>
        <v>103</v>
      </c>
      <c r="H16" s="63">
        <v>1.66</v>
      </c>
    </row>
    <row r="17" spans="2:18" ht="15">
      <c r="B17" s="64">
        <v>2012</v>
      </c>
      <c r="C17" s="59">
        <f>VLOOKUP($B17&amp;$E$7,'All data'!$E$2:$K$2281,4,0)</f>
        <v>62.1</v>
      </c>
      <c r="D17" s="60">
        <f>VLOOKUP($B17&amp;$E$7,'All data'!$E$2:$K$2281,5,0)</f>
        <v>3.7829375267028809</v>
      </c>
      <c r="E17" s="60">
        <f>VLOOKUP($B17&amp;$E$7,'All data'!$E$2:$K$2281,6,0)</f>
        <v>0.76351266136478702</v>
      </c>
      <c r="F17" s="61">
        <f>VLOOKUP($B17&amp;$E$7,'All data'!$E$2:$K$2281,7,0)</f>
        <v>37.536713931446513</v>
      </c>
      <c r="G17" s="62">
        <f>IF(ISNUMBER(F17),COUNTIFS('All data'!$G$2:$G$2281,B17,'All data'!$K$2:$K$2281,"&gt;"&amp;F17)+1,"")</f>
        <v>106</v>
      </c>
      <c r="H17" s="63">
        <v>1.63</v>
      </c>
    </row>
    <row r="18" spans="2:18" ht="15">
      <c r="B18" s="64">
        <v>2013</v>
      </c>
      <c r="C18" s="59">
        <f>VLOOKUP($B18&amp;$E$7,'All data'!$E$2:$K$2281,4,0)</f>
        <v>62.5</v>
      </c>
      <c r="D18" s="60">
        <f>VLOOKUP($B18&amp;$E$7,'All data'!$E$2:$K$2281,5,0)</f>
        <v>3.5721004009246826</v>
      </c>
      <c r="E18" s="60">
        <f>VLOOKUP($B18&amp;$E$7,'All data'!$E$2:$K$2281,6,0)</f>
        <v>0.74001508514797598</v>
      </c>
      <c r="F18" s="61">
        <f>VLOOKUP($B18&amp;$E$7,'All data'!$E$2:$K$2281,7,0)</f>
        <v>36.55420164921852</v>
      </c>
      <c r="G18" s="62">
        <f>IF(ISNUMBER(F18),COUNTIFS('All data'!$G$2:$G$2281,B18,'All data'!$K$2:$K$2281,"&gt;"&amp;F18)+1,"")</f>
        <v>109</v>
      </c>
      <c r="H18" s="63">
        <v>1.64</v>
      </c>
    </row>
    <row r="19" spans="2:18" ht="15">
      <c r="B19" s="64">
        <v>2014</v>
      </c>
      <c r="C19" s="59">
        <f>VLOOKUP($B19&amp;$E$7,'All data'!$E$2:$K$2281,4,0)</f>
        <v>63</v>
      </c>
      <c r="D19" s="60">
        <f>VLOOKUP($B19&amp;$E$7,'All data'!$E$2:$K$2281,5,0)</f>
        <v>3.1308956146240234</v>
      </c>
      <c r="E19" s="60">
        <f>VLOOKUP($B19&amp;$E$7,'All data'!$E$2:$K$2281,6,0)</f>
        <v>0.73606945174793303</v>
      </c>
      <c r="F19" s="61">
        <f>VLOOKUP($B19&amp;$E$7,'All data'!$E$2:$K$2281,7,0)</f>
        <v>33.833397962925559</v>
      </c>
      <c r="G19" s="62">
        <f>IF(ISNUMBER(F19),COUNTIFS('All data'!$G$2:$G$2281,B19,'All data'!$K$2:$K$2281,"&gt;"&amp;F19)+1,"")</f>
        <v>122</v>
      </c>
      <c r="H19" s="63">
        <v>1.63</v>
      </c>
    </row>
    <row r="20" spans="2:18" ht="15">
      <c r="B20" s="64">
        <v>2015</v>
      </c>
      <c r="C20" s="59">
        <f>VLOOKUP($B20&amp;$E$7,'All data'!$E$2:$K$2281,4,0)</f>
        <v>63.4</v>
      </c>
      <c r="D20" s="60">
        <f>VLOOKUP($B20&amp;$E$7,'All data'!$E$2:$K$2281,5,0)</f>
        <v>3.9828546047210693</v>
      </c>
      <c r="E20" s="60">
        <f>VLOOKUP($B20&amp;$E$7,'All data'!$E$2:$K$2281,6,0)</f>
        <v>0.70566288347573103</v>
      </c>
      <c r="F20" s="61">
        <f>VLOOKUP($B20&amp;$E$7,'All data'!$E$2:$K$2281,7,0)</f>
        <v>40.10080812133009</v>
      </c>
      <c r="G20" s="62">
        <f>IF(ISNUMBER(F20),COUNTIFS('All data'!$G$2:$G$2281,B20,'All data'!$K$2:$K$2281,"&gt;"&amp;F20)+1,"")</f>
        <v>94</v>
      </c>
      <c r="H20" s="63">
        <v>1.61</v>
      </c>
    </row>
    <row r="21" spans="2:18" ht="15">
      <c r="B21" s="64">
        <v>2016</v>
      </c>
      <c r="C21" s="59">
        <f>VLOOKUP($B21&amp;$E$7,'All data'!$E$2:$K$2281,4,0)</f>
        <v>63.8</v>
      </c>
      <c r="D21" s="60">
        <f>VLOOKUP($B21&amp;$E$7,'All data'!$E$2:$K$2281,5,0)</f>
        <v>4.2201685905456543</v>
      </c>
      <c r="E21" s="60">
        <f>VLOOKUP($B21&amp;$E$7,'All data'!$E$2:$K$2281,6,0)</f>
        <v>0.70134223218971403</v>
      </c>
      <c r="F21" s="61">
        <f>VLOOKUP($B21&amp;$E$7,'All data'!$E$2:$K$2281,7,0)</f>
        <v>42.042749233352296</v>
      </c>
      <c r="G21" s="62">
        <f>IF(ISNUMBER(F21),COUNTIFS('All data'!$G$2:$G$2281,B21,'All data'!$K$2:$K$2281,"&gt;"&amp;F21)+1,"")</f>
        <v>83</v>
      </c>
      <c r="H21" s="63">
        <v>1.6</v>
      </c>
    </row>
    <row r="22" spans="2:18" ht="15">
      <c r="B22" s="64">
        <v>2017</v>
      </c>
      <c r="C22" s="59">
        <f>VLOOKUP($B22&amp;$E$7,'All data'!$E$2:$K$2281,4,0)</f>
        <v>64.099999999999994</v>
      </c>
      <c r="D22" s="60">
        <f>VLOOKUP($B22&amp;$E$7,'All data'!$E$2:$K$2281,5,0)</f>
        <v>2.6617181301116943</v>
      </c>
      <c r="E22" s="60">
        <f>VLOOKUP($B22&amp;$E$7,'All data'!$E$2:$K$2281,6,0)</f>
        <v>0.66404706834691896</v>
      </c>
      <c r="F22" s="61">
        <f>VLOOKUP($B22&amp;$E$7,'All data'!$E$2:$K$2281,7,0)</f>
        <v>31.463232319655464</v>
      </c>
      <c r="G22" s="62">
        <f>IF(ISNUMBER(F22),COUNTIFS('All data'!$G$2:$G$2281,B22,'All data'!$K$2:$K$2281,"&gt;"&amp;F22)+1,"")</f>
        <v>143</v>
      </c>
      <c r="H22" s="63">
        <v>1.6</v>
      </c>
    </row>
    <row r="23" spans="2:18" ht="15">
      <c r="B23" s="64">
        <v>2018</v>
      </c>
      <c r="C23" s="59">
        <f>VLOOKUP($B23&amp;$E$7,'All data'!$E$2:$K$2281,4,0)</f>
        <v>64.5</v>
      </c>
      <c r="D23" s="60">
        <f>VLOOKUP($B23&amp;$E$7,'All data'!$E$2:$K$2281,5,0)</f>
        <v>2.6943032741546631</v>
      </c>
      <c r="E23" s="60">
        <f>VLOOKUP($B23&amp;$E$7,'All data'!$E$2:$K$2281,6,0)</f>
        <v>0.72698864915873251</v>
      </c>
      <c r="F23" s="61">
        <f>VLOOKUP($B23&amp;$E$7,'All data'!$E$2:$K$2281,7,0)</f>
        <v>31.540553534851547</v>
      </c>
      <c r="G23" s="62">
        <f>IF(ISNUMBER(F23),COUNTIFS('All data'!$G$2:$G$2281,B23,'All data'!$K$2:$K$2281,"&gt;"&amp;F23)+1,"")</f>
        <v>140</v>
      </c>
      <c r="H23" s="63">
        <v>1.57</v>
      </c>
    </row>
    <row r="24" spans="2:18" ht="15">
      <c r="B24" s="64">
        <v>2019</v>
      </c>
      <c r="C24" s="59">
        <f>VLOOKUP($B24&amp;$E$7,'All data'!$E$2:$K$2281,4,0)</f>
        <v>64.8</v>
      </c>
      <c r="D24" s="60">
        <f>VLOOKUP($B24&amp;$E$7,'All data'!$E$2:$K$2281,5,0)</f>
        <v>2.3750917911529541</v>
      </c>
      <c r="E24" s="60">
        <f>VLOOKUP($B24&amp;$E$7,'All data'!$E$2:$K$2281,6,0)</f>
        <v>0.73209174728481574</v>
      </c>
      <c r="F24" s="61">
        <f>VLOOKUP($B24&amp;$E$7,'All data'!$E$2:$K$2281,7,0)</f>
        <v>29.409203208169547</v>
      </c>
      <c r="G24" s="62">
        <f>IF(ISNUMBER(F24),COUNTIFS('All data'!$G$2:$G$2281,B24,'All data'!$K$2:$K$2281,"&gt;"&amp;F24)+1,"")</f>
        <v>146</v>
      </c>
      <c r="H24" s="63">
        <v>1.56</v>
      </c>
    </row>
    <row r="25" spans="2:18" ht="15">
      <c r="B25" s="65">
        <v>2020</v>
      </c>
      <c r="C25" s="66">
        <f>VLOOKUP($B25&amp;$E$7,'All data'!$E$2:$K$2281,4,0)</f>
        <v>64.894260550458711</v>
      </c>
      <c r="D25" s="67" t="str">
        <f>VLOOKUP($B25&amp;$E$7,'All data'!$E$2:$K$2281,5,0)</f>
        <v/>
      </c>
      <c r="E25" s="67" t="str">
        <f>VLOOKUP($B25&amp;$E$7,'All data'!$E$2:$K$2281,6,0)</f>
        <v/>
      </c>
      <c r="F25" s="68" t="str">
        <f>VLOOKUP($B25&amp;$E$7,'All data'!$E$2:$K$2281,7,0)</f>
        <v/>
      </c>
      <c r="G25" s="69"/>
      <c r="H25" s="63">
        <v>1.55</v>
      </c>
    </row>
    <row r="28" spans="2:18" ht="44.1" customHeight="1">
      <c r="B28" s="70" t="s">
        <v>174</v>
      </c>
      <c r="C28" s="71">
        <f>SLOPE(C11:C25,$B$11:$B$25)</f>
        <v>0.44771365661861051</v>
      </c>
      <c r="D28" s="71">
        <f>SLOPE(D11:D25,$B$11:$B$25)</f>
        <v>-0.14956852939579038</v>
      </c>
      <c r="E28" s="71">
        <f>SLOPE(E11:E25,$B$11:$B$25)</f>
        <v>3.3071378353336954E-3</v>
      </c>
      <c r="F28" s="72">
        <f>SLOPE(F11:F25,$B$11:$B$25)</f>
        <v>-0.76530472495316426</v>
      </c>
    </row>
    <row r="30" spans="2:18" ht="15" customHeight="1">
      <c r="B30" s="179" t="s">
        <v>387</v>
      </c>
      <c r="C30" s="179"/>
      <c r="D30" s="179"/>
      <c r="E30" s="179"/>
      <c r="F30" s="179"/>
      <c r="G30" s="179"/>
      <c r="H30" s="179"/>
      <c r="I30" s="179"/>
      <c r="J30" s="179"/>
      <c r="K30" s="179"/>
      <c r="L30" s="179"/>
      <c r="M30" s="179"/>
      <c r="N30" s="179"/>
      <c r="O30" s="179"/>
      <c r="P30" s="179"/>
      <c r="Q30" s="179"/>
      <c r="R30" s="74"/>
    </row>
    <row r="31" spans="2:18" ht="36" customHeight="1">
      <c r="B31" s="179"/>
      <c r="C31" s="179"/>
      <c r="D31" s="179"/>
      <c r="E31" s="179"/>
      <c r="F31" s="179"/>
      <c r="G31" s="179"/>
      <c r="H31" s="179"/>
      <c r="I31" s="179"/>
      <c r="J31" s="179"/>
      <c r="K31" s="179"/>
      <c r="L31" s="179"/>
      <c r="M31" s="179"/>
      <c r="N31" s="179"/>
      <c r="O31" s="179"/>
      <c r="P31" s="179"/>
      <c r="Q31" s="179"/>
      <c r="R31" s="74"/>
    </row>
    <row r="32" spans="2:18">
      <c r="I32" s="74"/>
      <c r="J32" s="74"/>
      <c r="K32" s="74"/>
      <c r="L32" s="74"/>
      <c r="M32" s="74"/>
      <c r="N32" s="74"/>
      <c r="O32" s="74"/>
      <c r="P32" s="74"/>
      <c r="Q32" s="74"/>
      <c r="R32" s="74"/>
    </row>
    <row r="33" spans="2:18">
      <c r="B33" s="73" t="s">
        <v>357</v>
      </c>
      <c r="I33" s="74"/>
      <c r="J33" s="74"/>
      <c r="K33" s="74"/>
      <c r="L33" s="74"/>
      <c r="M33" s="74"/>
      <c r="N33" s="74"/>
      <c r="O33" s="74"/>
      <c r="P33" s="74"/>
      <c r="Q33" s="74"/>
      <c r="R33" s="74"/>
    </row>
    <row r="34" spans="2:18">
      <c r="B34" s="43" t="s">
        <v>173</v>
      </c>
      <c r="C34" s="60">
        <v>72.071378289473657</v>
      </c>
      <c r="D34" s="60">
        <v>5.4187128611696505</v>
      </c>
      <c r="E34" s="60">
        <v>3.1879510716378019</v>
      </c>
      <c r="F34" s="60">
        <v>42.731843594241042</v>
      </c>
    </row>
    <row r="35" spans="2:18">
      <c r="B35" s="43" t="s">
        <v>172</v>
      </c>
      <c r="C35" s="60">
        <v>8.7578442566529411</v>
      </c>
      <c r="D35" s="60">
        <v>1.1249771790903924</v>
      </c>
      <c r="E35" s="60">
        <v>2.5333371833785616</v>
      </c>
      <c r="F35" s="60">
        <v>8.6978750014987192</v>
      </c>
    </row>
    <row r="37" spans="2:18" ht="19.5">
      <c r="B37" s="82" t="s">
        <v>335</v>
      </c>
      <c r="C37" s="83"/>
      <c r="D37" s="83"/>
      <c r="E37" s="83"/>
      <c r="F37" s="83"/>
    </row>
    <row r="38" spans="2:18" ht="30">
      <c r="C38" s="75" t="s">
        <v>169</v>
      </c>
      <c r="D38" s="75" t="s">
        <v>168</v>
      </c>
      <c r="E38" s="75" t="s">
        <v>170</v>
      </c>
      <c r="F38" s="75" t="s">
        <v>167</v>
      </c>
    </row>
    <row r="39" spans="2:18" ht="15">
      <c r="B39" s="76">
        <v>2006</v>
      </c>
      <c r="C39" s="77">
        <f t="shared" ref="C39:F53" si="0">IF(ISNUMBER(C11),(C11-C$34)/C$35,NA())</f>
        <v>-1.5153704382664706</v>
      </c>
      <c r="D39" s="77" t="e">
        <f t="shared" si="0"/>
        <v>#N/A</v>
      </c>
      <c r="E39" s="77">
        <f t="shared" si="0"/>
        <v>-1.0128411553513739</v>
      </c>
      <c r="F39" s="77" t="e">
        <f t="shared" si="0"/>
        <v>#N/A</v>
      </c>
    </row>
    <row r="40" spans="2:18" ht="15">
      <c r="B40" s="76">
        <v>2007</v>
      </c>
      <c r="C40" s="77">
        <f t="shared" si="0"/>
        <v>-1.4468604279926285</v>
      </c>
      <c r="D40" s="77" t="e">
        <f t="shared" si="0"/>
        <v>#N/A</v>
      </c>
      <c r="E40" s="77">
        <f t="shared" si="0"/>
        <v>-0.99692053787408264</v>
      </c>
      <c r="F40" s="77" t="e">
        <f t="shared" si="0"/>
        <v>#N/A</v>
      </c>
    </row>
    <row r="41" spans="2:18" ht="15">
      <c r="B41" s="76">
        <v>2008</v>
      </c>
      <c r="C41" s="77">
        <f t="shared" si="0"/>
        <v>-1.3897687527644269</v>
      </c>
      <c r="D41" s="77">
        <f t="shared" si="0"/>
        <v>-1.5068065339640857</v>
      </c>
      <c r="E41" s="77">
        <f t="shared" si="0"/>
        <v>-1.0034954156574254</v>
      </c>
      <c r="F41" s="77">
        <f t="shared" si="0"/>
        <v>-0.71232941443390496</v>
      </c>
    </row>
    <row r="42" spans="2:18" ht="15">
      <c r="B42" s="76">
        <v>2009</v>
      </c>
      <c r="C42" s="77">
        <f t="shared" si="0"/>
        <v>-1.3212587424905851</v>
      </c>
      <c r="D42" s="77">
        <f t="shared" si="0"/>
        <v>-0.90396023931927971</v>
      </c>
      <c r="E42" s="77">
        <f t="shared" si="0"/>
        <v>-0.96151574170430476</v>
      </c>
      <c r="F42" s="77">
        <f t="shared" si="0"/>
        <v>-0.21902445266843071</v>
      </c>
    </row>
    <row r="43" spans="2:18" ht="15">
      <c r="B43" s="76">
        <v>2010</v>
      </c>
      <c r="C43" s="77">
        <f t="shared" si="0"/>
        <v>-1.2641670672623835</v>
      </c>
      <c r="D43" s="77">
        <f t="shared" si="0"/>
        <v>-0.58697365915545774</v>
      </c>
      <c r="E43" s="77">
        <f t="shared" si="0"/>
        <v>-0.95174252312817476</v>
      </c>
      <c r="F43" s="77">
        <f t="shared" si="0"/>
        <v>7.9910046872557747E-2</v>
      </c>
    </row>
    <row r="44" spans="2:18" ht="15">
      <c r="B44" s="76">
        <v>2011</v>
      </c>
      <c r="C44" s="77">
        <f t="shared" si="0"/>
        <v>-1.1956570569885414</v>
      </c>
      <c r="D44" s="77">
        <f t="shared" si="0"/>
        <v>-1.410689683832403</v>
      </c>
      <c r="E44" s="77">
        <f t="shared" si="0"/>
        <v>-0.95924160985139728</v>
      </c>
      <c r="F44" s="77">
        <f t="shared" si="0"/>
        <v>-0.58208259832887965</v>
      </c>
    </row>
    <row r="45" spans="2:18" ht="15">
      <c r="B45" s="76">
        <v>2012</v>
      </c>
      <c r="C45" s="77">
        <f t="shared" si="0"/>
        <v>-1.1385653817603398</v>
      </c>
      <c r="D45" s="77">
        <f t="shared" si="0"/>
        <v>-1.4540520153390013</v>
      </c>
      <c r="E45" s="77">
        <f t="shared" si="0"/>
        <v>-0.95701370752379877</v>
      </c>
      <c r="F45" s="77">
        <f t="shared" si="0"/>
        <v>-0.59728722957036773</v>
      </c>
    </row>
    <row r="46" spans="2:18" ht="15">
      <c r="B46" s="76">
        <v>2013</v>
      </c>
      <c r="C46" s="77">
        <f t="shared" si="0"/>
        <v>-1.0928920415777788</v>
      </c>
      <c r="D46" s="77">
        <f t="shared" si="0"/>
        <v>-1.6414665955606835</v>
      </c>
      <c r="E46" s="77">
        <f t="shared" si="0"/>
        <v>-0.96628905246050145</v>
      </c>
      <c r="F46" s="77">
        <f t="shared" si="0"/>
        <v>-0.71024726659765292</v>
      </c>
    </row>
    <row r="47" spans="2:18" ht="15">
      <c r="B47" s="76">
        <v>2014</v>
      </c>
      <c r="C47" s="77">
        <f t="shared" si="0"/>
        <v>-1.0358003663495772</v>
      </c>
      <c r="D47" s="77">
        <f t="shared" si="0"/>
        <v>-2.0336565835010596</v>
      </c>
      <c r="E47" s="77">
        <f t="shared" si="0"/>
        <v>-0.96784653696194511</v>
      </c>
      <c r="F47" s="77">
        <f t="shared" si="0"/>
        <v>-1.023059727782039</v>
      </c>
    </row>
    <row r="48" spans="2:18" ht="15">
      <c r="B48" s="76">
        <v>2015</v>
      </c>
      <c r="C48" s="77">
        <f t="shared" si="0"/>
        <v>-0.99012702616701609</v>
      </c>
      <c r="D48" s="77">
        <f t="shared" si="0"/>
        <v>-1.276344341144372</v>
      </c>
      <c r="E48" s="77">
        <f t="shared" si="0"/>
        <v>-0.9798491114600032</v>
      </c>
      <c r="F48" s="77">
        <f t="shared" si="0"/>
        <v>-0.30249175487778357</v>
      </c>
    </row>
    <row r="49" spans="2:6" ht="15">
      <c r="B49" s="76">
        <v>2016</v>
      </c>
      <c r="C49" s="77">
        <f t="shared" si="0"/>
        <v>-0.944453685984455</v>
      </c>
      <c r="D49" s="77">
        <f t="shared" si="0"/>
        <v>-1.0653942967919463</v>
      </c>
      <c r="E49" s="77">
        <f t="shared" si="0"/>
        <v>-0.98155462911251512</v>
      </c>
      <c r="F49" s="77">
        <f t="shared" si="0"/>
        <v>-7.9225599444692929E-2</v>
      </c>
    </row>
    <row r="50" spans="2:6" ht="15">
      <c r="B50" s="76">
        <v>2017</v>
      </c>
      <c r="C50" s="77">
        <f t="shared" si="0"/>
        <v>-0.91019868084753441</v>
      </c>
      <c r="D50" s="77">
        <f t="shared" si="0"/>
        <v>-2.4507116964693827</v>
      </c>
      <c r="E50" s="77">
        <f t="shared" si="0"/>
        <v>-0.99627638194016555</v>
      </c>
      <c r="F50" s="77">
        <f t="shared" si="0"/>
        <v>-1.2955591190542399</v>
      </c>
    </row>
    <row r="51" spans="2:6" ht="15">
      <c r="B51" s="76">
        <v>2018</v>
      </c>
      <c r="C51" s="77">
        <f t="shared" si="0"/>
        <v>-0.86452534066497255</v>
      </c>
      <c r="D51" s="77">
        <f t="shared" si="0"/>
        <v>-2.4217465364211446</v>
      </c>
      <c r="E51" s="77">
        <f t="shared" si="0"/>
        <v>-0.97143105885219339</v>
      </c>
      <c r="F51" s="77">
        <f t="shared" si="0"/>
        <v>-1.2866694517294326</v>
      </c>
    </row>
    <row r="52" spans="2:6" ht="15">
      <c r="B52" s="76">
        <v>2019</v>
      </c>
      <c r="C52" s="77">
        <f t="shared" si="0"/>
        <v>-0.83027033552805185</v>
      </c>
      <c r="D52" s="77">
        <f t="shared" si="0"/>
        <v>-2.7054958327933689</v>
      </c>
      <c r="E52" s="77">
        <f t="shared" si="0"/>
        <v>-0.96941668107431012</v>
      </c>
      <c r="F52" s="77">
        <f t="shared" si="0"/>
        <v>-1.5317121002286063</v>
      </c>
    </row>
    <row r="53" spans="2:6" ht="15">
      <c r="B53" s="76">
        <v>2020</v>
      </c>
      <c r="C53" s="77">
        <f t="shared" si="0"/>
        <v>-0.8195073500608111</v>
      </c>
      <c r="D53" s="77" t="e">
        <f t="shared" si="0"/>
        <v>#N/A</v>
      </c>
      <c r="E53" s="77" t="e">
        <f t="shared" si="0"/>
        <v>#N/A</v>
      </c>
      <c r="F53" s="77" t="e">
        <f t="shared" si="0"/>
        <v>#N/A</v>
      </c>
    </row>
    <row r="54" spans="2:6">
      <c r="B54" s="78"/>
      <c r="C54" s="79"/>
      <c r="D54" s="79"/>
      <c r="E54" s="79"/>
      <c r="F54" s="79"/>
    </row>
  </sheetData>
  <mergeCells count="2">
    <mergeCell ref="B7:D7"/>
    <mergeCell ref="B30:Q31"/>
  </mergeCells>
  <phoneticPr fontId="47" type="noConversion"/>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75" defaultRowHeight="16.5"/>
  <cols>
    <col min="1" max="1" width="28.125" customWidth="1"/>
    <col min="2" max="2" width="9.125" style="15" customWidth="1"/>
    <col min="3" max="16" width="9.125" customWidth="1"/>
  </cols>
  <sheetData>
    <row r="1" spans="1:16">
      <c r="A1" s="18"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honeticPr fontId="4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75" defaultRowHeight="16.5"/>
  <cols>
    <col min="2" max="2" width="24" customWidth="1"/>
    <col min="3" max="4" width="7.75" style="15" customWidth="1"/>
    <col min="5" max="5" width="8.875" style="15"/>
    <col min="20" max="20" width="9.375" customWidth="1"/>
    <col min="22" max="22" width="11.125" customWidth="1"/>
    <col min="23" max="23" width="8.875" style="15"/>
    <col min="39" max="39" width="11.125" customWidth="1"/>
    <col min="40" max="40" width="8.875" style="15"/>
    <col min="56" max="56" width="11.375" customWidth="1"/>
    <col min="57" max="57" width="8.875" style="15"/>
    <col min="74" max="74" width="9.125" style="15" customWidth="1"/>
    <col min="75" max="88" width="9.125" customWidth="1"/>
    <col min="89" max="89" width="0" style="15" hidden="1" customWidth="1"/>
    <col min="90" max="103" width="0" hidden="1" customWidth="1"/>
    <col min="104" max="118" width="9.125" hidden="1" customWidth="1"/>
    <col min="134" max="134" width="9.125" style="15" hidden="1" customWidth="1"/>
    <col min="135" max="148" width="9.125" hidden="1" customWidth="1"/>
    <col min="149" max="149" width="9.125" style="15" customWidth="1"/>
    <col min="150" max="163" width="9.125" customWidth="1"/>
    <col min="164" max="164" width="9.125" style="15" hidden="1" customWidth="1"/>
    <col min="165" max="178" width="9.125" hidden="1" customWidth="1"/>
  </cols>
  <sheetData>
    <row r="1" spans="1:178">
      <c r="D1"/>
      <c r="E1" s="114"/>
      <c r="F1" s="115"/>
      <c r="G1" s="115"/>
      <c r="H1" s="115"/>
      <c r="I1" s="115"/>
      <c r="J1" s="115"/>
      <c r="K1" s="115"/>
      <c r="L1" s="115"/>
      <c r="M1" s="115"/>
      <c r="N1" s="115"/>
      <c r="O1" s="115"/>
      <c r="P1" s="115"/>
      <c r="Q1" s="115"/>
      <c r="R1" s="115"/>
      <c r="S1" s="115"/>
      <c r="BV1" s="115"/>
      <c r="BW1" s="115"/>
      <c r="BX1" s="115"/>
      <c r="BY1" s="115"/>
      <c r="BZ1" s="115"/>
      <c r="CA1" s="115"/>
      <c r="CB1" s="115"/>
      <c r="CC1" s="115"/>
      <c r="CD1" s="115"/>
      <c r="CE1" s="115"/>
      <c r="CF1" s="115"/>
      <c r="CG1" s="115"/>
      <c r="CH1" s="115"/>
      <c r="CI1" s="115"/>
      <c r="CJ1" s="115"/>
    </row>
    <row r="2" spans="1:178">
      <c r="D2"/>
      <c r="E2" s="183" t="s">
        <v>396</v>
      </c>
      <c r="F2" s="183"/>
      <c r="G2" s="183"/>
      <c r="H2" s="183"/>
      <c r="I2" s="183"/>
      <c r="J2" s="183"/>
      <c r="K2" s="183"/>
      <c r="L2" s="183"/>
      <c r="M2" s="183"/>
      <c r="N2" s="183"/>
      <c r="O2" s="183"/>
      <c r="P2" s="183"/>
      <c r="Q2" s="183"/>
      <c r="R2" s="183"/>
      <c r="S2" s="183"/>
      <c r="T2" s="1"/>
      <c r="W2" s="183" t="s">
        <v>168</v>
      </c>
      <c r="X2" s="183"/>
      <c r="Y2" s="183"/>
      <c r="Z2" s="183"/>
      <c r="AA2" s="183"/>
      <c r="AB2" s="183"/>
      <c r="AC2" s="183"/>
      <c r="AD2" s="183"/>
      <c r="AE2" s="183"/>
      <c r="AF2" s="183"/>
      <c r="AG2" s="183"/>
      <c r="AH2" s="183"/>
      <c r="AI2" s="183"/>
      <c r="AJ2" s="183"/>
      <c r="AK2" s="183"/>
      <c r="AL2" s="115"/>
      <c r="AM2" s="115"/>
      <c r="AN2" s="183" t="s">
        <v>169</v>
      </c>
      <c r="AO2" s="183"/>
      <c r="AP2" s="183"/>
      <c r="AQ2" s="183"/>
      <c r="AR2" s="183"/>
      <c r="AS2" s="183"/>
      <c r="AT2" s="183"/>
      <c r="AU2" s="183"/>
      <c r="AV2" s="183"/>
      <c r="AW2" s="183"/>
      <c r="AX2" s="183"/>
      <c r="AY2" s="183"/>
      <c r="AZ2" s="183"/>
      <c r="BA2" s="183"/>
      <c r="BB2" s="183"/>
      <c r="BC2" s="115"/>
      <c r="BD2" s="115"/>
      <c r="BE2" s="183" t="s">
        <v>170</v>
      </c>
      <c r="BF2" s="183"/>
      <c r="BG2" s="183"/>
      <c r="BH2" s="183"/>
      <c r="BI2" s="183"/>
      <c r="BJ2" s="183"/>
      <c r="BK2" s="183"/>
      <c r="BL2" s="183"/>
      <c r="BM2" s="183"/>
      <c r="BN2" s="183"/>
      <c r="BO2" s="183"/>
      <c r="BP2" s="183"/>
      <c r="BQ2" s="183"/>
      <c r="BR2" s="183"/>
      <c r="BS2" s="183"/>
      <c r="BT2" s="115"/>
      <c r="BU2" s="115"/>
      <c r="BV2" s="183" t="s">
        <v>332</v>
      </c>
      <c r="BW2" s="183"/>
      <c r="BX2" s="183"/>
      <c r="BY2" s="183"/>
      <c r="BZ2" s="183"/>
      <c r="CA2" s="183"/>
      <c r="CB2" s="183"/>
      <c r="CC2" s="183"/>
      <c r="CD2" s="183"/>
      <c r="CE2" s="183"/>
      <c r="CF2" s="183"/>
      <c r="CG2" s="183"/>
      <c r="CH2" s="183"/>
      <c r="CI2" s="183"/>
      <c r="CJ2" s="183"/>
      <c r="CK2" s="18" t="s">
        <v>397</v>
      </c>
      <c r="CZ2" t="s">
        <v>398</v>
      </c>
      <c r="DO2" t="s">
        <v>399</v>
      </c>
      <c r="ED2" s="15" t="s">
        <v>400</v>
      </c>
      <c r="ES2" s="15" t="s">
        <v>401</v>
      </c>
      <c r="FH2" s="15" t="s">
        <v>402</v>
      </c>
    </row>
    <row r="3" spans="1:178" s="14" customFormat="1" ht="35.25" customHeight="1">
      <c r="A3" s="14" t="s">
        <v>175</v>
      </c>
      <c r="B3" s="14" t="s">
        <v>3</v>
      </c>
      <c r="C3" s="16" t="s">
        <v>157</v>
      </c>
      <c r="D3" s="16" t="s">
        <v>403</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16" t="s">
        <v>404</v>
      </c>
      <c r="U3" s="14" t="s">
        <v>405</v>
      </c>
      <c r="V3" s="117" t="s">
        <v>406</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18">
        <v>2020</v>
      </c>
      <c r="AL3" s="117" t="s">
        <v>407</v>
      </c>
      <c r="AM3" s="117" t="s">
        <v>406</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17" t="s">
        <v>407</v>
      </c>
      <c r="BD3" s="117" t="s">
        <v>406</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17" t="s">
        <v>407</v>
      </c>
      <c r="BU3" s="117" t="s">
        <v>406</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19">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0">
        <f>_xlfn.XLOOKUP(AK$3&amp;$A4,[3]Calcs!$Q$2:$Q$2281,[3]Calcs!$H$2:$H$2281,"")</f>
        <v>6.4583921432495117</v>
      </c>
      <c r="AL4" s="119">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19">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19">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19" t="str">
        <f>IFERROR(E4/VLOOKUP($C4,$C$159:$S$166,E$3-2003,0),"")</f>
        <v/>
      </c>
      <c r="EE4" s="121" cm="1">
        <f t="array" ref="EE4">TREND($EG4:$EQ4,$EG$3:$EQ$3,EE$3)</f>
        <v>0.73324416842369544</v>
      </c>
      <c r="EF4" s="121"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19">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0" t="str">
        <f>_xlfn.XLOOKUP(AK$3&amp;$A5,[3]Calcs!$Q$2:$Q$2281,[3]Calcs!$H$2:$H$2281,"")</f>
        <v/>
      </c>
      <c r="AL5" s="119">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19">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19">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19" t="str">
        <f>IFERROR(E5/VLOOKUP($C5,$C$159:$S$166,E$3-2003,0),"")</f>
        <v/>
      </c>
      <c r="EE5" s="121" cm="1">
        <f t="array" ref="EE5">TREND($EG5:$EQ5,$EG$3:$EQ$3,EE$3)</f>
        <v>0.55719808297294282</v>
      </c>
      <c r="EF5" s="121"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1"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19">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0">
        <f>_xlfn.XLOOKUP(AK$3&amp;$A6,[3]Calcs!$Q$2:$Q$2281,[3]Calcs!$H$2:$H$2281,"")</f>
        <v>5.2953414916992188</v>
      </c>
      <c r="AL6" s="119">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19">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19">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22">
        <f t="shared" ref="ED6:EN6" si="15">AVERAGE($EO6:$EQ6)</f>
        <v>0.74230964986349257</v>
      </c>
      <c r="EE6" s="121">
        <f t="shared" si="15"/>
        <v>0.74230964986349257</v>
      </c>
      <c r="EF6" s="121">
        <f t="shared" si="15"/>
        <v>0.74230964986349257</v>
      </c>
      <c r="EG6" s="121">
        <f t="shared" si="15"/>
        <v>0.74230964986349257</v>
      </c>
      <c r="EH6" s="121">
        <f t="shared" si="15"/>
        <v>0.74230964986349257</v>
      </c>
      <c r="EI6" s="121">
        <f t="shared" si="15"/>
        <v>0.74230964986349257</v>
      </c>
      <c r="EJ6" s="121">
        <f t="shared" si="15"/>
        <v>0.74230964986349257</v>
      </c>
      <c r="EK6" s="121">
        <f t="shared" si="15"/>
        <v>0.74230964986349257</v>
      </c>
      <c r="EL6" s="121">
        <f t="shared" si="15"/>
        <v>0.74230964986349257</v>
      </c>
      <c r="EM6" s="121">
        <f t="shared" si="15"/>
        <v>0.74230964986349257</v>
      </c>
      <c r="EN6" s="121">
        <f t="shared" si="15"/>
        <v>0.74230964986349257</v>
      </c>
      <c r="EO6" s="6">
        <f t="shared" si="11"/>
        <v>0.72148343102695445</v>
      </c>
      <c r="EP6" s="6">
        <f t="shared" si="11"/>
        <v>0.74084817640913747</v>
      </c>
      <c r="EQ6" s="6">
        <f t="shared" si="11"/>
        <v>0.7645973421543858</v>
      </c>
      <c r="ER6" s="121"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19">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0" t="str">
        <f>_xlfn.XLOOKUP(AK$3&amp;$A7,[3]Calcs!$Q$2:$Q$2281,[3]Calcs!$H$2:$H$2281,"")</f>
        <v/>
      </c>
      <c r="AL7" s="119">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19">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19">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19" t="str">
        <f t="shared" ref="ED7:EN18" si="16">IFERROR(E7/VLOOKUP($C7,$C$159:$S$166,E$3-2003,0),"")</f>
        <v/>
      </c>
      <c r="EE7" s="121" cm="1">
        <f t="array" ref="EE7">TREND($EG7:$EQ7,$EG$3:$EQ$3,EE$3)</f>
        <v>0.71437789000045093</v>
      </c>
      <c r="EF7" s="121"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1"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19">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0">
        <f>_xlfn.XLOOKUP(AK$3&amp;$A8,[3]Calcs!$Q$2:$Q$2281,[3]Calcs!$H$2:$H$2281,"")</f>
        <v>6.1731758117675781</v>
      </c>
      <c r="AL8" s="119">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19">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19">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19" t="str">
        <f t="shared" si="16"/>
        <v/>
      </c>
      <c r="EE8" s="121" cm="1">
        <f t="array" ref="EE8">TREND($EG8:$EQ8,$EG$3:$EQ$3,EE$3)</f>
        <v>0.60553533554287498</v>
      </c>
      <c r="EF8" s="121"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19">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0">
        <f>_xlfn.XLOOKUP(AK$3&amp;$A9,[3]Calcs!$Q$2:$Q$2281,[3]Calcs!$H$2:$H$2281,"")</f>
        <v>5.7876157760620117</v>
      </c>
      <c r="AL9" s="119">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19">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19">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19"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19">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0">
        <f>_xlfn.XLOOKUP(AK$3&amp;$A10,[3]Calcs!$Q$2:$Q$2281,[3]Calcs!$H$2:$H$2281,"")</f>
        <v>7.5754895210266113</v>
      </c>
      <c r="AL10" s="119">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19">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19">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19" t="str">
        <f t="shared" si="16"/>
        <v/>
      </c>
      <c r="EE10" s="121">
        <f t="shared" ref="EE10:EN10" si="18">AVERAGE($EO10:$EQ10)</f>
        <v>0.91195873272393124</v>
      </c>
      <c r="EF10" s="121">
        <f t="shared" si="18"/>
        <v>0.91195873272393124</v>
      </c>
      <c r="EG10" s="121">
        <f t="shared" si="18"/>
        <v>0.91195873272393124</v>
      </c>
      <c r="EH10" s="121">
        <f t="shared" si="18"/>
        <v>0.91195873272393124</v>
      </c>
      <c r="EI10" s="121">
        <f t="shared" si="18"/>
        <v>0.91195873272393124</v>
      </c>
      <c r="EJ10" s="121">
        <f t="shared" si="18"/>
        <v>0.91195873272393124</v>
      </c>
      <c r="EK10" s="121">
        <f t="shared" si="18"/>
        <v>0.91195873272393124</v>
      </c>
      <c r="EL10" s="121">
        <f t="shared" si="18"/>
        <v>0.91195873272393124</v>
      </c>
      <c r="EM10" s="121">
        <f t="shared" si="18"/>
        <v>0.91195873272393124</v>
      </c>
      <c r="EN10" s="121">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19">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0">
        <f>_xlfn.XLOOKUP(AK$3&amp;$A11,[3]Calcs!$Q$2:$Q$2281,[3]Calcs!$H$2:$H$2281,"")</f>
        <v>6.7981772422790527</v>
      </c>
      <c r="AL11" s="119">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19">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19">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19"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19">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0">
        <f>_xlfn.XLOOKUP(AK$3&amp;$A12,[3]Calcs!$Q$2:$Q$2281,[3]Calcs!$H$2:$H$2281,"")</f>
        <v>7.5044479370117188</v>
      </c>
      <c r="AL12" s="119">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19">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19">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19"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19">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0">
        <f>_xlfn.XLOOKUP(AK$3&amp;$A13,[3]Calcs!$Q$2:$Q$2281,[3]Calcs!$H$2:$H$2281,"")</f>
        <v>7.1373677253723145</v>
      </c>
      <c r="AL13" s="119">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19">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19">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22"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19">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0">
        <f>_xlfn.XLOOKUP(AK$3&amp;$A14,[3]Calcs!$Q$2:$Q$2281,[3]Calcs!$H$2:$H$2281,"")</f>
        <v>6.2598104476928711</v>
      </c>
      <c r="AL14" s="119">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19">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19">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19"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19">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0">
        <f>_xlfn.XLOOKUP(AK$3&amp;$A15,[3]Calcs!$Q$2:$Q$2281,[3]Calcs!$H$2:$H$2281,"")</f>
        <v>7.2573819160461426</v>
      </c>
      <c r="AL15" s="119">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19">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19">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19">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19">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0">
        <f>_xlfn.XLOOKUP(AK$3&amp;$A16,[3]Calcs!$Q$2:$Q$2281,[3]Calcs!$H$2:$H$2281,"")</f>
        <v>7.0280880928039551</v>
      </c>
      <c r="AL16" s="119">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19">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19">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19">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19">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0">
        <f>_xlfn.XLOOKUP(AK$3&amp;$A17,[3]Calcs!$Q$2:$Q$2281,[3]Calcs!$H$2:$H$2281,"")</f>
        <v>6.5021753311157227</v>
      </c>
      <c r="AL17" s="119">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19">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19">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19"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19">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0">
        <f>_xlfn.XLOOKUP(AK$3&amp;$A18,[3]Calcs!$Q$2:$Q$2281,[3]Calcs!$H$2:$H$2281,"")</f>
        <v>4.5738296508789063</v>
      </c>
      <c r="AL18" s="119">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19">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19">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19"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19">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0">
        <f>_xlfn.XLOOKUP(AK$3&amp;$A19,[3]Calcs!$Q$2:$Q$2281,[3]Calcs!$H$2:$H$2281,"")</f>
        <v>7.5084352493286133</v>
      </c>
      <c r="AL19" s="119">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19">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19">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19" t="str">
        <f t="shared" ref="ED19:EH34" si="19">IFERROR(E19/VLOOKUP($C19,$C$159:$S$166,E$3-2003,0),"")</f>
        <v/>
      </c>
      <c r="EE19" s="121" cm="1">
        <f t="array" ref="EE19">TREND($EG19:$EQ19,$EG$3:$EQ$3,EE$3)</f>
        <v>1.1167762289550351</v>
      </c>
      <c r="EF19" s="121" cm="1">
        <f t="array" ref="EF19">TREND($EG19:$EQ19,$EG$3:$EQ$3,EF$3)</f>
        <v>1.1181427424714014</v>
      </c>
      <c r="EG19" s="6">
        <f>IFERROR(H19/VLOOKUP($C19,$C$159:$S$166,H$3-2003,0),"")</f>
        <v>1.1131430945613956</v>
      </c>
      <c r="EH19" s="121">
        <f>EG19+(EJ19-EG19)/3</f>
        <v>1.1221682179662524</v>
      </c>
      <c r="EI19" s="121">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19">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0" t="str">
        <f>_xlfn.XLOOKUP(AK$3&amp;$A20,[3]Calcs!$Q$2:$Q$2281,[3]Calcs!$H$2:$H$2281,"")</f>
        <v/>
      </c>
      <c r="AL20" s="119">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19">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19">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19" t="str">
        <f t="shared" si="19"/>
        <v/>
      </c>
      <c r="EE20" s="121" cm="1">
        <f t="array" ref="EE20">TREND($EG20:$EM20,$EG$3:$EM$3,EE$3)</f>
        <v>0.58532402174141085</v>
      </c>
      <c r="EF20" s="121"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1">
        <f>EM20+(EQ20-EM20)/4</f>
        <v>0.56047968920589852</v>
      </c>
      <c r="EO20" s="121">
        <f>EM20+(EQ20-EM20)*2/4</f>
        <v>0.5594639486745836</v>
      </c>
      <c r="EP20" s="121">
        <f>EM20+(EQ20-EM20)*3/4</f>
        <v>0.55844820814326868</v>
      </c>
      <c r="EQ20" s="6">
        <f t="shared" ref="EQ20:ER51" si="21">IFERROR(R20/VLOOKUP($C20,$C$159:$S$166,R$3-2003,0),"")</f>
        <v>0.55743246761195375</v>
      </c>
      <c r="ER20" s="121"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19">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0">
        <f>_xlfn.XLOOKUP(AK$3&amp;$A21,[3]Calcs!$Q$2:$Q$2281,[3]Calcs!$H$2:$H$2281,"")</f>
        <v>7.8893499374389648</v>
      </c>
      <c r="AL21" s="119">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19">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19">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19"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19">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0" t="str">
        <f>_xlfn.XLOOKUP(AK$3&amp;$A22,[3]Calcs!$Q$2:$Q$2281,[3]Calcs!$H$2:$H$2281,"")</f>
        <v/>
      </c>
      <c r="AL22" s="119">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19">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19">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19">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1"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19">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0">
        <f>_xlfn.XLOOKUP(AK$3&amp;$A23,[3]Calcs!$Q$2:$Q$2281,[3]Calcs!$H$2:$H$2281,"")</f>
        <v>6.4883561134338379</v>
      </c>
      <c r="AL23" s="119">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19">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19">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19"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19">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0" t="str">
        <f>_xlfn.XLOOKUP(AK$3&amp;$A24,[3]Calcs!$Q$2:$Q$2281,[3]Calcs!$H$2:$H$2281,"")</f>
        <v/>
      </c>
      <c r="AL24" s="119">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19">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19">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19" t="str">
        <f t="shared" si="19"/>
        <v/>
      </c>
      <c r="EE24" s="6">
        <f t="shared" si="19"/>
        <v>0.58420954549084292</v>
      </c>
      <c r="EF24" s="6">
        <f t="shared" si="19"/>
        <v>0.57613170255970081</v>
      </c>
      <c r="EG24" s="121">
        <f>EF24+(EI24-EF24)/3</f>
        <v>0.58733297845423127</v>
      </c>
      <c r="EH24" s="121">
        <f>EF24+(EI24-EF24)*2/3</f>
        <v>0.59853425434876184</v>
      </c>
      <c r="EI24" s="6">
        <f t="shared" si="20"/>
        <v>0.6097355302432923</v>
      </c>
      <c r="EJ24" s="6">
        <f t="shared" si="20"/>
        <v>0.62238210039907349</v>
      </c>
      <c r="EK24" s="6">
        <f t="shared" si="20"/>
        <v>0.60305117880140613</v>
      </c>
      <c r="EL24" s="121">
        <f>EK24+(EO24-EK24)/4</f>
        <v>0.60161448617614888</v>
      </c>
      <c r="EM24" s="121">
        <f>EK24+(EO24-EK24)*2/4</f>
        <v>0.60017779355089163</v>
      </c>
      <c r="EN24" s="121">
        <f>EK24+(EO24-EK24)*3/4</f>
        <v>0.59874110092563437</v>
      </c>
      <c r="EO24" s="6">
        <f t="shared" si="20"/>
        <v>0.59730440830037712</v>
      </c>
      <c r="EP24" s="121">
        <f>AVERAGE(EO24,EQ24)</f>
        <v>0.59140258359160724</v>
      </c>
      <c r="EQ24" s="6">
        <f t="shared" si="21"/>
        <v>0.58550075888283737</v>
      </c>
      <c r="ER24" s="121"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19">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0">
        <f>_xlfn.XLOOKUP(AK$3&amp;$A25,[3]Calcs!$Q$2:$Q$2281,[3]Calcs!$H$2:$H$2281,"")</f>
        <v>7.2900323867797852</v>
      </c>
      <c r="AL25" s="119">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19">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19">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19"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19">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0">
        <f>_xlfn.XLOOKUP(AK$3&amp;$A26,[3]Calcs!$Q$2:$Q$2281,[3]Calcs!$H$2:$H$2281,"")</f>
        <v>6.7141118049621582</v>
      </c>
      <c r="AL26" s="119">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19">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19">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19"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19">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0">
        <f>_xlfn.XLOOKUP(AK$3&amp;$A27,[3]Calcs!$Q$2:$Q$2281,[3]Calcs!$H$2:$H$2281,"")</f>
        <v>6.8387608528137207</v>
      </c>
      <c r="AL27" s="119">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19">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19">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19"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19">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0">
        <f>_xlfn.XLOOKUP(AK$3&amp;$A28,[3]Calcs!$Q$2:$Q$2281,[3]Calcs!$H$2:$H$2281,"")</f>
        <v>7.5146312713623047</v>
      </c>
      <c r="AL28" s="119">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19">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19">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19"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19">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0">
        <f>_xlfn.XLOOKUP(AK$3&amp;$A29,[3]Calcs!$Q$2:$Q$2281,[3]Calcs!$H$2:$H$2281,"")</f>
        <v>6.8970913887023926</v>
      </c>
      <c r="AL29" s="119">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19">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19">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22"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19">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0">
        <f>_xlfn.XLOOKUP(AK$3&amp;$A30,[3]Calcs!$Q$2:$Q$2281,[3]Calcs!$H$2:$H$2281,"")</f>
        <v>7.0349307060241699</v>
      </c>
      <c r="AL30" s="119">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19">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19">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19"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19">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0">
        <f>_xlfn.XLOOKUP(AK$3&amp;$A31,[3]Calcs!$Q$2:$Q$2281,[3]Calcs!$H$2:$H$2281,"")</f>
        <v>7.3118977546691895</v>
      </c>
      <c r="AL31" s="119">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19">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19">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19"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19">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0">
        <f>_xlfn.XLOOKUP(AK$3&amp;$A32,[3]Calcs!$Q$2:$Q$2281,[3]Calcs!$H$2:$H$2281,"")</f>
        <v>6.5079922676086426</v>
      </c>
      <c r="AL32" s="119">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19">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19">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22"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19">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0">
        <f>_xlfn.XLOOKUP(AK$3&amp;$A33,[3]Calcs!$Q$2:$Q$2281,[3]Calcs!$H$2:$H$2281,"")</f>
        <v>5.2696757316589355</v>
      </c>
      <c r="AL33" s="119">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19">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19">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19">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19">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0" t="str">
        <f>_xlfn.XLOOKUP(AK$3&amp;$A34,[3]Calcs!$Q$2:$Q$2281,[3]Calcs!$H$2:$H$2281,"")</f>
        <v/>
      </c>
      <c r="AL34" s="119">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19">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19">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19"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1"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19">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0">
        <f>_xlfn.XLOOKUP(AK$3&amp;$A35,[3]Calcs!$Q$2:$Q$2281,[3]Calcs!$H$2:$H$2281,"")</f>
        <v>6.5190982818603516</v>
      </c>
      <c r="AL35" s="119">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19">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19">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19">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19">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0">
        <f>_xlfn.XLOOKUP(AK$3&amp;$A36,[3]Calcs!$Q$2:$Q$2281,[3]Calcs!$H$2:$H$2281,"")</f>
        <v>6.4620761871337891</v>
      </c>
      <c r="AL36" s="119">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19">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19">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19">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19">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0">
        <f>_xlfn.XLOOKUP(AK$3&amp;$A37,[3]Calcs!$Q$2:$Q$2281,[3]Calcs!$H$2:$H$2281,"")</f>
        <v>4.946800708770752</v>
      </c>
      <c r="AL37" s="119">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19">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19">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19">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19">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0">
        <f>_xlfn.XLOOKUP(AK$3&amp;$A38,[3]Calcs!$Q$2:$Q$2281,[3]Calcs!$H$2:$H$2281,"")</f>
        <v>7.024904727935791</v>
      </c>
      <c r="AL38" s="119">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19">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19">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22"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19">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0">
        <f>_xlfn.XLOOKUP(AK$3&amp;$A39,[3]Calcs!$Q$2:$Q$2281,[3]Calcs!$H$2:$H$2281,"")</f>
        <v>5.0536642074584961</v>
      </c>
      <c r="AL39" s="119">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19">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19">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22"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19">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0">
        <f>_xlfn.XLOOKUP(AK$3&amp;$A40,[3]Calcs!$Q$2:$Q$2281,[3]Calcs!$H$2:$H$2281,"")</f>
        <v>7.2134890556335449</v>
      </c>
      <c r="AL40" s="119">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19">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19">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19"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19">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0" t="str">
        <f>_xlfn.XLOOKUP(AK$3&amp;$A41,[3]Calcs!$Q$2:$Q$2281,[3]Calcs!$H$2:$H$2281,"")</f>
        <v/>
      </c>
      <c r="AL41" s="119">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19">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19">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19"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1"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19">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0">
        <f>_xlfn.XLOOKUP(AK$3&amp;$A42,[3]Calcs!$Q$2:$Q$2281,[3]Calcs!$H$2:$H$2281,"")</f>
        <v>5.9642210006713867</v>
      </c>
      <c r="AL42" s="119">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19">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19">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19"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19">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0" t="str">
        <f>_xlfn.XLOOKUP(AK$3&amp;$A43,[3]Calcs!$Q$2:$Q$2281,[3]Calcs!$H$2:$H$2281,"")</f>
        <v/>
      </c>
      <c r="AL43" s="119">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19">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19">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19"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1"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19">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0">
        <f>_xlfn.XLOOKUP(AK$3&amp;$A44,[3]Calcs!$Q$2:$Q$2281,[3]Calcs!$H$2:$H$2281,"")</f>
        <v>6.156822681427002</v>
      </c>
      <c r="AL44" s="119">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19">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19">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19" t="str">
        <f>IFERROR(E44/VLOOKUP($C44,$C$159:$S$166,E$3-2003,0),"")</f>
        <v/>
      </c>
      <c r="EE44" s="121" cm="1">
        <f t="array" ref="EE44">TREND($EG44:$EQ44,$EG$3:$EQ$3,EE$3)</f>
        <v>0.94397937342524507</v>
      </c>
      <c r="EF44" s="121"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19">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0">
        <f>_xlfn.XLOOKUP(AK$3&amp;$A45,[3]Calcs!$Q$2:$Q$2281,[3]Calcs!$H$2:$H$2281,"")</f>
        <v>6.0415463447570801</v>
      </c>
      <c r="AL45" s="119">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19">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19">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22"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19">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0" t="str">
        <f>_xlfn.XLOOKUP(AK$3&amp;$A46,[3]Calcs!$Q$2:$Q$2281,[3]Calcs!$H$2:$H$2281,"")</f>
        <v/>
      </c>
      <c r="AL46" s="119">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19">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19">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19">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1"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19">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0">
        <f>_xlfn.XLOOKUP(AK$3&amp;$A47,[3]Calcs!$Q$2:$Q$2281,[3]Calcs!$H$2:$H$2281,"")</f>
        <v>5.5977230072021484</v>
      </c>
      <c r="AL47" s="119">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19">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19">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22"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19">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0">
        <f>_xlfn.XLOOKUP(AK$3&amp;$A48,[3]Calcs!$Q$2:$Q$2281,[3]Calcs!$H$2:$H$2281,"")</f>
        <v>4.6409096717834473</v>
      </c>
      <c r="AL48" s="119">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19">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19">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19">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1"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19">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0" t="str">
        <f>_xlfn.XLOOKUP(AK$3&amp;$A49,[3]Calcs!$Q$2:$Q$2281,[3]Calcs!$H$2:$H$2281,"")</f>
        <v/>
      </c>
      <c r="AL49" s="119">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19">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19">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19">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1"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19">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0" t="str">
        <f>_xlfn.XLOOKUP(AK$3&amp;$A50,[3]Calcs!$Q$2:$Q$2281,[3]Calcs!$H$2:$H$2281,"")</f>
        <v/>
      </c>
      <c r="AL50" s="119">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19">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19">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22" cm="1">
        <f t="array" ref="ED50">TREND($EF50:$EQ50,$EF$3:$EQ$3,ED$3)</f>
        <v>0.93548987105371806</v>
      </c>
      <c r="EE50" s="121"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1"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19">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0">
        <f>_xlfn.XLOOKUP(AK$3&amp;$A51,[3]Calcs!$Q$2:$Q$2281,[3]Calcs!$H$2:$H$2281,"")</f>
        <v>5.354461669921875</v>
      </c>
      <c r="AL51" s="119">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19">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19">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19"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19">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0">
        <f>_xlfn.XLOOKUP(AK$3&amp;$A52,[3]Calcs!$Q$2:$Q$2281,[3]Calcs!$H$2:$H$2281,"")</f>
        <v>6.1179633140563965</v>
      </c>
      <c r="AL52" s="119">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19">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19">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22"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19">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0" t="str">
        <f>_xlfn.XLOOKUP(AK$3&amp;$A53,[3]Calcs!$Q$2:$Q$2281,[3]Calcs!$H$2:$H$2281,"")</f>
        <v/>
      </c>
      <c r="AL53" s="119">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19">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19">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19">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1"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19">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0">
        <f>_xlfn.XLOOKUP(AK$3&amp;$A54,[3]Calcs!$Q$2:$Q$2281,[3]Calcs!$H$2:$H$2281,"")</f>
        <v>5.5029482841491699</v>
      </c>
      <c r="AL54" s="119">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19">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19">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19">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19">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0">
        <f>_xlfn.XLOOKUP(AK$3&amp;$A55,[3]Calcs!$Q$2:$Q$2281,[3]Calcs!$H$2:$H$2281,"")</f>
        <v>3.1598021984100342</v>
      </c>
      <c r="AL55" s="119">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19">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19">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19">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19">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0" t="str">
        <f>_xlfn.XLOOKUP(AK$3&amp;$A56,[3]Calcs!$Q$2:$Q$2281,[3]Calcs!$H$2:$H$2281,"")</f>
        <v/>
      </c>
      <c r="AL56" s="119">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19">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19">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19"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1"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19">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0" t="str">
        <f>_xlfn.XLOOKUP(AK$3&amp;$A57,[3]Calcs!$Q$2:$Q$2281,[3]Calcs!$H$2:$H$2281,"")</f>
        <v/>
      </c>
      <c r="AL57" s="119">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19">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19">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22" cm="1">
        <f t="array" ref="ED57">TREND($EI57:$EQ57,$EI$3:$EQ$3,ED$3)</f>
        <v>0.8394030353125892</v>
      </c>
      <c r="EE57" s="121" cm="1">
        <f t="array" ref="EE57">TREND($EI57:$EQ57,$EI$3:$EQ$3,EE$3)</f>
        <v>0.82883515520993711</v>
      </c>
      <c r="EF57" s="121" cm="1">
        <f t="array" ref="EF57">TREND($EI57:$EQ57,$EI$3:$EQ$3,EF$3)</f>
        <v>0.81826727510728503</v>
      </c>
      <c r="EG57" s="121" cm="1">
        <f t="array" ref="EG57">TREND($EI57:$EQ57,$EI$3:$EQ$3,EG$3)</f>
        <v>0.80769939500463295</v>
      </c>
      <c r="EH57" s="121" cm="1">
        <f t="array" ref="EH57">TREND($EI57:$EQ57,$EI$3:$EQ$3,EH$3)</f>
        <v>0.79713151490198086</v>
      </c>
      <c r="EI57" s="6">
        <f t="shared" si="31"/>
        <v>0.77936516702188174</v>
      </c>
      <c r="EJ57" s="121">
        <f>EI57+(EN57-EI57)/5</f>
        <v>0.77265289791161773</v>
      </c>
      <c r="EK57" s="121">
        <f>EI57+(EN57-EI57)*2/5</f>
        <v>0.76594062880135372</v>
      </c>
      <c r="EL57" s="121">
        <f>EI57+(EN57-EI57)*3/5</f>
        <v>0.7592283596910897</v>
      </c>
      <c r="EM57" s="121">
        <f>EI57+(EN57-EI57)*4/5</f>
        <v>0.75251609058082569</v>
      </c>
      <c r="EN57" s="6">
        <f t="shared" si="31"/>
        <v>0.74580382147056168</v>
      </c>
      <c r="EO57" s="6">
        <f t="shared" si="31"/>
        <v>0.72380779004893903</v>
      </c>
      <c r="EP57" s="6">
        <f t="shared" si="31"/>
        <v>0.69822032450018445</v>
      </c>
      <c r="EQ57" s="6">
        <f t="shared" si="31"/>
        <v>0.70109394947201475</v>
      </c>
      <c r="ER57" s="121"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19">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0" t="str">
        <f>_xlfn.XLOOKUP(AK$3&amp;$A58,[3]Calcs!$Q$2:$Q$2281,[3]Calcs!$H$2:$H$2281,"")</f>
        <v/>
      </c>
      <c r="AL58" s="119">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19">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19">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19">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1"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19">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0" t="str">
        <f>_xlfn.XLOOKUP(AK$3&amp;$A59,[3]Calcs!$Q$2:$Q$2281,[3]Calcs!$H$2:$H$2281,"")</f>
        <v/>
      </c>
      <c r="AL59" s="119">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19">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19">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19"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1"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19">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0">
        <f>_xlfn.XLOOKUP(AK$3&amp;$A60,[3]Calcs!$Q$2:$Q$2281,[3]Calcs!$H$2:$H$2281,"")</f>
        <v>7.3143410682678223</v>
      </c>
      <c r="AL60" s="119">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19">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19">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19"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19">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0">
        <f>_xlfn.XLOOKUP(AK$3&amp;$A61,[3]Calcs!$Q$2:$Q$2281,[3]Calcs!$H$2:$H$2281,"")</f>
        <v>4.093991756439209</v>
      </c>
      <c r="AL61" s="119">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19">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19">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19"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19">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0">
        <f>_xlfn.XLOOKUP(AK$3&amp;$A62,[3]Calcs!$Q$2:$Q$2281,[3]Calcs!$H$2:$H$2281,"")</f>
        <v>5.3649096488952637</v>
      </c>
      <c r="AL62" s="119">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19">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19">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19">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19">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0">
        <f>_xlfn.XLOOKUP(AK$3&amp;$A63,[3]Calcs!$Q$2:$Q$2281,[3]Calcs!$H$2:$H$2281,"")</f>
        <v>7.0365570364958714</v>
      </c>
      <c r="AL63" s="119">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19">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19">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19"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19">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0" t="str">
        <f>_xlfn.XLOOKUP(AK$3&amp;$A64,[3]Calcs!$Q$2:$Q$2281,[3]Calcs!$H$2:$H$2281,"")</f>
        <v/>
      </c>
      <c r="AL64" s="119">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19">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19">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19">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1"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19">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0" t="str">
        <f>_xlfn.XLOOKUP(AK$3&amp;$A65,[3]Calcs!$Q$2:$Q$2281,[3]Calcs!$H$2:$H$2281,"")</f>
        <v/>
      </c>
      <c r="AL65" s="119">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19">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19">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19">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1"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19">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0" t="str">
        <f>_xlfn.XLOOKUP(AK$3&amp;$A66,[3]Calcs!$Q$2:$Q$2281,[3]Calcs!$H$2:$H$2281,"")</f>
        <v/>
      </c>
      <c r="AL66" s="119">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19">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19">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22"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1"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19">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0" t="str">
        <f>_xlfn.XLOOKUP(AK$3&amp;$A67,[3]Calcs!$Q$2:$Q$2281,[3]Calcs!$H$2:$H$2281,"")</f>
        <v/>
      </c>
      <c r="AL67" s="119">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19">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19">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19">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1"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19">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0">
        <f>_xlfn.XLOOKUP(AK$3&amp;$A68,[3]Calcs!$Q$2:$Q$2281,[3]Calcs!$H$2:$H$2281,"")</f>
        <v>4.4723968505859375</v>
      </c>
      <c r="AL68" s="119">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19">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19">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19"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19">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0" t="str">
        <f>_xlfn.XLOOKUP(AK$3&amp;$A69,[3]Calcs!$Q$2:$Q$2281,[3]Calcs!$H$2:$H$2281,"")</f>
        <v/>
      </c>
      <c r="AL69" s="119">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19">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19">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19">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1"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19">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0" t="str">
        <f>_xlfn.XLOOKUP(AK$3&amp;$A70,[3]Calcs!$Q$2:$Q$2281,[3]Calcs!$H$2:$H$2281,"")</f>
        <v/>
      </c>
      <c r="AL70" s="119">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19">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19">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19">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1"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19">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0" t="str">
        <f>_xlfn.XLOOKUP(AK$3&amp;$A71,[3]Calcs!$Q$2:$Q$2281,[3]Calcs!$H$2:$H$2281,"")</f>
        <v/>
      </c>
      <c r="AL71" s="119">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19">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19">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19">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1"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19">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0">
        <f>_xlfn.XLOOKUP(AK$3&amp;$A72,[3]Calcs!$Q$2:$Q$2281,[3]Calcs!$H$2:$H$2281,"")</f>
        <v>6.1394553184509277</v>
      </c>
      <c r="AL72" s="119">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19">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19">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22"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19">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0" t="str">
        <f>_xlfn.XLOOKUP(AK$3&amp;$A73,[3]Calcs!$Q$2:$Q$2281,[3]Calcs!$H$2:$H$2281,"")</f>
        <v/>
      </c>
      <c r="AL73" s="119">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19">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19">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22" cm="1">
        <f t="array" ref="ED73">TREND($EG73:$EO73,$EG$3:$EO$3,ED$3)</f>
        <v>1.069295827625286</v>
      </c>
      <c r="EE73" s="121" cm="1">
        <f t="array" ref="EE73">TREND($EG73:$EO73,$EG$3:$EO$3,EE$3)</f>
        <v>1.066279248912787</v>
      </c>
      <c r="EF73" s="121"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1">
        <f>AVERAGE(EO73,EQ73)</f>
        <v>1.0292436855940506</v>
      </c>
      <c r="EQ73" s="6">
        <f t="shared" si="38"/>
        <v>1.0405095108393636</v>
      </c>
      <c r="ER73" s="121"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19">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0" t="str">
        <f>_xlfn.XLOOKUP(AK$3&amp;$A74,[3]Calcs!$Q$2:$Q$2281,[3]Calcs!$H$2:$H$2281,"")</f>
        <v/>
      </c>
      <c r="AL74" s="119">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19">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19">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22" cm="1">
        <f t="array" ref="ED74">TREND($EI74:$EQ74,$EI$3:$EQ$3,ED$3)</f>
        <v>0.69098020577029118</v>
      </c>
      <c r="EE74" s="121" cm="1">
        <f t="array" ref="EE74">TREND($EI74:$EQ74,$EI$3:$EQ$3,EE$3)</f>
        <v>0.70488188395596296</v>
      </c>
      <c r="EF74" s="121" cm="1">
        <f t="array" ref="EF74">TREND($EI74:$EQ74,$EI$3:$EQ$3,EF$3)</f>
        <v>0.71878356214163119</v>
      </c>
      <c r="EG74" s="121" cm="1">
        <f t="array" ref="EG74">TREND($EI74:$EQ74,$EI$3:$EQ$3,EG$3)</f>
        <v>0.73268524032730298</v>
      </c>
      <c r="EH74" s="121" cm="1">
        <f t="array" ref="EH74">TREND($EI74:$EQ74,$EI$3:$EQ$3,EH$3)</f>
        <v>0.74658691851297121</v>
      </c>
      <c r="EI74" s="6">
        <f t="shared" ref="EI74:EP105" si="54">IFERROR(J74/VLOOKUP($C74,$C$159:$S$166,J$3-2003,0),"")</f>
        <v>0.76941874961433565</v>
      </c>
      <c r="EJ74" s="121">
        <f>EI74+(EP74-EI74)/7</f>
        <v>0.77949321940756611</v>
      </c>
      <c r="EK74" s="121">
        <f>EI74+(EP74-EI74)*2/7</f>
        <v>0.78956768920079656</v>
      </c>
      <c r="EL74" s="121">
        <f>EI74+(EP74-EI74)*3/7</f>
        <v>0.79964215899402702</v>
      </c>
      <c r="EM74" s="121">
        <f>EI74+(EP74-EI74)*4/7</f>
        <v>0.80971662878725748</v>
      </c>
      <c r="EN74" s="121">
        <f>EI74+(EP74-EI74)*5/7</f>
        <v>0.81979109858048793</v>
      </c>
      <c r="EO74" s="121">
        <f>EI74+(EP74-EI74)*6/7</f>
        <v>0.82986556837371839</v>
      </c>
      <c r="EP74" s="6">
        <f>IFERROR(Q74/VLOOKUP($C74,$C$159:$S$166,Q$3-2003,0),"")</f>
        <v>0.83994003816694884</v>
      </c>
      <c r="EQ74" s="6">
        <f t="shared" ref="EQ74:ER105" si="55">IFERROR(R74/VLOOKUP($C74,$C$159:$S$166,R$3-2003,0),"")</f>
        <v>0.90742263384677779</v>
      </c>
      <c r="ER74" s="121"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19">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0">
        <f>_xlfn.XLOOKUP(AK$3&amp;$A75,[3]Calcs!$Q$2:$Q$2281,[3]Calcs!$H$2:$H$2281,"")</f>
        <v>5.7677922248840332</v>
      </c>
      <c r="AL75" s="119">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19">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19">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19"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19">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0" t="str">
        <f>_xlfn.XLOOKUP(AK$3&amp;$A76,[3]Calcs!$Q$2:$Q$2281,[3]Calcs!$H$2:$H$2281,"")</f>
        <v/>
      </c>
      <c r="AL76" s="119">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19">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19">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19">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1"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19">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0" t="str">
        <f>_xlfn.XLOOKUP(AK$3&amp;$A77,[3]Calcs!$Q$2:$Q$2281,[3]Calcs!$H$2:$H$2281,"")</f>
        <v/>
      </c>
      <c r="AL77" s="119">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19">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19">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19">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1"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19">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0" t="str">
        <f>_xlfn.XLOOKUP(AK$3&amp;$A78,[3]Calcs!$Q$2:$Q$2281,[3]Calcs!$H$2:$H$2281,"")</f>
        <v/>
      </c>
      <c r="AL78" s="119">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19">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19">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22"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1">
        <f>EI78+(EN78-EI78)/5</f>
        <v>0.67591728962047826</v>
      </c>
      <c r="EK78" s="121">
        <f>EI78+(EN78-EI78)*2/5</f>
        <v>0.65569289497286865</v>
      </c>
      <c r="EL78" s="121">
        <f>EI78+(EN78-EI78)*3/5</f>
        <v>0.63546850032525914</v>
      </c>
      <c r="EM78" s="121">
        <f>EI78+(EN78-EI78)*4/5</f>
        <v>0.61524410567764953</v>
      </c>
      <c r="EN78" s="6">
        <f t="shared" si="54"/>
        <v>0.59501971103003992</v>
      </c>
      <c r="EO78" s="6">
        <f t="shared" si="54"/>
        <v>0.6949174403195949</v>
      </c>
      <c r="EP78" s="121">
        <f>AVERAGE(EO78,EQ78)</f>
        <v>0.67108637831860463</v>
      </c>
      <c r="EQ78" s="6">
        <f t="shared" si="55"/>
        <v>0.64725531631761435</v>
      </c>
      <c r="ER78" s="121"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19">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0" t="str">
        <f>_xlfn.XLOOKUP(AK$3&amp;$A79,[3]Calcs!$Q$2:$Q$2281,[3]Calcs!$H$2:$H$2281,"")</f>
        <v/>
      </c>
      <c r="AL79" s="119">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19">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19">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19">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1"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19">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0">
        <f>_xlfn.XLOOKUP(AK$3&amp;$A80,[3]Calcs!$Q$2:$Q$2281,[3]Calcs!$H$2:$H$2281,"")</f>
        <v>4.5465841293334961</v>
      </c>
      <c r="AL80" s="119">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19">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19">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19">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19">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0">
        <f>_xlfn.XLOOKUP(AK$3&amp;$A81,[3]Calcs!$Q$2:$Q$2281,[3]Calcs!$H$2:$H$2281,"")</f>
        <v>4.8645281791687012</v>
      </c>
      <c r="AL81" s="119">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19">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19">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19"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19">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0" t="str">
        <f>_xlfn.XLOOKUP(AK$3&amp;$A82,[3]Calcs!$Q$2:$Q$2281,[3]Calcs!$H$2:$H$2281,"")</f>
        <v/>
      </c>
      <c r="AL82" s="119">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19">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19">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22"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1"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19">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0" t="str">
        <f>_xlfn.XLOOKUP(AK$3&amp;$A83,[3]Calcs!$Q$2:$Q$2281,[3]Calcs!$H$2:$H$2281,"")</f>
        <v/>
      </c>
      <c r="AL83" s="119">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19">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19">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22"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1"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19">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0" t="str">
        <f>_xlfn.XLOOKUP(AK$3&amp;$A84,[3]Calcs!$Q$2:$Q$2281,[3]Calcs!$H$2:$H$2281,"")</f>
        <v/>
      </c>
      <c r="AL84" s="119">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19">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19">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19">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1"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19">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0">
        <f>_xlfn.XLOOKUP(AK$3&amp;$A85,[3]Calcs!$Q$2:$Q$2281,[3]Calcs!$H$2:$H$2281,"")</f>
        <v>3.7856841087341309</v>
      </c>
      <c r="AL85" s="119">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19">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19">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19">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19">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0">
        <f>_xlfn.XLOOKUP(AK$3&amp;$A86,[3]Calcs!$Q$2:$Q$2281,[3]Calcs!$H$2:$H$2281,"")</f>
        <v>6.0153002738952637</v>
      </c>
      <c r="AL86" s="119">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19">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19">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22" cm="1">
        <f t="array" ref="ED86">TREND($EI86:$EQ86,$EI$3:$EQ$3,ED$3)</f>
        <v>1.1751645388583096</v>
      </c>
      <c r="EE86" s="121" cm="1">
        <f t="array" ref="EE86">TREND($EI86:$EQ86,$EI$3:$EQ$3,EE$3)</f>
        <v>1.1824122622266184</v>
      </c>
      <c r="EF86" s="121" cm="1">
        <f t="array" ref="EF86">TREND($EI86:$EQ86,$EI$3:$EQ$3,EF$3)</f>
        <v>1.1896599855949272</v>
      </c>
      <c r="EG86" s="121" cm="1">
        <f t="array" ref="EG86">TREND($EI86:$EQ86,$EI$3:$EQ$3,EG$3)</f>
        <v>1.1969077089632343</v>
      </c>
      <c r="EH86" s="121"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19">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0">
        <f>_xlfn.XLOOKUP(AK$3&amp;$A87,[3]Calcs!$Q$2:$Q$2281,[3]Calcs!$H$2:$H$2281,"")</f>
        <v>5.4952888488769531</v>
      </c>
      <c r="AL87" s="119">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19">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19">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19">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19">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0">
        <f>_xlfn.XLOOKUP(AK$3&amp;$A88,[3]Calcs!$Q$2:$Q$2281,[3]Calcs!$H$2:$H$2281,"")</f>
        <v>5.7091751098632813</v>
      </c>
      <c r="AL88" s="119">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19">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19">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19"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19">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0">
        <f>_xlfn.XLOOKUP(AK$3&amp;$A89,[3]Calcs!$Q$2:$Q$2281,[3]Calcs!$H$2:$H$2281,"")</f>
        <v>4.5492196083068848</v>
      </c>
      <c r="AL89" s="119">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19">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19">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22" cm="1">
        <f t="array" ref="ED89">TREND($EJ89:$EQ89,$EJ$3:$EQ$3,ED$3)</f>
        <v>1.2722117357915259</v>
      </c>
      <c r="EE89" s="121" cm="1">
        <f t="array" ref="EE89">TREND($EJ89:$EQ89,$EJ$3:$EQ$3,EE$3)</f>
        <v>1.2570031342032628</v>
      </c>
      <c r="EF89" s="121" cm="1">
        <f t="array" ref="EF89">TREND($EJ89:$EQ89,$EJ$3:$EQ$3,EF$3)</f>
        <v>1.2417945326149997</v>
      </c>
      <c r="EG89" s="121" cm="1">
        <f t="array" ref="EG89">TREND($EJ89:$EQ89,$EJ$3:$EQ$3,EG$3)</f>
        <v>1.2265859310267366</v>
      </c>
      <c r="EH89" s="121" cm="1">
        <f t="array" ref="EH89">TREND($EJ89:$EQ89,$EJ$3:$EQ$3,EH$3)</f>
        <v>1.2113773294384735</v>
      </c>
      <c r="EI89" s="121"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19">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0">
        <f>_xlfn.XLOOKUP(AK$3&amp;$A90,[3]Calcs!$Q$2:$Q$2281,[3]Calcs!$H$2:$H$2281,"")</f>
        <v>5.4619269371032715</v>
      </c>
      <c r="AL90" s="119">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19">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19">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19"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19">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0">
        <f>_xlfn.XLOOKUP(AK$3&amp;$A91,[3]Calcs!$Q$2:$Q$2281,[3]Calcs!$H$2:$H$2281,"")</f>
        <v>7.1949281692504883</v>
      </c>
      <c r="AL91" s="119">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19">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19">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19"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19">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0" t="str">
        <f>_xlfn.XLOOKUP(AK$3&amp;$A92,[3]Calcs!$Q$2:$Q$2281,[3]Calcs!$H$2:$H$2281,"")</f>
        <v/>
      </c>
      <c r="AL92" s="119">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19">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19">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22" cm="1">
        <f t="array" ref="ED92">TREND($EF92:$EQ92,$EF$3:$EQ$3,ED$3)</f>
        <v>0.85195428295869746</v>
      </c>
      <c r="EE92" s="121"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1"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19">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0" t="str">
        <f>_xlfn.XLOOKUP(AK$3&amp;$A93,[3]Calcs!$Q$2:$Q$2281,[3]Calcs!$H$2:$H$2281,"")</f>
        <v/>
      </c>
      <c r="AL93" s="119">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19">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19">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19"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1"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19">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0" t="str">
        <f>_xlfn.XLOOKUP(AK$3&amp;$A94,[3]Calcs!$Q$2:$Q$2281,[3]Calcs!$H$2:$H$2281,"")</f>
        <v/>
      </c>
      <c r="AL94" s="119">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19">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19">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22">
        <f>AVERAGE($EG94:$EJ94,$EP94:$EQ94)</f>
        <v>1.0114070828431079</v>
      </c>
      <c r="EE94" s="121">
        <f>AVERAGE($EG94:$EJ94,$EP94:$EQ94)</f>
        <v>1.0114070828431079</v>
      </c>
      <c r="EF94" s="121">
        <f>AVERAGE($EG94:$EJ94,$EP94:$EQ94)</f>
        <v>1.0114070828431079</v>
      </c>
      <c r="EG94" s="6">
        <f t="shared" si="62"/>
        <v>0.98431600455880397</v>
      </c>
      <c r="EH94" s="6">
        <f t="shared" si="62"/>
        <v>1.0108602754576612</v>
      </c>
      <c r="EI94" s="6">
        <f t="shared" si="62"/>
        <v>1.0065877551087941</v>
      </c>
      <c r="EJ94" s="6">
        <f t="shared" si="54"/>
        <v>1.0169477733792855</v>
      </c>
      <c r="EK94" s="121">
        <f>AVERAGE($EG94:$EJ94,$EP94:$EQ94)</f>
        <v>1.0114070828431079</v>
      </c>
      <c r="EL94" s="121">
        <f>AVERAGE($EG94:$EJ94,$EP94:$EQ94)</f>
        <v>1.0114070828431079</v>
      </c>
      <c r="EM94" s="121">
        <f>AVERAGE($EG94:$EJ94,$EP94:$EQ94)</f>
        <v>1.0114070828431079</v>
      </c>
      <c r="EN94" s="121">
        <f>AVERAGE($EG94:$EJ94,$EP94:$EQ94)</f>
        <v>1.0114070828431079</v>
      </c>
      <c r="EO94" s="121">
        <f>AVERAGE($EG94:$EJ94,$EP94:$EQ94)</f>
        <v>1.0114070828431079</v>
      </c>
      <c r="EP94" s="6">
        <f t="shared" si="54"/>
        <v>0.96020202395367982</v>
      </c>
      <c r="EQ94" s="6">
        <f t="shared" si="55"/>
        <v>1.089528664600423</v>
      </c>
      <c r="ER94" s="121"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19">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0" t="str">
        <f>_xlfn.XLOOKUP(AK$3&amp;$A95,[3]Calcs!$Q$2:$Q$2281,[3]Calcs!$H$2:$H$2281,"")</f>
        <v/>
      </c>
      <c r="AL95" s="119">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19">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19">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19"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1"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19">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0" t="str">
        <f>_xlfn.XLOOKUP(AK$3&amp;$A96,[3]Calcs!$Q$2:$Q$2281,[3]Calcs!$H$2:$H$2281,"")</f>
        <v/>
      </c>
      <c r="AL96" s="119">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19">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19">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19"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1"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19">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0">
        <f>_xlfn.XLOOKUP(AK$3&amp;$A97,[3]Calcs!$Q$2:$Q$2281,[3]Calcs!$H$2:$H$2281,"")</f>
        <v>6.109717845916748</v>
      </c>
      <c r="AL97" s="119">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19">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19">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19"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19">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0">
        <f>_xlfn.XLOOKUP(AK$3&amp;$A98,[3]Calcs!$Q$2:$Q$2281,[3]Calcs!$H$2:$H$2281,"")</f>
        <v>5.3733987808227539</v>
      </c>
      <c r="AL98" s="119">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19">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19">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19">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19">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0" t="str">
        <f>_xlfn.XLOOKUP(AK$3&amp;$A99,[3]Calcs!$Q$2:$Q$2281,[3]Calcs!$H$2:$H$2281,"")</f>
        <v/>
      </c>
      <c r="AL99" s="119">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19">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19">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22" cm="1">
        <f t="array" ref="ED99">TREND($EF99:$EQ99,$EF$3:$EQ$3,ED$3)</f>
        <v>0.99298390044497253</v>
      </c>
      <c r="EE99" s="121"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1"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19">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0" t="str">
        <f>_xlfn.XLOOKUP(AK$3&amp;$A100,[3]Calcs!$Q$2:$Q$2281,[3]Calcs!$H$2:$H$2281,"")</f>
        <v/>
      </c>
      <c r="AL100" s="119">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19">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19">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19">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1"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19">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0">
        <f>_xlfn.XLOOKUP(AK$3&amp;$A101,[3]Calcs!$Q$2:$Q$2281,[3]Calcs!$H$2:$H$2281,"")</f>
        <v>5.9005670547485352</v>
      </c>
      <c r="AL101" s="119">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19">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19">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19"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19">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0">
        <f>_xlfn.XLOOKUP(AK$3&amp;$A102,[3]Calcs!$Q$2:$Q$2281,[3]Calcs!$H$2:$H$2281,"")</f>
        <v>5.8116288185119629</v>
      </c>
      <c r="AL102" s="119">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19">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19">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19">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19">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0" t="str">
        <f>_xlfn.XLOOKUP(AK$3&amp;$A103,[3]Calcs!$Q$2:$Q$2281,[3]Calcs!$H$2:$H$2281,"")</f>
        <v/>
      </c>
      <c r="AL103" s="119">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19">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19">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19"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1"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19">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0">
        <f>_xlfn.XLOOKUP(AK$3&amp;$A104,[3]Calcs!$Q$2:$Q$2281,[3]Calcs!$H$2:$H$2281,"")</f>
        <v>6.0380496978759766</v>
      </c>
      <c r="AL104" s="119">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19">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19">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22"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19">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0">
        <f>_xlfn.XLOOKUP(AK$3&amp;$A105,[3]Calcs!$Q$2:$Q$2281,[3]Calcs!$H$2:$H$2281,"")</f>
        <v>4.7308111190795898</v>
      </c>
      <c r="AL105" s="119">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19">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19">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19" t="str">
        <f>IFERROR(E105/VLOOKUP($C105,$C$159:$S$166,E$3-2003,0),"")</f>
        <v/>
      </c>
      <c r="EE105" s="121" cm="1">
        <f t="array" ref="EE105">TREND($EG105:$EQ105,$EG$3:$EQ$3,EE$3)</f>
        <v>1.1299448721777239</v>
      </c>
      <c r="EF105" s="121"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19">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0" t="str">
        <f>_xlfn.XLOOKUP(AK$3&amp;$A106,[3]Calcs!$Q$2:$Q$2281,[3]Calcs!$H$2:$H$2281,"")</f>
        <v/>
      </c>
      <c r="AL106" s="119">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19">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19">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22" cm="1">
        <f t="array" ref="ED106">TREND($EI106:$EL106,$EI$3:$EL$3,ED$3)</f>
        <v>1.1761170363973648</v>
      </c>
      <c r="EE106" s="121" cm="1">
        <f t="array" ref="EE106">TREND($EI106:$EL106,$EI$3:$EL$3,EE$3)</f>
        <v>1.1623867710754681</v>
      </c>
      <c r="EF106" s="121" cm="1">
        <f t="array" ref="EF106">TREND($EI106:$EL106,$EI$3:$EL$3,EF$3)</f>
        <v>1.1486565057535714</v>
      </c>
      <c r="EG106" s="121" cm="1">
        <f t="array" ref="EG106">TREND($EI106:$EL106,$EI$3:$EL$3,EG$3)</f>
        <v>1.1349262404316711</v>
      </c>
      <c r="EH106" s="121"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1">
        <f>EL106+(EQ106-EL106)/5</f>
        <v>1.0375421279012067</v>
      </c>
      <c r="EN106" s="121">
        <f>EL106+(EQ106-EL106)*2/5</f>
        <v>1.0323399641620012</v>
      </c>
      <c r="EO106" s="121">
        <f>EL106+(EQ106-EL106)*3/5</f>
        <v>1.027137800422796</v>
      </c>
      <c r="EP106" s="121">
        <f>EL106+(EQ106-EL106)*4/5</f>
        <v>1.0219356366835906</v>
      </c>
      <c r="EQ106" s="6">
        <f t="shared" ref="EQ106:ER137" si="67">IFERROR(R106/VLOOKUP($C106,$C$159:$S$166,R$3-2003,0),"")</f>
        <v>1.0167334729443853</v>
      </c>
      <c r="ER106" s="121"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19">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0">
        <f>_xlfn.XLOOKUP(AK$3&amp;$A107,[3]Calcs!$Q$2:$Q$2281,[3]Calcs!$H$2:$H$2281,"")</f>
        <v>4.8379921913146973</v>
      </c>
      <c r="AL107" s="119">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19">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19">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19">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19">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0" t="str">
        <f>_xlfn.XLOOKUP(AK$3&amp;$A108,[3]Calcs!$Q$2:$Q$2281,[3]Calcs!$H$2:$H$2281,"")</f>
        <v/>
      </c>
      <c r="AL108" s="119">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19">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19">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19" t="str">
        <f>IFERROR(E108/VLOOKUP($C108,$C$159:$S$166,E$3-2003,0),"")</f>
        <v/>
      </c>
      <c r="EE108" s="121" cm="1">
        <f t="array" ref="EE108">TREND($EJ108:$EQ108,$EJ$3:$EQ$3,EE$3)</f>
        <v>0.87979896621794396</v>
      </c>
      <c r="EF108" s="121" cm="1">
        <f t="array" ref="EF108">TREND($EJ108:$EQ108,$EJ$3:$EQ$3,EF$3)</f>
        <v>0.88880663528195214</v>
      </c>
      <c r="EG108" s="121" cm="1">
        <f t="array" ref="EG108">TREND($EJ108:$EQ108,$EJ$3:$EQ$3,EG$3)</f>
        <v>0.89781430434595677</v>
      </c>
      <c r="EH108" s="121" cm="1">
        <f t="array" ref="EH108">TREND($EJ108:$EQ108,$EJ$3:$EQ$3,EH$3)</f>
        <v>0.90682197340996495</v>
      </c>
      <c r="EI108" s="121"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1"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19">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0">
        <f>_xlfn.XLOOKUP(AK$3&amp;$A109,[3]Calcs!$Q$2:$Q$2281,[3]Calcs!$H$2:$H$2281,"")</f>
        <v>5.2410778999328613</v>
      </c>
      <c r="AL109" s="119">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19">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19">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19">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19">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0" t="str">
        <f>_xlfn.XLOOKUP(AK$3&amp;$A110,[3]Calcs!$Q$2:$Q$2281,[3]Calcs!$H$2:$H$2281,"")</f>
        <v/>
      </c>
      <c r="AL110" s="119">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19">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19">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19" t="str">
        <f>IFERROR(E110/VLOOKUP($C110,$C$159:$R$166,E$3-2004,0),"")</f>
        <v/>
      </c>
      <c r="EE110" s="121" cm="1">
        <f t="array" ref="EE110">TREND($EI110:$EQ110,$EI$3:$EQ$3,EE$3)</f>
        <v>0.87103954127125149</v>
      </c>
      <c r="EF110" s="121" cm="1">
        <f t="array" ref="EF110">TREND($EI110:$EQ110,$EI$3:$EQ$3,EF$3)</f>
        <v>0.88815784309946366</v>
      </c>
      <c r="EG110" s="121" cm="1">
        <f t="array" ref="EG110">TREND($EI110:$EQ110,$EI$3:$EQ$3,EG$3)</f>
        <v>0.90527614492766872</v>
      </c>
      <c r="EH110" s="121"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1"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19">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0" t="str">
        <f>_xlfn.XLOOKUP(AK$3&amp;$A111,[3]Calcs!$Q$2:$Q$2281,[3]Calcs!$H$2:$H$2281,"")</f>
        <v/>
      </c>
      <c r="AL111" s="119">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19">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19">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22" cm="1">
        <f t="array" ref="ED111">TREND($EI111:$EQ111,$EI$3:$EQ$3,ED$3)</f>
        <v>0.80654909532731267</v>
      </c>
      <c r="EE111" s="121" cm="1">
        <f t="array" ref="EE111">TREND($EI111:$EQ111,$EI$3:$EQ$3,EE$3)</f>
        <v>0.82404211309262365</v>
      </c>
      <c r="EF111" s="121" cm="1">
        <f t="array" ref="EF111">TREND($EI111:$EQ111,$EI$3:$EQ$3,EF$3)</f>
        <v>0.84153513085794174</v>
      </c>
      <c r="EG111" s="121" cm="1">
        <f t="array" ref="EG111">TREND($EI111:$EQ111,$EI$3:$EQ$3,EG$3)</f>
        <v>0.85902814862325982</v>
      </c>
      <c r="EH111" s="121"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1"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19">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0" t="str">
        <f>_xlfn.XLOOKUP(AK$3&amp;$A112,[3]Calcs!$Q$2:$Q$2281,[3]Calcs!$H$2:$H$2281,"")</f>
        <v/>
      </c>
      <c r="AL112" s="119">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19">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19">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19"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1"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19">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0" t="str">
        <f>_xlfn.XLOOKUP(AK$3&amp;$A113,[3]Calcs!$Q$2:$Q$2281,[3]Calcs!$H$2:$H$2281,"")</f>
        <v/>
      </c>
      <c r="AL113" s="119">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19">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19">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19">
        <f t="shared" ref="ED113:EP126" si="71">IFERROR(E113/VLOOKUP($C113,$C$159:$S$166,E$3-2003,0),"")</f>
        <v>0.92024346330028384</v>
      </c>
      <c r="EE113" s="6">
        <f t="shared" si="71"/>
        <v>0.83758545833499587</v>
      </c>
      <c r="EF113" s="6">
        <f t="shared" si="71"/>
        <v>0.78941429576574873</v>
      </c>
      <c r="EG113" s="121">
        <f>EF113+(EI113-EF113)/3</f>
        <v>0.78664153898004441</v>
      </c>
      <c r="EH113" s="121">
        <f>EF113+(EI113-EF113)*2/3</f>
        <v>0.78386878219433997</v>
      </c>
      <c r="EI113" s="6">
        <f t="shared" si="69"/>
        <v>0.78109602540863565</v>
      </c>
      <c r="EJ113" s="121">
        <f>EI113+(EL113-EI113)/3</f>
        <v>0.77916901717114317</v>
      </c>
      <c r="EK113" s="121">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1"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19">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0">
        <f>_xlfn.XLOOKUP(AK$3&amp;$A114,[3]Calcs!$Q$2:$Q$2281,[3]Calcs!$H$2:$H$2281,"")</f>
        <v>5.079585075378418</v>
      </c>
      <c r="AL114" s="119">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19">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19">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19">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19">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0">
        <f>_xlfn.XLOOKUP(AK$3&amp;$A115,[3]Calcs!$Q$2:$Q$2281,[3]Calcs!$H$2:$H$2281,"")</f>
        <v>4.8026175498962402</v>
      </c>
      <c r="AL115" s="119">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19">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19">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19" t="str">
        <f t="shared" si="71"/>
        <v/>
      </c>
      <c r="EE115" s="121" cm="1">
        <f t="array" ref="EE115">TREND($EH115:$EQ115,$EH$3:$EQ$3,EE$3)</f>
        <v>1.0955551418514418</v>
      </c>
      <c r="EF115" s="121" cm="1">
        <f t="array" ref="EF115">TREND($EH115:$EQ115,$EH$3:$EQ$3,EF$3)</f>
        <v>1.1048743852756253</v>
      </c>
      <c r="EG115" s="121"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19">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0">
        <f>_xlfn.XLOOKUP(AK$3&amp;$A116,[3]Calcs!$Q$2:$Q$2281,[3]Calcs!$H$2:$H$2281,"")</f>
        <v>4.4077458381652832</v>
      </c>
      <c r="AL116" s="119">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19">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19">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19">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19">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0">
        <f>_xlfn.XLOOKUP(AK$3&amp;$A117,[3]Calcs!$Q$2:$Q$2281,[3]Calcs!$H$2:$H$2281,"")</f>
        <v>6.3096814155578613</v>
      </c>
      <c r="AL117" s="119">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19">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19">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19" t="str">
        <f t="shared" si="71"/>
        <v/>
      </c>
      <c r="EE117" s="121">
        <f t="shared" ref="EE117:EN117" si="73">AVERAGE($EO117:$EQ117)</f>
        <v>1.0608274106290161</v>
      </c>
      <c r="EF117" s="121">
        <f t="shared" si="73"/>
        <v>1.0608274106290161</v>
      </c>
      <c r="EG117" s="121">
        <f t="shared" si="73"/>
        <v>1.0608274106290161</v>
      </c>
      <c r="EH117" s="121">
        <f t="shared" si="73"/>
        <v>1.0608274106290161</v>
      </c>
      <c r="EI117" s="121">
        <f t="shared" si="73"/>
        <v>1.0608274106290161</v>
      </c>
      <c r="EJ117" s="121">
        <f t="shared" si="73"/>
        <v>1.0608274106290161</v>
      </c>
      <c r="EK117" s="121">
        <f t="shared" si="73"/>
        <v>1.0608274106290161</v>
      </c>
      <c r="EL117" s="121">
        <f t="shared" si="73"/>
        <v>1.0608274106290161</v>
      </c>
      <c r="EM117" s="121">
        <f t="shared" si="73"/>
        <v>1.0608274106290161</v>
      </c>
      <c r="EN117" s="121">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19">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0">
        <f>_xlfn.XLOOKUP(AK$3&amp;$A118,[3]Calcs!$Q$2:$Q$2281,[3]Calcs!$H$2:$H$2281,"")</f>
        <v>6.2495861053466797</v>
      </c>
      <c r="AL118" s="119">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19">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19">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19">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19">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0">
        <f>_xlfn.XLOOKUP(AK$3&amp;$A119,[3]Calcs!$Q$2:$Q$2281,[3]Calcs!$H$2:$H$2281,"")</f>
        <v>5.2799868583679199</v>
      </c>
      <c r="AL119" s="119">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19">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19">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19">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19">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0" t="str">
        <f>_xlfn.XLOOKUP(AK$3&amp;$A120,[3]Calcs!$Q$2:$Q$2281,[3]Calcs!$H$2:$H$2281,"")</f>
        <v/>
      </c>
      <c r="AL120" s="119">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19">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19">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19">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1"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19">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0" t="str">
        <f>_xlfn.XLOOKUP(AK$3&amp;$A121,[3]Calcs!$Q$2:$Q$2281,[3]Calcs!$H$2:$H$2281,"")</f>
        <v/>
      </c>
      <c r="AL121" s="119">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19">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19">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19"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1"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19">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0">
        <f>_xlfn.XLOOKUP(AK$3&amp;$A122,[3]Calcs!$Q$2:$Q$2281,[3]Calcs!$H$2:$H$2281,"")</f>
        <v>5.1684098243713379</v>
      </c>
      <c r="AL122" s="119">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19">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19">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19"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19">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0">
        <f>_xlfn.XLOOKUP(AK$3&amp;$A123,[3]Calcs!$Q$2:$Q$2281,[3]Calcs!$H$2:$H$2281,"")</f>
        <v>4.2252812385559082</v>
      </c>
      <c r="AL123" s="119">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19">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19">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19">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19">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0">
        <f>_xlfn.XLOOKUP(AK$3&amp;$A124,[3]Calcs!$Q$2:$Q$2281,[3]Calcs!$H$2:$H$2281,"")</f>
        <v>6.4525637626647949</v>
      </c>
      <c r="AL124" s="119">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19">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19">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19">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19">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0">
        <f>_xlfn.XLOOKUP(AK$3&amp;$A125,[3]Calcs!$Q$2:$Q$2281,[3]Calcs!$H$2:$H$2281,"")</f>
        <v>5.8845443725585938</v>
      </c>
      <c r="AL125" s="119">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19">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19">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19">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19">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0">
        <f>_xlfn.XLOOKUP(AK$3&amp;$A126,[3]Calcs!$Q$2:$Q$2281,[3]Calcs!$H$2:$H$2281,"")</f>
        <v>4.4510102272033691</v>
      </c>
      <c r="AL126" s="119">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19">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19">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22" cm="1">
        <f t="array" ref="ED126">TREND($EE126:$EQ126,$EE$3:$EQ$3,ED$3)</f>
        <v>1.0030149600969356</v>
      </c>
      <c r="EE126" s="6">
        <f>IFERROR(F126/VLOOKUP($C126,$C$159:$S$166,F$3-2003,0),"")</f>
        <v>0.99884532207203092</v>
      </c>
      <c r="EF126" s="121">
        <f>EE126+(EL126-EE126)/7</f>
        <v>0.99385490461617798</v>
      </c>
      <c r="EG126" s="121">
        <f>EE126+(EL126-EE126)*2/7</f>
        <v>0.98886448716032505</v>
      </c>
      <c r="EH126" s="121">
        <f>EE126+(EL126-EE126)*3/7</f>
        <v>0.98387406970447211</v>
      </c>
      <c r="EI126" s="121">
        <f>EE126+(EL126-EE126)*4/7</f>
        <v>0.97888365224861917</v>
      </c>
      <c r="EJ126" s="121">
        <f>EE126+(EL126-EE126)*5/7</f>
        <v>0.97389323479276624</v>
      </c>
      <c r="EK126" s="121">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1"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19">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0" t="str">
        <f>_xlfn.XLOOKUP(AK$3&amp;$A127,[3]Calcs!$Q$2:$Q$2281,[3]Calcs!$H$2:$H$2281,"")</f>
        <v/>
      </c>
      <c r="AL127" s="119">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19">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19">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22">
        <f t="shared" ref="ED127:EJ127" si="77">AVERAGE($EL127:$EM127,$EQ127)</f>
        <v>0.82123766712871438</v>
      </c>
      <c r="EE127" s="121">
        <f t="shared" si="77"/>
        <v>0.82123766712871438</v>
      </c>
      <c r="EF127" s="121">
        <f t="shared" si="77"/>
        <v>0.82123766712871438</v>
      </c>
      <c r="EG127" s="121">
        <f t="shared" si="77"/>
        <v>0.82123766712871438</v>
      </c>
      <c r="EH127" s="121">
        <f t="shared" si="77"/>
        <v>0.82123766712871438</v>
      </c>
      <c r="EI127" s="121">
        <f t="shared" si="77"/>
        <v>0.82123766712871438</v>
      </c>
      <c r="EJ127" s="121">
        <f t="shared" si="77"/>
        <v>0.82123766712871438</v>
      </c>
      <c r="EK127" s="6">
        <f t="shared" ref="EK127:ER147" si="78">IFERROR(L127/VLOOKUP($C127,$C$159:$S$166,L$3-2003,0),"")</f>
        <v>0.81137741817753817</v>
      </c>
      <c r="EL127" s="6">
        <f t="shared" si="78"/>
        <v>0.74990096983816446</v>
      </c>
      <c r="EM127" s="6">
        <f t="shared" si="78"/>
        <v>0.77942522111510482</v>
      </c>
      <c r="EN127" s="121">
        <f>EM127+(EQ127-EM127)/4</f>
        <v>0.81816561844454694</v>
      </c>
      <c r="EO127" s="121">
        <f>EM127+(EQ127-EM127)*2/4</f>
        <v>0.85690601577398917</v>
      </c>
      <c r="EP127" s="121">
        <f>EM127+(EQ127-EM127)*3/4</f>
        <v>0.8956464131034314</v>
      </c>
      <c r="EQ127" s="6">
        <f t="shared" si="67"/>
        <v>0.93438681043287353</v>
      </c>
      <c r="ER127" s="121"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19">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0" t="str">
        <f>_xlfn.XLOOKUP(AK$3&amp;$A128,[3]Calcs!$Q$2:$Q$2281,[3]Calcs!$H$2:$H$2281,"")</f>
        <v/>
      </c>
      <c r="AL128" s="119">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19">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19">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19">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1"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19">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0">
        <f>_xlfn.XLOOKUP(AK$3&amp;$A129,[3]Calcs!$Q$2:$Q$2281,[3]Calcs!$H$2:$H$2281,"")</f>
        <v>4.3769850730895996</v>
      </c>
      <c r="AL129" s="119">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19">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19">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19">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1"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19">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0">
        <f>_xlfn.XLOOKUP(AK$3&amp;$A130,[3]Calcs!$Q$2:$Q$2281,[3]Calcs!$H$2:$H$2281,"")</f>
        <v>5.3194832801818848</v>
      </c>
      <c r="AL130" s="119">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19">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19">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19">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19">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0" t="str">
        <f>_xlfn.XLOOKUP(AK$3&amp;$A131,[3]Calcs!$Q$2:$Q$2281,[3]Calcs!$H$2:$H$2281,"")</f>
        <v/>
      </c>
      <c r="AL131" s="119">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19">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19">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19">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1"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19">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0" t="str">
        <f>_xlfn.XLOOKUP(AK$3&amp;$A132,[3]Calcs!$Q$2:$Q$2281,[3]Calcs!$H$2:$H$2281,"")</f>
        <v/>
      </c>
      <c r="AL132" s="119">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19">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19">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22" cm="1">
        <f t="array" ref="ED132">TREND($EG132:$EQ132,$EG$3:$EQ$3,ED$3)</f>
        <v>1.0210048825896649</v>
      </c>
      <c r="EE132" s="121" cm="1">
        <f t="array" ref="EE132">TREND($EG132:$EQ132,$EG$3:$EQ$3,EE$3)</f>
        <v>0.9984685129093549</v>
      </c>
      <c r="EF132" s="121"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1"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19">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0" t="str">
        <f>_xlfn.XLOOKUP(AK$3&amp;$A133,[3]Calcs!$Q$2:$Q$2281,[3]Calcs!$H$2:$H$2281,"")</f>
        <v/>
      </c>
      <c r="AL133" s="119">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19">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19">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19">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1"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19">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0">
        <f>_xlfn.XLOOKUP(AK$3&amp;$A134,[3]Calcs!$Q$2:$Q$2281,[3]Calcs!$H$2:$H$2281,"")</f>
        <v>4.4313640594482422</v>
      </c>
      <c r="AL134" s="119">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19">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19">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22" cm="1">
        <f t="array" ref="ED134">TREND($EJ134:$EQ134,$EJ$3:$EQ$3,ED$3)</f>
        <v>0.91148362280827122</v>
      </c>
      <c r="EE134" s="121" cm="1">
        <f t="array" ref="EE134">TREND($EJ134:$EQ134,$EJ$3:$EQ$3,EE$3)</f>
        <v>0.9100924487684412</v>
      </c>
      <c r="EF134" s="121" cm="1">
        <f t="array" ref="EF134">TREND($EJ134:$EQ134,$EJ$3:$EQ$3,EF$3)</f>
        <v>0.90870127472861117</v>
      </c>
      <c r="EG134" s="121" cm="1">
        <f t="array" ref="EG134">TREND($EJ134:$EQ134,$EJ$3:$EQ$3,EG$3)</f>
        <v>0.90731010068878115</v>
      </c>
      <c r="EH134" s="121" cm="1">
        <f t="array" ref="EH134">TREND($EJ134:$EQ134,$EJ$3:$EQ$3,EH$3)</f>
        <v>0.90591892664895157</v>
      </c>
      <c r="EI134" s="121"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19">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0" t="str">
        <f>_xlfn.XLOOKUP(AK$3&amp;$A135,[3]Calcs!$Q$2:$Q$2281,[3]Calcs!$H$2:$H$2281,"")</f>
        <v/>
      </c>
      <c r="AL135" s="119">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19">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19">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22" cm="1">
        <f t="array" ref="ED135">TREND($EI135:$EQ135,$EI$3:$EQ$3,ED$3)</f>
        <v>0.71952779190768013</v>
      </c>
      <c r="EE135" s="121" cm="1">
        <f t="array" ref="EE135">TREND($EI135:$EQ135,$EI$3:$EQ$3,EE$3)</f>
        <v>0.73932679728012118</v>
      </c>
      <c r="EF135" s="121" cm="1">
        <f t="array" ref="EF135">TREND($EI135:$EQ135,$EI$3:$EQ$3,EF$3)</f>
        <v>0.75912580265255514</v>
      </c>
      <c r="EG135" s="121" cm="1">
        <f t="array" ref="EG135">TREND($EI135:$EQ135,$EI$3:$EQ$3,EG$3)</f>
        <v>0.77892480802498909</v>
      </c>
      <c r="EH135" s="121"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1"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19">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0">
        <f>_xlfn.XLOOKUP(AK$3&amp;$A136,[3]Calcs!$Q$2:$Q$2281,[3]Calcs!$H$2:$H$2281,"")</f>
        <v>5.7221627235412598</v>
      </c>
      <c r="AL136" s="119">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19">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19">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22"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19">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0">
        <f>_xlfn.XLOOKUP(AK$3&amp;$A137,[3]Calcs!$Q$2:$Q$2281,[3]Calcs!$H$2:$H$2281,"")</f>
        <v>6.168269157409668</v>
      </c>
      <c r="AL137" s="119">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19">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19">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19">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19">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0">
        <f>_xlfn.XLOOKUP(AK$3&amp;$A138,[3]Calcs!$Q$2:$Q$2281,[3]Calcs!$H$2:$H$2281,"")</f>
        <v>5.5592589378356934</v>
      </c>
      <c r="AL138" s="119">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19">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19">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19"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19">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0" t="str">
        <f>_xlfn.XLOOKUP(AK$3&amp;$A139,[3]Calcs!$Q$2:$Q$2281,[3]Calcs!$H$2:$H$2281,"")</f>
        <v/>
      </c>
      <c r="AL139" s="119">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19">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19">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19" t="str">
        <f>IFERROR(E139/VLOOKUP($C139,$C$159:$S$166,E$3-2003,0),"")</f>
        <v/>
      </c>
      <c r="EE139" s="121" cm="1">
        <f t="array" ref="EE139">TREND($EH139:$EQ139,$EH$3:$EQ$3,EE$3)</f>
        <v>1.2377736674671489</v>
      </c>
      <c r="EF139" s="121" cm="1">
        <f t="array" ref="EF139">TREND($EH139:$EQ139,$EH$3:$EQ$3,EF$3)</f>
        <v>1.2276722377108946</v>
      </c>
      <c r="EG139" s="121"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1"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19">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0" t="str">
        <f>_xlfn.XLOOKUP(AK$3&amp;$A140,[3]Calcs!$Q$2:$Q$2281,[3]Calcs!$H$2:$H$2281,"")</f>
        <v/>
      </c>
      <c r="AL140" s="119">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19">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19">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22"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1"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19">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0">
        <f>_xlfn.XLOOKUP(AK$3&amp;$A141,[3]Calcs!$Q$2:$Q$2281,[3]Calcs!$H$2:$H$2281,"")</f>
        <v>4.8615541458129883</v>
      </c>
      <c r="AL141" s="119">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19">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19">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19"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19">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0">
        <f>_xlfn.XLOOKUP(AK$3&amp;$A142,[3]Calcs!$Q$2:$Q$2281,[3]Calcs!$H$2:$H$2281,"")</f>
        <v>5.5158162117004395</v>
      </c>
      <c r="AL142" s="119">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19">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19">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22"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19">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0">
        <f>_xlfn.XLOOKUP(AK$3&amp;$A143,[3]Calcs!$Q$2:$Q$2281,[3]Calcs!$H$2:$H$2281,"")</f>
        <v>5.2565035820007324</v>
      </c>
      <c r="AL143" s="119">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19">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19">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22" cm="1">
        <f t="array" ref="ED143">TREND($EG143:$EQ143,$EG$3:$EQ$3,ED$3)</f>
        <v>0.8099282223098605</v>
      </c>
      <c r="EE143" s="121" cm="1">
        <f t="array" ref="EE143">TREND($EG143:$EQ143,$EG$3:$EQ$3,EE$3)</f>
        <v>0.82300606322474934</v>
      </c>
      <c r="EF143" s="121"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19">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0">
        <f>_xlfn.XLOOKUP(AK$3&amp;$A144,[3]Calcs!$Q$2:$Q$2281,[3]Calcs!$H$2:$H$2281,"")</f>
        <v>4.7851653099060059</v>
      </c>
      <c r="AL144" s="119">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19">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19">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19" t="str">
        <f>IFERROR(E144/VLOOKUP($C144,$C$159:$S$166,E$3-2003,0),"")</f>
        <v/>
      </c>
      <c r="EE144" s="121"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19">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0">
        <f>_xlfn.XLOOKUP(AK$3&amp;$A145,[3]Calcs!$Q$2:$Q$2281,[3]Calcs!$H$2:$H$2281,"")</f>
        <v>5.7926955223083496</v>
      </c>
      <c r="AL145" s="119">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19">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19">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19">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19">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0">
        <f>_xlfn.XLOOKUP(AK$3&amp;$A146,[3]Calcs!$Q$2:$Q$2281,[3]Calcs!$H$2:$H$2281,"")</f>
        <v>6.1506428718566895</v>
      </c>
      <c r="AL146" s="119">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19">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19">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19"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19">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0">
        <f>_xlfn.XLOOKUP(AK$3&amp;$A147,[3]Calcs!$Q$2:$Q$2281,[3]Calcs!$H$2:$H$2281,"")</f>
        <v>6.5595884323120117</v>
      </c>
      <c r="AL147" s="119">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19">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19">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19"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19">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0">
        <f>_xlfn.XLOOKUP(AK$3&amp;$A148,[3]Calcs!$Q$2:$Q$2281,[3]Calcs!$H$2:$H$2281,"")</f>
        <v>6.7510676383972168</v>
      </c>
      <c r="AL148" s="119">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19">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19">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22">
        <f t="shared" ref="ED148:EN148" si="98">AVERAGE($EO148:$EQ148)</f>
        <v>0.97406801897825301</v>
      </c>
      <c r="EE148" s="121">
        <f t="shared" si="98"/>
        <v>0.97406801897825301</v>
      </c>
      <c r="EF148" s="121">
        <f t="shared" si="98"/>
        <v>0.97406801897825301</v>
      </c>
      <c r="EG148" s="121">
        <f t="shared" si="98"/>
        <v>0.97406801897825301</v>
      </c>
      <c r="EH148" s="121">
        <f t="shared" si="98"/>
        <v>0.97406801897825301</v>
      </c>
      <c r="EI148" s="121">
        <f t="shared" si="98"/>
        <v>0.97406801897825301</v>
      </c>
      <c r="EJ148" s="121">
        <f t="shared" si="98"/>
        <v>0.97406801897825301</v>
      </c>
      <c r="EK148" s="121">
        <f t="shared" si="98"/>
        <v>0.97406801897825301</v>
      </c>
      <c r="EL148" s="121">
        <f t="shared" si="98"/>
        <v>0.97406801897825301</v>
      </c>
      <c r="EM148" s="121">
        <f t="shared" si="98"/>
        <v>0.97406801897825301</v>
      </c>
      <c r="EN148" s="121">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19">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0">
        <f>_xlfn.XLOOKUP(AK$3&amp;$A149,[3]Calcs!$Q$2:$Q$2281,[3]Calcs!$H$2:$H$2281,"")</f>
        <v>5.123143196105957</v>
      </c>
      <c r="AL149" s="119">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19">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19">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19">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19">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0">
        <f>_xlfn.XLOOKUP(AK$3&amp;$A150,[3]Calcs!$Q$2:$Q$2281,[3]Calcs!$H$2:$H$2281,"")</f>
        <v>5.7710647583007813</v>
      </c>
      <c r="AL150" s="119">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19">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19">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19">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19">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0">
        <f>_xlfn.XLOOKUP(AK$3&amp;$A151,[3]Calcs!$Q$2:$Q$2281,[3]Calcs!$H$2:$H$2281,"")</f>
        <v>5.284390926361084</v>
      </c>
      <c r="AL151" s="119">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19">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19">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19">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1">
        <f>EJ151+(EO151-EJ151)/5</f>
        <v>0.97868970613512396</v>
      </c>
      <c r="EL151" s="121">
        <f>EJ151+(EO151-EJ151)*2/5</f>
        <v>0.96435805457196477</v>
      </c>
      <c r="EM151" s="121">
        <f>EJ151+(EO151-EJ151)*3/5</f>
        <v>0.95002640300880548</v>
      </c>
      <c r="EN151" s="121">
        <f>EJ151+(EO151-EJ151)*4/5</f>
        <v>0.93569475144564629</v>
      </c>
      <c r="EO151" s="6">
        <f t="shared" si="99"/>
        <v>0.92136309988248699</v>
      </c>
      <c r="EP151" s="6">
        <f t="shared" si="99"/>
        <v>0.91958807197394266</v>
      </c>
      <c r="EQ151" s="6">
        <f t="shared" si="99"/>
        <v>0.96524200008872718</v>
      </c>
      <c r="ER151" s="121"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19">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0" t="str">
        <f>_xlfn.XLOOKUP(AK$3&amp;$A152,[3]Calcs!$Q$2:$Q$2281,[3]Calcs!$H$2:$H$2281,"")</f>
        <v/>
      </c>
      <c r="AL152" s="119">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19">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19">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19">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1"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19">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0">
        <f>_xlfn.XLOOKUP(AK$3&amp;$A153,[3]Calcs!$Q$2:$Q$2281,[3]Calcs!$H$2:$H$2281,"")</f>
        <v>6.3913788795471191</v>
      </c>
      <c r="AL153" s="119">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19">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19">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19">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19">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0">
        <f>_xlfn.XLOOKUP(AK$3&amp;$A154,[3]Calcs!$Q$2:$Q$2281,[3]Calcs!$H$2:$H$2281,"")</f>
        <v>6.229008674621582</v>
      </c>
      <c r="AL154" s="119">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19">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19">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19">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19">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0">
        <f>_xlfn.XLOOKUP(AK$3&amp;$A155,[3]Calcs!$Q$2:$Q$2281,[3]Calcs!$H$2:$H$2281,"")</f>
        <v>6.0113649368286133</v>
      </c>
      <c r="AL155" s="119">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19">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19">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22"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1"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408</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8" t="s">
        <v>409</v>
      </c>
    </row>
    <row r="169" spans="2:163">
      <c r="B169" s="1" t="s">
        <v>159</v>
      </c>
      <c r="C169" s="15">
        <v>1</v>
      </c>
      <c r="CK169" s="123">
        <f t="shared" ref="CK169:CY176" si="107">CK159/DO159</f>
        <v>0.45148083088423735</v>
      </c>
      <c r="CL169" s="124">
        <f t="shared" si="107"/>
        <v>0.98894916142728573</v>
      </c>
      <c r="CM169" s="124">
        <f t="shared" si="107"/>
        <v>0.98904290117919225</v>
      </c>
      <c r="CN169" s="124">
        <f t="shared" si="107"/>
        <v>0.98679506455501964</v>
      </c>
      <c r="CO169" s="124">
        <f t="shared" si="107"/>
        <v>0.98689367535491612</v>
      </c>
      <c r="CP169" s="124">
        <f t="shared" si="107"/>
        <v>0.99417842890772523</v>
      </c>
      <c r="CQ169" s="124">
        <f t="shared" si="107"/>
        <v>0.9942266580254413</v>
      </c>
      <c r="CR169" s="124">
        <f t="shared" si="107"/>
        <v>0.99427259332450579</v>
      </c>
      <c r="CS169" s="124">
        <f t="shared" si="107"/>
        <v>0.99203868362076097</v>
      </c>
      <c r="CT169" s="124">
        <f t="shared" si="107"/>
        <v>0.99209005575096165</v>
      </c>
      <c r="CU169" s="124">
        <f t="shared" si="107"/>
        <v>0.99213948016724596</v>
      </c>
      <c r="CV169" s="124">
        <f t="shared" si="107"/>
        <v>1</v>
      </c>
      <c r="CW169" s="124">
        <f t="shared" si="107"/>
        <v>0.9977694867336756</v>
      </c>
      <c r="CX169" s="124">
        <f t="shared" si="107"/>
        <v>1</v>
      </c>
      <c r="CY169" s="124">
        <f t="shared" si="107"/>
        <v>0.84295088678380614</v>
      </c>
    </row>
    <row r="170" spans="2:163">
      <c r="B170" s="1" t="s">
        <v>165</v>
      </c>
      <c r="C170" s="15">
        <v>2</v>
      </c>
      <c r="CK170" s="123">
        <f t="shared" si="107"/>
        <v>0.85001606542233643</v>
      </c>
      <c r="CL170" s="124">
        <f t="shared" si="107"/>
        <v>0.99938852308165849</v>
      </c>
      <c r="CM170" s="124">
        <f t="shared" si="107"/>
        <v>0.99938040936984385</v>
      </c>
      <c r="CN170" s="124">
        <f t="shared" si="107"/>
        <v>0.9993715329208559</v>
      </c>
      <c r="CO170" s="124">
        <f t="shared" si="107"/>
        <v>0.99936144030796625</v>
      </c>
      <c r="CP170" s="124">
        <f t="shared" si="107"/>
        <v>0.99935000442419042</v>
      </c>
      <c r="CQ170" s="124">
        <f t="shared" si="107"/>
        <v>0.99933745868168433</v>
      </c>
      <c r="CR170" s="124">
        <f t="shared" si="107"/>
        <v>0.99932415418437481</v>
      </c>
      <c r="CS170" s="124">
        <f t="shared" si="107"/>
        <v>0.9993105754468069</v>
      </c>
      <c r="CT170" s="124">
        <f t="shared" si="107"/>
        <v>0.99929709168027248</v>
      </c>
      <c r="CU170" s="124">
        <f t="shared" si="107"/>
        <v>0.99928377110675481</v>
      </c>
      <c r="CV170" s="124">
        <f t="shared" si="107"/>
        <v>1</v>
      </c>
      <c r="CW170" s="124">
        <f t="shared" si="107"/>
        <v>1</v>
      </c>
      <c r="CX170" s="124">
        <f t="shared" si="107"/>
        <v>1</v>
      </c>
      <c r="CY170" s="124">
        <f t="shared" si="107"/>
        <v>0.99923092152292681</v>
      </c>
    </row>
    <row r="171" spans="2:163">
      <c r="B171" s="1" t="s">
        <v>160</v>
      </c>
      <c r="C171" s="15">
        <v>3</v>
      </c>
      <c r="CK171" s="123">
        <f t="shared" si="107"/>
        <v>0.25592688247249756</v>
      </c>
      <c r="CL171" s="124">
        <f t="shared" si="107"/>
        <v>0.97844384622309255</v>
      </c>
      <c r="CM171" s="124">
        <f t="shared" si="107"/>
        <v>0.97830206824670818</v>
      </c>
      <c r="CN171" s="124">
        <f t="shared" si="107"/>
        <v>0.99922709758873751</v>
      </c>
      <c r="CO171" s="124">
        <f t="shared" si="107"/>
        <v>0.98021427925037652</v>
      </c>
      <c r="CP171" s="124">
        <f t="shared" si="107"/>
        <v>0.98005455755751314</v>
      </c>
      <c r="CQ171" s="124">
        <f t="shared" si="107"/>
        <v>0.99921400097138013</v>
      </c>
      <c r="CR171" s="124">
        <f t="shared" si="107"/>
        <v>0.9992132020953447</v>
      </c>
      <c r="CS171" s="124">
        <f t="shared" si="107"/>
        <v>0.99921269232024623</v>
      </c>
      <c r="CT171" s="124">
        <f t="shared" si="107"/>
        <v>0.9992115807821671</v>
      </c>
      <c r="CU171" s="124">
        <f t="shared" si="107"/>
        <v>0.99920972183283308</v>
      </c>
      <c r="CV171" s="124">
        <f t="shared" si="107"/>
        <v>1</v>
      </c>
      <c r="CW171" s="124">
        <f t="shared" si="107"/>
        <v>1</v>
      </c>
      <c r="CX171" s="124">
        <f t="shared" si="107"/>
        <v>1</v>
      </c>
      <c r="CY171" s="124">
        <f t="shared" si="107"/>
        <v>0.99852909736829276</v>
      </c>
    </row>
    <row r="172" spans="2:163">
      <c r="B172" s="1" t="s">
        <v>161</v>
      </c>
      <c r="C172" s="15">
        <v>4</v>
      </c>
      <c r="CK172" s="123">
        <f t="shared" si="107"/>
        <v>5.6927059903135305E-2</v>
      </c>
      <c r="CL172" s="124">
        <f t="shared" si="107"/>
        <v>0.70456003622593522</v>
      </c>
      <c r="CM172" s="124">
        <f t="shared" si="107"/>
        <v>0.77131267627969602</v>
      </c>
      <c r="CN172" s="124">
        <f t="shared" si="107"/>
        <v>0.82683517407155827</v>
      </c>
      <c r="CO172" s="124">
        <f t="shared" si="107"/>
        <v>0.98567273649825071</v>
      </c>
      <c r="CP172" s="124">
        <f t="shared" si="107"/>
        <v>0.98585819898602223</v>
      </c>
      <c r="CQ172" s="124">
        <f t="shared" si="107"/>
        <v>1</v>
      </c>
      <c r="CR172" s="124">
        <f t="shared" si="107"/>
        <v>1</v>
      </c>
      <c r="CS172" s="124">
        <f t="shared" si="107"/>
        <v>1</v>
      </c>
      <c r="CT172" s="124">
        <f t="shared" si="107"/>
        <v>1</v>
      </c>
      <c r="CU172" s="124">
        <f t="shared" si="107"/>
        <v>0.99458230508181544</v>
      </c>
      <c r="CV172" s="124">
        <f t="shared" si="107"/>
        <v>0.99454033326752311</v>
      </c>
      <c r="CW172" s="124">
        <f t="shared" si="107"/>
        <v>0.99452304945261938</v>
      </c>
      <c r="CX172" s="124">
        <f t="shared" si="107"/>
        <v>1</v>
      </c>
      <c r="CY172" s="124">
        <f t="shared" si="107"/>
        <v>0.8100572139971437</v>
      </c>
    </row>
    <row r="173" spans="2:163">
      <c r="B173" s="1" t="s">
        <v>162</v>
      </c>
      <c r="C173" s="15">
        <v>5</v>
      </c>
      <c r="CK173" s="123">
        <f t="shared" si="107"/>
        <v>0.69320948850539688</v>
      </c>
      <c r="CL173" s="124">
        <f t="shared" si="107"/>
        <v>0.71010322787693114</v>
      </c>
      <c r="CM173" s="124">
        <f t="shared" si="107"/>
        <v>0.72297326740673062</v>
      </c>
      <c r="CN173" s="124">
        <f t="shared" si="107"/>
        <v>0.8197434056431171</v>
      </c>
      <c r="CO173" s="124">
        <f t="shared" si="107"/>
        <v>0.82001919258168621</v>
      </c>
      <c r="CP173" s="124">
        <f t="shared" si="107"/>
        <v>0.88989158559449411</v>
      </c>
      <c r="CQ173" s="124">
        <f t="shared" si="107"/>
        <v>0.980841830879848</v>
      </c>
      <c r="CR173" s="124">
        <f t="shared" si="107"/>
        <v>0.9802302218759994</v>
      </c>
      <c r="CS173" s="124">
        <f t="shared" si="107"/>
        <v>0.99080164534084469</v>
      </c>
      <c r="CT173" s="124">
        <f t="shared" si="107"/>
        <v>0.94931331374358974</v>
      </c>
      <c r="CU173" s="124">
        <f t="shared" si="107"/>
        <v>0.95647207093439912</v>
      </c>
      <c r="CV173" s="124">
        <f t="shared" si="107"/>
        <v>0.95660957046890038</v>
      </c>
      <c r="CW173" s="124">
        <f t="shared" si="107"/>
        <v>0.87098122821135393</v>
      </c>
      <c r="CX173" s="124">
        <f t="shared" si="107"/>
        <v>1</v>
      </c>
      <c r="CY173" s="124">
        <f t="shared" si="107"/>
        <v>0.58594713442709612</v>
      </c>
    </row>
    <row r="174" spans="2:163">
      <c r="B174" s="1" t="s">
        <v>163</v>
      </c>
      <c r="C174" s="15">
        <v>6</v>
      </c>
      <c r="CK174" s="123">
        <f t="shared" si="107"/>
        <v>0.87616460260080187</v>
      </c>
      <c r="CL174" s="124">
        <f t="shared" si="107"/>
        <v>0.98228871486381919</v>
      </c>
      <c r="CM174" s="124">
        <f t="shared" si="107"/>
        <v>0.99957804563068609</v>
      </c>
      <c r="CN174" s="124">
        <f t="shared" si="107"/>
        <v>0.99958004881844187</v>
      </c>
      <c r="CO174" s="124">
        <f t="shared" si="107"/>
        <v>0.99958160972836929</v>
      </c>
      <c r="CP174" s="124">
        <f t="shared" si="107"/>
        <v>0.9995826407578503</v>
      </c>
      <c r="CQ174" s="124">
        <f t="shared" si="107"/>
        <v>0.99958324770069618</v>
      </c>
      <c r="CR174" s="124">
        <f t="shared" si="107"/>
        <v>1</v>
      </c>
      <c r="CS174" s="124">
        <f t="shared" si="107"/>
        <v>1</v>
      </c>
      <c r="CT174" s="124">
        <f t="shared" si="107"/>
        <v>1</v>
      </c>
      <c r="CU174" s="124">
        <f t="shared" si="107"/>
        <v>0.99958390653689988</v>
      </c>
      <c r="CV174" s="124">
        <f t="shared" si="107"/>
        <v>0.99958396565442831</v>
      </c>
      <c r="CW174" s="124">
        <f t="shared" si="107"/>
        <v>0.99958401058660284</v>
      </c>
      <c r="CX174" s="124">
        <f t="shared" si="107"/>
        <v>1</v>
      </c>
      <c r="CY174" s="124">
        <f t="shared" si="107"/>
        <v>0.83234384743165701</v>
      </c>
    </row>
    <row r="175" spans="2:163">
      <c r="B175" s="1" t="s">
        <v>166</v>
      </c>
      <c r="C175" s="15">
        <v>7</v>
      </c>
      <c r="CK175" s="123">
        <f t="shared" si="107"/>
        <v>0.72159807104383189</v>
      </c>
      <c r="CL175" s="124">
        <f t="shared" si="107"/>
        <v>0.98793307773000483</v>
      </c>
      <c r="CM175" s="124">
        <f t="shared" si="107"/>
        <v>0.98777875284445371</v>
      </c>
      <c r="CN175" s="124">
        <f t="shared" si="107"/>
        <v>1</v>
      </c>
      <c r="CO175" s="124">
        <f t="shared" si="107"/>
        <v>1</v>
      </c>
      <c r="CP175" s="124">
        <f t="shared" si="107"/>
        <v>1</v>
      </c>
      <c r="CQ175" s="124">
        <f t="shared" si="107"/>
        <v>1</v>
      </c>
      <c r="CR175" s="124">
        <f t="shared" si="107"/>
        <v>1</v>
      </c>
      <c r="CS175" s="124">
        <f t="shared" si="107"/>
        <v>1</v>
      </c>
      <c r="CT175" s="124">
        <f t="shared" si="107"/>
        <v>1</v>
      </c>
      <c r="CU175" s="124">
        <f t="shared" si="107"/>
        <v>1</v>
      </c>
      <c r="CV175" s="124">
        <f t="shared" si="107"/>
        <v>1</v>
      </c>
      <c r="CW175" s="124">
        <f t="shared" si="107"/>
        <v>1</v>
      </c>
      <c r="CX175" s="124">
        <f t="shared" si="107"/>
        <v>1</v>
      </c>
      <c r="CY175" s="124">
        <f t="shared" si="107"/>
        <v>0.80372860513040212</v>
      </c>
    </row>
    <row r="176" spans="2:163">
      <c r="B176" s="1" t="s">
        <v>164</v>
      </c>
      <c r="C176" s="15">
        <v>8</v>
      </c>
      <c r="CK176" s="123">
        <f t="shared" si="107"/>
        <v>0.90074131365502197</v>
      </c>
      <c r="CL176" s="124">
        <f t="shared" si="107"/>
        <v>0.96272498625972858</v>
      </c>
      <c r="CM176" s="124">
        <f t="shared" si="107"/>
        <v>0.96278021121589408</v>
      </c>
      <c r="CN176" s="124">
        <f t="shared" si="107"/>
        <v>0.96283290633305574</v>
      </c>
      <c r="CO176" s="124">
        <f t="shared" si="107"/>
        <v>0.96287545236417393</v>
      </c>
      <c r="CP176" s="124">
        <f t="shared" si="107"/>
        <v>0.96290408230011482</v>
      </c>
      <c r="CQ176" s="124">
        <f t="shared" si="107"/>
        <v>0.98622403339554388</v>
      </c>
      <c r="CR176" s="124">
        <f t="shared" si="107"/>
        <v>0.98332397390457471</v>
      </c>
      <c r="CS176" s="124">
        <f t="shared" si="107"/>
        <v>0.98334222820591033</v>
      </c>
      <c r="CT176" s="124">
        <f t="shared" si="107"/>
        <v>0.98335564579032453</v>
      </c>
      <c r="CU176" s="124">
        <f t="shared" si="107"/>
        <v>0.9833633815043209</v>
      </c>
      <c r="CV176" s="124">
        <f t="shared" si="107"/>
        <v>1</v>
      </c>
      <c r="CW176" s="124">
        <f t="shared" si="107"/>
        <v>1</v>
      </c>
      <c r="CX176" s="124">
        <f t="shared" si="107"/>
        <v>1</v>
      </c>
      <c r="CY176" s="124">
        <f t="shared" si="107"/>
        <v>0.80856437794839964</v>
      </c>
    </row>
    <row r="178" spans="2:88">
      <c r="B178" s="1" t="s">
        <v>410</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411</v>
      </c>
    </row>
    <row r="188" spans="2:88">
      <c r="B188" t="s">
        <v>403</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honeticPr fontId="4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38" zoomScale="90" zoomScaleNormal="90" workbookViewId="0">
      <selection activeCell="B144" sqref="B144:B146"/>
    </sheetView>
  </sheetViews>
  <sheetFormatPr defaultColWidth="10.875" defaultRowHeight="15"/>
  <cols>
    <col min="1" max="1" width="10.875" style="125"/>
    <col min="2" max="2" width="29.25" style="127" customWidth="1"/>
    <col min="3" max="5" width="37" style="127" customWidth="1"/>
    <col min="6" max="6" width="10.875" style="127"/>
    <col min="7" max="7" width="29.25" style="127" customWidth="1"/>
    <col min="8" max="10" width="37" style="127" customWidth="1"/>
    <col min="11" max="16384" width="10.875" style="127"/>
  </cols>
  <sheetData>
    <row r="1" spans="1:10" s="125" customFormat="1" ht="26.25">
      <c r="B1" s="176" t="s">
        <v>455</v>
      </c>
      <c r="C1" s="149"/>
      <c r="D1" s="149"/>
      <c r="E1" s="149"/>
      <c r="G1" s="149"/>
      <c r="H1" s="149"/>
      <c r="I1" s="149"/>
      <c r="J1" s="149"/>
    </row>
    <row r="2" spans="1:10" s="125" customFormat="1">
      <c r="A2" s="128"/>
      <c r="B2" s="170"/>
      <c r="C2" s="171"/>
      <c r="D2" s="171"/>
      <c r="E2" s="172"/>
      <c r="F2" s="173"/>
      <c r="G2" s="149"/>
      <c r="H2" s="149"/>
      <c r="I2" s="149"/>
      <c r="J2" s="149"/>
    </row>
    <row r="3" spans="1:10" s="125" customFormat="1" ht="105">
      <c r="A3" s="128"/>
      <c r="B3" s="129" t="s">
        <v>412</v>
      </c>
      <c r="C3" s="130" t="s">
        <v>169</v>
      </c>
      <c r="D3" s="130" t="s">
        <v>413</v>
      </c>
      <c r="E3" s="130" t="s">
        <v>414</v>
      </c>
      <c r="F3" s="173"/>
      <c r="G3" s="149"/>
      <c r="H3" s="149"/>
      <c r="I3" s="149"/>
      <c r="J3" s="149"/>
    </row>
    <row r="4" spans="1:10" s="125" customFormat="1" ht="37.5">
      <c r="A4" s="128"/>
      <c r="B4" s="132" t="s">
        <v>372</v>
      </c>
      <c r="C4" s="133" t="s">
        <v>415</v>
      </c>
      <c r="D4" s="133" t="s">
        <v>416</v>
      </c>
      <c r="E4" s="132" t="s">
        <v>417</v>
      </c>
      <c r="F4" s="173"/>
      <c r="G4" s="149"/>
      <c r="H4" s="149"/>
      <c r="I4" s="149"/>
      <c r="J4" s="149"/>
    </row>
    <row r="5" spans="1:10" s="125" customFormat="1" ht="56.25">
      <c r="A5" s="128"/>
      <c r="B5" s="134" t="s">
        <v>459</v>
      </c>
      <c r="C5" s="135" t="s">
        <v>418</v>
      </c>
      <c r="D5" s="135" t="s">
        <v>419</v>
      </c>
      <c r="E5" s="134" t="s">
        <v>420</v>
      </c>
      <c r="F5" s="173"/>
      <c r="G5" s="149"/>
      <c r="H5" s="149"/>
      <c r="I5" s="149"/>
      <c r="J5" s="149"/>
    </row>
    <row r="6" spans="1:10" s="125" customFormat="1" ht="37.5">
      <c r="A6" s="128"/>
      <c r="B6" s="136" t="s">
        <v>373</v>
      </c>
      <c r="C6" s="137" t="s">
        <v>421</v>
      </c>
      <c r="D6" s="137" t="s">
        <v>422</v>
      </c>
      <c r="E6" s="136" t="s">
        <v>423</v>
      </c>
      <c r="F6" s="173"/>
      <c r="G6" s="149"/>
      <c r="H6" s="149"/>
      <c r="I6" s="149"/>
      <c r="J6" s="149"/>
    </row>
    <row r="7" spans="1:10" s="125" customFormat="1">
      <c r="A7" s="128"/>
      <c r="B7" s="170"/>
      <c r="C7" s="171"/>
      <c r="D7" s="171"/>
      <c r="E7" s="172"/>
      <c r="F7" s="173"/>
      <c r="G7" s="149"/>
      <c r="H7" s="149"/>
      <c r="I7" s="149"/>
      <c r="J7" s="149"/>
    </row>
    <row r="8" spans="1:10" s="125" customFormat="1" ht="26.25">
      <c r="A8" s="128"/>
      <c r="B8" s="176" t="s">
        <v>453</v>
      </c>
      <c r="C8" s="171"/>
      <c r="D8" s="171"/>
      <c r="E8" s="172"/>
      <c r="F8" s="173"/>
      <c r="G8" s="149"/>
      <c r="H8" s="149"/>
      <c r="I8" s="149"/>
      <c r="J8" s="149"/>
    </row>
    <row r="9" spans="1:10" s="125" customFormat="1" ht="15.75" thickBot="1">
      <c r="A9" s="128"/>
      <c r="B9" s="170"/>
      <c r="C9" s="171"/>
      <c r="D9" s="171"/>
      <c r="E9" s="172"/>
      <c r="F9" s="173"/>
      <c r="G9" s="149"/>
      <c r="H9" s="149"/>
      <c r="I9" s="149"/>
      <c r="J9" s="149"/>
    </row>
    <row r="10" spans="1:10" s="125" customFormat="1" ht="132" thickBot="1">
      <c r="A10" s="128"/>
      <c r="B10" s="139" t="s">
        <v>424</v>
      </c>
      <c r="C10" s="140" t="s">
        <v>425</v>
      </c>
      <c r="D10" s="141" t="s">
        <v>426</v>
      </c>
      <c r="E10" s="142" t="s">
        <v>427</v>
      </c>
      <c r="F10" s="173"/>
      <c r="G10" s="149"/>
      <c r="H10" s="149"/>
      <c r="I10" s="149"/>
      <c r="J10" s="149"/>
    </row>
    <row r="11" spans="1:10" s="125" customFormat="1" ht="41.1" customHeight="1">
      <c r="A11" s="128"/>
      <c r="B11" s="187" t="s">
        <v>460</v>
      </c>
      <c r="C11" s="143" t="s">
        <v>428</v>
      </c>
      <c r="D11" s="143" t="s">
        <v>429</v>
      </c>
      <c r="E11" s="144" t="s">
        <v>430</v>
      </c>
      <c r="F11" s="173"/>
      <c r="G11" s="149"/>
      <c r="H11" s="149"/>
      <c r="I11" s="149"/>
      <c r="J11" s="149"/>
    </row>
    <row r="12" spans="1:10" s="125" customFormat="1" ht="41.1" customHeight="1">
      <c r="A12" s="128"/>
      <c r="B12" s="188"/>
      <c r="C12" s="145" t="s">
        <v>431</v>
      </c>
      <c r="D12" s="145" t="s">
        <v>432</v>
      </c>
      <c r="E12" s="146" t="s">
        <v>433</v>
      </c>
      <c r="F12" s="173"/>
      <c r="G12" s="149"/>
      <c r="H12" s="149"/>
      <c r="I12" s="149"/>
      <c r="J12" s="149"/>
    </row>
    <row r="13" spans="1:10" s="125" customFormat="1" ht="41.1" customHeight="1" thickBot="1">
      <c r="A13" s="128"/>
      <c r="B13" s="189"/>
      <c r="C13" s="147" t="s">
        <v>434</v>
      </c>
      <c r="D13" s="147" t="s">
        <v>435</v>
      </c>
      <c r="E13" s="147" t="s">
        <v>436</v>
      </c>
      <c r="F13" s="173"/>
      <c r="G13" s="149"/>
      <c r="H13" s="149"/>
      <c r="I13" s="149"/>
      <c r="J13" s="149"/>
    </row>
    <row r="14" spans="1:10" s="125" customFormat="1" ht="41.1" customHeight="1">
      <c r="A14" s="128"/>
      <c r="B14" s="190" t="s">
        <v>461</v>
      </c>
      <c r="C14" s="143" t="s">
        <v>437</v>
      </c>
      <c r="D14" s="143" t="s">
        <v>438</v>
      </c>
      <c r="E14" s="144" t="s">
        <v>439</v>
      </c>
      <c r="F14" s="173"/>
      <c r="G14" s="149"/>
      <c r="H14" s="149"/>
      <c r="I14" s="149"/>
      <c r="J14" s="149"/>
    </row>
    <row r="15" spans="1:10" s="125" customFormat="1" ht="41.1" customHeight="1">
      <c r="A15" s="128"/>
      <c r="B15" s="191"/>
      <c r="C15" s="145" t="s">
        <v>440</v>
      </c>
      <c r="D15" s="145" t="s">
        <v>441</v>
      </c>
      <c r="E15" s="146" t="s">
        <v>442</v>
      </c>
      <c r="F15" s="173"/>
      <c r="G15" s="149"/>
      <c r="H15" s="149"/>
      <c r="I15" s="149"/>
      <c r="J15" s="149"/>
    </row>
    <row r="16" spans="1:10" s="125" customFormat="1" ht="41.1" customHeight="1" thickBot="1">
      <c r="A16" s="128"/>
      <c r="B16" s="191"/>
      <c r="C16" s="147" t="s">
        <v>443</v>
      </c>
      <c r="D16" s="147" t="s">
        <v>444</v>
      </c>
      <c r="E16" s="147" t="s">
        <v>445</v>
      </c>
      <c r="F16" s="173"/>
      <c r="G16" s="149"/>
      <c r="H16" s="149"/>
      <c r="I16" s="149"/>
      <c r="J16" s="149"/>
    </row>
    <row r="17" spans="1:10" s="125" customFormat="1" ht="41.1" customHeight="1">
      <c r="A17" s="128"/>
      <c r="B17" s="192" t="s">
        <v>462</v>
      </c>
      <c r="C17" s="143" t="s">
        <v>430</v>
      </c>
      <c r="D17" s="143" t="s">
        <v>446</v>
      </c>
      <c r="E17" s="144" t="s">
        <v>447</v>
      </c>
      <c r="F17" s="173"/>
      <c r="G17" s="149"/>
      <c r="H17" s="149"/>
      <c r="I17" s="149"/>
      <c r="J17" s="149"/>
    </row>
    <row r="18" spans="1:10" s="125" customFormat="1" ht="41.1" customHeight="1">
      <c r="A18" s="128"/>
      <c r="B18" s="193"/>
      <c r="C18" s="145" t="s">
        <v>433</v>
      </c>
      <c r="D18" s="145" t="s">
        <v>448</v>
      </c>
      <c r="E18" s="146" t="s">
        <v>449</v>
      </c>
      <c r="F18" s="173"/>
      <c r="G18" s="149"/>
      <c r="H18" s="149"/>
      <c r="I18" s="149"/>
      <c r="J18" s="149"/>
    </row>
    <row r="19" spans="1:10" s="125" customFormat="1" ht="41.1" customHeight="1" thickBot="1">
      <c r="A19" s="128"/>
      <c r="B19" s="194"/>
      <c r="C19" s="148" t="s">
        <v>436</v>
      </c>
      <c r="D19" s="147" t="s">
        <v>450</v>
      </c>
      <c r="E19" s="147" t="s">
        <v>451</v>
      </c>
      <c r="F19" s="173"/>
      <c r="G19" s="149"/>
      <c r="H19" s="149"/>
      <c r="I19" s="149"/>
      <c r="J19" s="149"/>
    </row>
    <row r="20" spans="1:10" s="125" customFormat="1">
      <c r="A20" s="128"/>
      <c r="B20" s="138"/>
      <c r="C20" s="138"/>
      <c r="D20" s="138"/>
      <c r="E20" s="138"/>
      <c r="F20" s="173"/>
      <c r="G20" s="149"/>
      <c r="H20" s="149"/>
      <c r="I20" s="149"/>
      <c r="J20" s="149"/>
    </row>
    <row r="21" spans="1:10" s="125" customFormat="1" ht="26.25">
      <c r="A21" s="174"/>
      <c r="B21" s="175" t="s">
        <v>454</v>
      </c>
      <c r="C21" s="126"/>
      <c r="D21" s="126"/>
      <c r="E21" s="126"/>
      <c r="F21" s="173"/>
      <c r="G21" s="149"/>
      <c r="H21" s="149"/>
      <c r="I21" s="149"/>
      <c r="J21" s="149"/>
    </row>
    <row r="22" spans="1:10" s="125" customFormat="1">
      <c r="A22" s="128"/>
      <c r="B22" s="170"/>
      <c r="C22" s="171"/>
      <c r="D22" s="171"/>
      <c r="E22" s="172"/>
      <c r="F22" s="173"/>
      <c r="G22" s="149"/>
      <c r="H22" s="149"/>
      <c r="I22" s="149"/>
      <c r="J22" s="149"/>
    </row>
    <row r="23" spans="1:10" ht="161.1" customHeight="1">
      <c r="A23" s="128"/>
      <c r="B23" s="150" t="s">
        <v>424</v>
      </c>
      <c r="C23" s="151" t="s">
        <v>425</v>
      </c>
      <c r="D23" s="152" t="s">
        <v>426</v>
      </c>
      <c r="E23" s="153" t="s">
        <v>427</v>
      </c>
      <c r="F23" s="131"/>
    </row>
    <row r="24" spans="1:10" ht="24.95" customHeight="1">
      <c r="A24" s="128"/>
      <c r="B24" s="195" t="s">
        <v>460</v>
      </c>
      <c r="C24" s="154" t="s">
        <v>428</v>
      </c>
      <c r="D24" s="155" t="s">
        <v>429</v>
      </c>
      <c r="E24" s="156" t="s">
        <v>430</v>
      </c>
      <c r="F24" s="131"/>
    </row>
    <row r="25" spans="1:10" ht="24.95" customHeight="1">
      <c r="A25" s="128"/>
      <c r="B25" s="196"/>
      <c r="C25" s="157" t="s">
        <v>431</v>
      </c>
      <c r="D25" s="158" t="s">
        <v>432</v>
      </c>
      <c r="E25" s="159" t="s">
        <v>433</v>
      </c>
      <c r="F25" s="131"/>
    </row>
    <row r="26" spans="1:10" ht="24.95" customHeight="1">
      <c r="A26" s="128"/>
      <c r="B26" s="196"/>
      <c r="C26" s="160" t="s">
        <v>434</v>
      </c>
      <c r="D26" s="161" t="s">
        <v>435</v>
      </c>
      <c r="E26" s="162" t="s">
        <v>436</v>
      </c>
      <c r="F26" s="131"/>
    </row>
    <row r="27" spans="1:10" ht="15.95" customHeight="1">
      <c r="A27" s="128"/>
      <c r="B27" s="196"/>
      <c r="C27" s="163" t="s">
        <v>138</v>
      </c>
      <c r="D27" s="164" t="s">
        <v>139</v>
      </c>
      <c r="E27" s="165" t="s">
        <v>452</v>
      </c>
      <c r="F27" s="131"/>
    </row>
    <row r="28" spans="1:10" ht="15.95" customHeight="1">
      <c r="A28" s="128"/>
      <c r="B28" s="196"/>
      <c r="C28" s="163" t="s">
        <v>89</v>
      </c>
      <c r="D28" s="164" t="s">
        <v>140</v>
      </c>
      <c r="E28" s="165"/>
      <c r="F28" s="131"/>
    </row>
    <row r="29" spans="1:10" ht="15.95" customHeight="1">
      <c r="A29" s="128"/>
      <c r="B29" s="196"/>
      <c r="C29" s="163" t="s">
        <v>80</v>
      </c>
      <c r="D29" s="164" t="s">
        <v>104</v>
      </c>
      <c r="E29" s="165"/>
      <c r="F29" s="131"/>
    </row>
    <row r="30" spans="1:10" ht="15.95" customHeight="1">
      <c r="A30" s="128"/>
      <c r="B30" s="196"/>
      <c r="C30" s="163" t="s">
        <v>106</v>
      </c>
      <c r="D30" s="164" t="s">
        <v>71</v>
      </c>
      <c r="E30" s="165"/>
      <c r="F30" s="131"/>
    </row>
    <row r="31" spans="1:10" ht="15.95" customHeight="1">
      <c r="A31" s="128"/>
      <c r="B31" s="196"/>
      <c r="C31" s="163" t="s">
        <v>96</v>
      </c>
      <c r="D31" s="164" t="s">
        <v>128</v>
      </c>
      <c r="E31" s="165"/>
      <c r="F31" s="131"/>
    </row>
    <row r="32" spans="1:10" ht="15.95" customHeight="1">
      <c r="A32" s="128"/>
      <c r="B32" s="196"/>
      <c r="C32" s="163" t="s">
        <v>153</v>
      </c>
      <c r="D32" s="164" t="s">
        <v>109</v>
      </c>
      <c r="E32" s="165"/>
      <c r="F32" s="131"/>
    </row>
    <row r="33" spans="1:10" ht="15.95" customHeight="1">
      <c r="A33" s="128"/>
      <c r="B33" s="196"/>
      <c r="C33" s="163" t="s">
        <v>68</v>
      </c>
      <c r="D33" s="164" t="s">
        <v>110</v>
      </c>
      <c r="E33" s="165"/>
      <c r="F33" s="131"/>
    </row>
    <row r="34" spans="1:10" ht="15.95" customHeight="1">
      <c r="A34" s="128"/>
      <c r="B34" s="196"/>
      <c r="C34" s="163" t="s">
        <v>43</v>
      </c>
      <c r="D34" s="164" t="s">
        <v>118</v>
      </c>
      <c r="E34" s="165"/>
      <c r="F34" s="131"/>
    </row>
    <row r="35" spans="1:10" ht="15.95" customHeight="1">
      <c r="A35" s="128"/>
      <c r="B35" s="196"/>
      <c r="C35" s="163" t="s">
        <v>82</v>
      </c>
      <c r="D35" s="164" t="s">
        <v>133</v>
      </c>
      <c r="E35" s="165"/>
      <c r="F35" s="131"/>
      <c r="G35" s="138"/>
      <c r="H35" s="138"/>
      <c r="I35" s="138"/>
      <c r="J35" s="138"/>
    </row>
    <row r="36" spans="1:10" ht="15.95" customHeight="1">
      <c r="A36" s="128"/>
      <c r="B36" s="196"/>
      <c r="C36" s="163" t="s">
        <v>73</v>
      </c>
      <c r="D36" s="164" t="s">
        <v>102</v>
      </c>
      <c r="E36" s="165"/>
      <c r="F36" s="131"/>
    </row>
    <row r="37" spans="1:10" ht="15.95" customHeight="1">
      <c r="A37" s="128"/>
      <c r="B37" s="196"/>
      <c r="C37" s="163" t="s">
        <v>98</v>
      </c>
      <c r="D37" s="164" t="s">
        <v>125</v>
      </c>
      <c r="E37" s="165"/>
      <c r="F37" s="131"/>
    </row>
    <row r="38" spans="1:10" ht="15.95" customHeight="1">
      <c r="A38" s="128"/>
      <c r="B38" s="196"/>
      <c r="C38" s="163" t="s">
        <v>124</v>
      </c>
      <c r="D38" s="164" t="s">
        <v>132</v>
      </c>
      <c r="E38" s="165"/>
      <c r="F38" s="131"/>
    </row>
    <row r="39" spans="1:10" ht="15.95" customHeight="1">
      <c r="A39" s="128"/>
      <c r="B39" s="196"/>
      <c r="C39" s="163" t="s">
        <v>53</v>
      </c>
      <c r="D39" s="164"/>
      <c r="E39" s="165"/>
      <c r="F39" s="131"/>
    </row>
    <row r="40" spans="1:10" ht="15.95" customHeight="1">
      <c r="A40" s="128"/>
      <c r="B40" s="196"/>
      <c r="C40" s="163" t="s">
        <v>150</v>
      </c>
      <c r="D40" s="164"/>
      <c r="E40" s="165"/>
      <c r="F40" s="131"/>
    </row>
    <row r="41" spans="1:10" ht="15.95" customHeight="1">
      <c r="A41" s="128"/>
      <c r="B41" s="196"/>
      <c r="C41" s="163" t="s">
        <v>47</v>
      </c>
      <c r="D41" s="164"/>
      <c r="E41" s="165"/>
      <c r="F41" s="131"/>
    </row>
    <row r="42" spans="1:10" ht="15.95" customHeight="1">
      <c r="A42" s="128"/>
      <c r="B42" s="196"/>
      <c r="C42" s="163" t="s">
        <v>60</v>
      </c>
      <c r="D42" s="164"/>
      <c r="E42" s="165"/>
      <c r="F42" s="131"/>
    </row>
    <row r="43" spans="1:10" ht="15.95" customHeight="1">
      <c r="A43" s="128"/>
      <c r="B43" s="196"/>
      <c r="C43" s="163" t="s">
        <v>100</v>
      </c>
      <c r="D43" s="164"/>
      <c r="E43" s="165"/>
      <c r="F43" s="131"/>
    </row>
    <row r="44" spans="1:10" ht="15.95" customHeight="1">
      <c r="A44" s="128"/>
      <c r="B44" s="196"/>
      <c r="C44" s="163" t="s">
        <v>105</v>
      </c>
      <c r="D44" s="164"/>
      <c r="E44" s="165"/>
      <c r="F44" s="131"/>
    </row>
    <row r="45" spans="1:10" ht="15.95" customHeight="1">
      <c r="A45" s="128"/>
      <c r="B45" s="196"/>
      <c r="C45" s="163" t="s">
        <v>55</v>
      </c>
      <c r="D45" s="164"/>
      <c r="E45" s="165"/>
      <c r="F45" s="131"/>
    </row>
    <row r="46" spans="1:10" ht="15.95" customHeight="1">
      <c r="A46" s="128"/>
      <c r="B46" s="196"/>
      <c r="C46" s="163" t="s">
        <v>91</v>
      </c>
      <c r="D46" s="164"/>
      <c r="E46" s="165"/>
      <c r="F46" s="131"/>
    </row>
    <row r="47" spans="1:10" ht="15.95" customHeight="1">
      <c r="A47" s="128"/>
      <c r="B47" s="196"/>
      <c r="C47" s="163" t="s">
        <v>129</v>
      </c>
      <c r="D47" s="164"/>
      <c r="E47" s="165"/>
      <c r="F47" s="131"/>
    </row>
    <row r="48" spans="1:10" ht="15.95" customHeight="1">
      <c r="A48" s="128"/>
      <c r="B48" s="196"/>
      <c r="C48" s="163" t="s">
        <v>51</v>
      </c>
      <c r="D48" s="164"/>
      <c r="E48" s="165"/>
      <c r="F48" s="131"/>
    </row>
    <row r="49" spans="1:6" ht="15.95" customHeight="1">
      <c r="A49" s="128"/>
      <c r="B49" s="196"/>
      <c r="C49" s="163" t="s">
        <v>93</v>
      </c>
      <c r="D49" s="164"/>
      <c r="E49" s="165"/>
      <c r="F49" s="131"/>
    </row>
    <row r="50" spans="1:6" ht="15.95" customHeight="1">
      <c r="A50" s="128"/>
      <c r="B50" s="196"/>
      <c r="C50" s="163" t="s">
        <v>143</v>
      </c>
      <c r="D50" s="164"/>
      <c r="E50" s="165"/>
      <c r="F50" s="131"/>
    </row>
    <row r="51" spans="1:6" ht="15.95" customHeight="1">
      <c r="A51" s="128"/>
      <c r="B51" s="196"/>
      <c r="C51" s="163" t="s">
        <v>99</v>
      </c>
      <c r="D51" s="164"/>
      <c r="E51" s="165"/>
      <c r="F51" s="131"/>
    </row>
    <row r="52" spans="1:6" ht="15.95" customHeight="1">
      <c r="A52" s="128"/>
      <c r="B52" s="196"/>
      <c r="C52" s="163" t="s">
        <v>117</v>
      </c>
      <c r="D52" s="164"/>
      <c r="E52" s="165"/>
      <c r="F52" s="131"/>
    </row>
    <row r="53" spans="1:6" ht="15.95" customHeight="1">
      <c r="A53" s="128"/>
      <c r="B53" s="196"/>
      <c r="C53" s="163" t="s">
        <v>115</v>
      </c>
      <c r="D53" s="164"/>
      <c r="E53" s="165"/>
      <c r="F53" s="131"/>
    </row>
    <row r="54" spans="1:6" ht="15.95" customHeight="1">
      <c r="A54" s="128"/>
      <c r="B54" s="196"/>
      <c r="C54" s="163" t="s">
        <v>56</v>
      </c>
      <c r="D54" s="164"/>
      <c r="E54" s="165"/>
      <c r="F54" s="131"/>
    </row>
    <row r="55" spans="1:6" ht="15.95" customHeight="1">
      <c r="A55" s="128"/>
      <c r="B55" s="196"/>
      <c r="C55" s="163" t="s">
        <v>48</v>
      </c>
      <c r="D55" s="164"/>
      <c r="E55" s="165"/>
      <c r="F55" s="131"/>
    </row>
    <row r="56" spans="1:6" ht="15.95" customHeight="1">
      <c r="A56" s="128"/>
      <c r="B56" s="196"/>
      <c r="C56" s="163" t="s">
        <v>126</v>
      </c>
      <c r="D56" s="164"/>
      <c r="E56" s="165"/>
      <c r="F56" s="131"/>
    </row>
    <row r="57" spans="1:6" ht="15.95" customHeight="1">
      <c r="A57" s="128"/>
      <c r="B57" s="197"/>
      <c r="C57" s="166" t="s">
        <v>146</v>
      </c>
      <c r="D57" s="167"/>
      <c r="E57" s="168"/>
      <c r="F57" s="131"/>
    </row>
    <row r="58" spans="1:6" ht="15.95" customHeight="1">
      <c r="A58" s="128"/>
      <c r="B58" s="169"/>
      <c r="C58" s="169"/>
      <c r="D58" s="169"/>
      <c r="E58" s="169"/>
      <c r="F58" s="131"/>
    </row>
    <row r="59" spans="1:6" ht="24.95" customHeight="1">
      <c r="A59" s="128"/>
      <c r="B59" s="198" t="s">
        <v>461</v>
      </c>
      <c r="C59" s="154" t="s">
        <v>437</v>
      </c>
      <c r="D59" s="155" t="s">
        <v>438</v>
      </c>
      <c r="E59" s="156" t="s">
        <v>439</v>
      </c>
      <c r="F59" s="131"/>
    </row>
    <row r="60" spans="1:6" ht="24.95" customHeight="1">
      <c r="A60" s="128"/>
      <c r="B60" s="199"/>
      <c r="C60" s="157" t="s">
        <v>440</v>
      </c>
      <c r="D60" s="158" t="s">
        <v>441</v>
      </c>
      <c r="E60" s="159" t="s">
        <v>442</v>
      </c>
      <c r="F60" s="131"/>
    </row>
    <row r="61" spans="1:6" ht="24.95" customHeight="1">
      <c r="A61" s="128"/>
      <c r="B61" s="199"/>
      <c r="C61" s="160" t="s">
        <v>443</v>
      </c>
      <c r="D61" s="161" t="s">
        <v>444</v>
      </c>
      <c r="E61" s="162" t="s">
        <v>445</v>
      </c>
      <c r="F61" s="131"/>
    </row>
    <row r="62" spans="1:6" ht="15.95" customHeight="1">
      <c r="A62" s="128"/>
      <c r="B62" s="199"/>
      <c r="C62" s="163" t="s">
        <v>18</v>
      </c>
      <c r="D62" s="164" t="s">
        <v>35</v>
      </c>
      <c r="E62" s="165" t="s">
        <v>103</v>
      </c>
      <c r="F62" s="131"/>
    </row>
    <row r="63" spans="1:6" ht="15.95" customHeight="1">
      <c r="A63" s="128"/>
      <c r="B63" s="199"/>
      <c r="C63" s="163" t="s">
        <v>14</v>
      </c>
      <c r="D63" s="164" t="s">
        <v>63</v>
      </c>
      <c r="E63" s="165" t="s">
        <v>134</v>
      </c>
      <c r="F63" s="131"/>
    </row>
    <row r="64" spans="1:6" ht="15.95" customHeight="1">
      <c r="A64" s="128"/>
      <c r="B64" s="199"/>
      <c r="C64" s="163" t="s">
        <v>41</v>
      </c>
      <c r="D64" s="164" t="s">
        <v>46</v>
      </c>
      <c r="E64" s="165" t="s">
        <v>122</v>
      </c>
      <c r="F64" s="131"/>
    </row>
    <row r="65" spans="1:6" ht="15.95" customHeight="1">
      <c r="A65" s="128"/>
      <c r="B65" s="199"/>
      <c r="C65" s="163" t="s">
        <v>6</v>
      </c>
      <c r="D65" s="164" t="s">
        <v>78</v>
      </c>
      <c r="E65" s="165" t="s">
        <v>108</v>
      </c>
      <c r="F65" s="131"/>
    </row>
    <row r="66" spans="1:6" ht="15.95" customHeight="1">
      <c r="A66" s="128"/>
      <c r="B66" s="199"/>
      <c r="C66" s="163" t="s">
        <v>22</v>
      </c>
      <c r="D66" s="164" t="s">
        <v>21</v>
      </c>
      <c r="E66" s="165" t="s">
        <v>69</v>
      </c>
      <c r="F66" s="131"/>
    </row>
    <row r="67" spans="1:6" ht="15.95" customHeight="1">
      <c r="A67" s="128"/>
      <c r="B67" s="199"/>
      <c r="C67" s="163" t="s">
        <v>23</v>
      </c>
      <c r="D67" s="164" t="s">
        <v>7</v>
      </c>
      <c r="E67" s="165" t="s">
        <v>92</v>
      </c>
      <c r="F67" s="131"/>
    </row>
    <row r="68" spans="1:6" ht="15.95" customHeight="1">
      <c r="A68" s="128"/>
      <c r="B68" s="199"/>
      <c r="C68" s="163" t="s">
        <v>30</v>
      </c>
      <c r="D68" s="164" t="s">
        <v>79</v>
      </c>
      <c r="E68" s="165" t="s">
        <v>131</v>
      </c>
      <c r="F68" s="131"/>
    </row>
    <row r="69" spans="1:6" ht="15.95" customHeight="1">
      <c r="A69" s="128"/>
      <c r="B69" s="199"/>
      <c r="C69" s="163" t="s">
        <v>10</v>
      </c>
      <c r="D69" s="164" t="s">
        <v>37</v>
      </c>
      <c r="E69" s="165" t="s">
        <v>142</v>
      </c>
      <c r="F69" s="131"/>
    </row>
    <row r="70" spans="1:6" ht="15.95" customHeight="1">
      <c r="A70" s="128"/>
      <c r="B70" s="199"/>
      <c r="C70" s="163" t="s">
        <v>28</v>
      </c>
      <c r="D70" s="164" t="s">
        <v>65</v>
      </c>
      <c r="E70" s="165" t="s">
        <v>97</v>
      </c>
      <c r="F70" s="131"/>
    </row>
    <row r="71" spans="1:6" ht="15.95" customHeight="1">
      <c r="A71" s="128"/>
      <c r="B71" s="199"/>
      <c r="C71" s="163" t="s">
        <v>49</v>
      </c>
      <c r="D71" s="164" t="s">
        <v>70</v>
      </c>
      <c r="E71" s="165" t="s">
        <v>112</v>
      </c>
      <c r="F71" s="131"/>
    </row>
    <row r="72" spans="1:6" ht="15.95" customHeight="1">
      <c r="A72" s="128"/>
      <c r="B72" s="199"/>
      <c r="C72" s="163" t="s">
        <v>13</v>
      </c>
      <c r="D72" s="164" t="s">
        <v>90</v>
      </c>
      <c r="E72" s="165" t="s">
        <v>154</v>
      </c>
      <c r="F72" s="131"/>
    </row>
    <row r="73" spans="1:6" ht="15.95" customHeight="1">
      <c r="A73" s="128"/>
      <c r="B73" s="199"/>
      <c r="C73" s="163"/>
      <c r="D73" s="164" t="s">
        <v>123</v>
      </c>
      <c r="E73" s="165" t="s">
        <v>116</v>
      </c>
      <c r="F73" s="131"/>
    </row>
    <row r="74" spans="1:6" ht="15.95" customHeight="1">
      <c r="A74" s="128"/>
      <c r="B74" s="199"/>
      <c r="C74" s="163"/>
      <c r="D74" s="164" t="s">
        <v>36</v>
      </c>
      <c r="E74" s="165" t="s">
        <v>137</v>
      </c>
      <c r="F74" s="131"/>
    </row>
    <row r="75" spans="1:6" ht="15.95" customHeight="1">
      <c r="A75" s="128"/>
      <c r="B75" s="199"/>
      <c r="C75" s="163"/>
      <c r="D75" s="164" t="s">
        <v>33</v>
      </c>
      <c r="E75" s="165" t="s">
        <v>151</v>
      </c>
      <c r="F75" s="131"/>
    </row>
    <row r="76" spans="1:6" ht="15.95" customHeight="1">
      <c r="A76" s="128"/>
      <c r="B76" s="199"/>
      <c r="C76" s="163"/>
      <c r="D76" s="164" t="s">
        <v>20</v>
      </c>
      <c r="E76" s="165" t="s">
        <v>111</v>
      </c>
      <c r="F76" s="131"/>
    </row>
    <row r="77" spans="1:6" ht="15.95" customHeight="1">
      <c r="A77" s="128"/>
      <c r="B77" s="199"/>
      <c r="C77" s="163"/>
      <c r="D77" s="164" t="s">
        <v>87</v>
      </c>
      <c r="E77" s="165" t="s">
        <v>144</v>
      </c>
      <c r="F77" s="131"/>
    </row>
    <row r="78" spans="1:6" ht="15.95" customHeight="1">
      <c r="A78" s="128"/>
      <c r="B78" s="199"/>
      <c r="C78" s="163"/>
      <c r="D78" s="164" t="s">
        <v>61</v>
      </c>
      <c r="E78" s="165"/>
      <c r="F78" s="131"/>
    </row>
    <row r="79" spans="1:6" ht="15.95" customHeight="1">
      <c r="A79" s="128"/>
      <c r="B79" s="199"/>
      <c r="C79" s="163"/>
      <c r="D79" s="164" t="s">
        <v>72</v>
      </c>
      <c r="E79" s="165"/>
      <c r="F79" s="131"/>
    </row>
    <row r="80" spans="1:6" ht="15.95" customHeight="1">
      <c r="A80" s="128"/>
      <c r="B80" s="199"/>
      <c r="C80" s="163"/>
      <c r="D80" s="164" t="s">
        <v>107</v>
      </c>
      <c r="E80" s="165"/>
      <c r="F80" s="131"/>
    </row>
    <row r="81" spans="1:6" ht="15.95" customHeight="1">
      <c r="A81" s="128"/>
      <c r="B81" s="199"/>
      <c r="C81" s="163"/>
      <c r="D81" s="164" t="s">
        <v>24</v>
      </c>
      <c r="E81" s="165"/>
      <c r="F81" s="131"/>
    </row>
    <row r="82" spans="1:6" ht="15.95" customHeight="1">
      <c r="A82" s="128"/>
      <c r="B82" s="199"/>
      <c r="C82" s="163"/>
      <c r="D82" s="164" t="s">
        <v>39</v>
      </c>
      <c r="E82" s="165"/>
      <c r="F82" s="131"/>
    </row>
    <row r="83" spans="1:6" ht="15.95" customHeight="1">
      <c r="A83" s="128"/>
      <c r="B83" s="200"/>
      <c r="C83" s="166"/>
      <c r="D83" s="167" t="s">
        <v>50</v>
      </c>
      <c r="E83" s="168"/>
      <c r="F83" s="131"/>
    </row>
    <row r="84" spans="1:6" ht="15.95" customHeight="1">
      <c r="A84" s="128"/>
      <c r="B84" s="169"/>
      <c r="C84" s="169"/>
      <c r="D84" s="169"/>
      <c r="E84" s="169"/>
      <c r="F84" s="131"/>
    </row>
    <row r="85" spans="1:6" ht="24.95" customHeight="1">
      <c r="A85" s="128"/>
      <c r="B85" s="184" t="s">
        <v>462</v>
      </c>
      <c r="C85" s="157" t="s">
        <v>430</v>
      </c>
      <c r="D85" s="158" t="s">
        <v>446</v>
      </c>
      <c r="E85" s="159" t="s">
        <v>447</v>
      </c>
      <c r="F85" s="131"/>
    </row>
    <row r="86" spans="1:6" ht="24.95" customHeight="1">
      <c r="A86" s="128"/>
      <c r="B86" s="185"/>
      <c r="C86" s="157" t="s">
        <v>433</v>
      </c>
      <c r="D86" s="158" t="s">
        <v>448</v>
      </c>
      <c r="E86" s="159" t="s">
        <v>449</v>
      </c>
      <c r="F86" s="131"/>
    </row>
    <row r="87" spans="1:6" ht="24.95" customHeight="1">
      <c r="A87" s="128"/>
      <c r="B87" s="185"/>
      <c r="C87" s="157" t="s">
        <v>436</v>
      </c>
      <c r="D87" s="161" t="s">
        <v>450</v>
      </c>
      <c r="E87" s="162" t="s">
        <v>451</v>
      </c>
      <c r="F87" s="131"/>
    </row>
    <row r="88" spans="1:6" ht="15.95" customHeight="1">
      <c r="A88" s="128"/>
      <c r="B88" s="185"/>
      <c r="C88" s="163" t="s">
        <v>452</v>
      </c>
      <c r="D88" s="164" t="s">
        <v>26</v>
      </c>
      <c r="E88" s="165" t="s">
        <v>45</v>
      </c>
      <c r="F88" s="131"/>
    </row>
    <row r="89" spans="1:6" ht="15.95" customHeight="1">
      <c r="A89" s="128"/>
      <c r="B89" s="185"/>
      <c r="C89" s="163"/>
      <c r="D89" s="164" t="s">
        <v>5</v>
      </c>
      <c r="E89" s="165" t="s">
        <v>119</v>
      </c>
      <c r="F89" s="131"/>
    </row>
    <row r="90" spans="1:6" ht="15.95" customHeight="1">
      <c r="A90" s="128"/>
      <c r="B90" s="185"/>
      <c r="C90" s="163"/>
      <c r="D90" s="164" t="s">
        <v>4</v>
      </c>
      <c r="E90" s="165" t="s">
        <v>88</v>
      </c>
      <c r="F90" s="131"/>
    </row>
    <row r="91" spans="1:6" ht="15.95" customHeight="1">
      <c r="A91" s="128"/>
      <c r="B91" s="185"/>
      <c r="C91" s="163"/>
      <c r="D91" s="164" t="s">
        <v>17</v>
      </c>
      <c r="E91" s="165" t="s">
        <v>149</v>
      </c>
      <c r="F91" s="131"/>
    </row>
    <row r="92" spans="1:6" ht="15.95" customHeight="1">
      <c r="A92" s="128"/>
      <c r="B92" s="185"/>
      <c r="C92" s="163"/>
      <c r="D92" s="164" t="s">
        <v>8</v>
      </c>
      <c r="E92" s="165" t="s">
        <v>120</v>
      </c>
      <c r="F92" s="131"/>
    </row>
    <row r="93" spans="1:6" ht="15.95" customHeight="1">
      <c r="A93" s="128"/>
      <c r="B93" s="185"/>
      <c r="C93" s="163"/>
      <c r="D93" s="164" t="s">
        <v>9</v>
      </c>
      <c r="E93" s="165" t="s">
        <v>66</v>
      </c>
      <c r="F93" s="131"/>
    </row>
    <row r="94" spans="1:6" ht="15.95" customHeight="1">
      <c r="A94" s="128"/>
      <c r="B94" s="185"/>
      <c r="C94" s="163"/>
      <c r="D94" s="164" t="s">
        <v>38</v>
      </c>
      <c r="E94" s="165" t="s">
        <v>130</v>
      </c>
      <c r="F94" s="131"/>
    </row>
    <row r="95" spans="1:6" ht="15.95" customHeight="1">
      <c r="A95" s="128"/>
      <c r="B95" s="185"/>
      <c r="C95" s="163"/>
      <c r="D95" s="164" t="s">
        <v>27</v>
      </c>
      <c r="E95" s="165" t="s">
        <v>86</v>
      </c>
      <c r="F95" s="131"/>
    </row>
    <row r="96" spans="1:6" ht="15.95" customHeight="1">
      <c r="A96" s="128"/>
      <c r="B96" s="185"/>
      <c r="C96" s="163"/>
      <c r="D96" s="164" t="s">
        <v>12</v>
      </c>
      <c r="E96" s="165" t="s">
        <v>58</v>
      </c>
      <c r="F96" s="131"/>
    </row>
    <row r="97" spans="1:6" ht="15.95" customHeight="1">
      <c r="A97" s="128"/>
      <c r="B97" s="185"/>
      <c r="C97" s="163"/>
      <c r="D97" s="164" t="s">
        <v>19</v>
      </c>
      <c r="E97" s="165" t="s">
        <v>83</v>
      </c>
      <c r="F97" s="131"/>
    </row>
    <row r="98" spans="1:6" ht="15.95" customHeight="1">
      <c r="A98" s="128"/>
      <c r="B98" s="185"/>
      <c r="C98" s="163"/>
      <c r="D98" s="164" t="s">
        <v>31</v>
      </c>
      <c r="E98" s="165" t="s">
        <v>101</v>
      </c>
      <c r="F98" s="131"/>
    </row>
    <row r="99" spans="1:6" ht="15.95" customHeight="1">
      <c r="A99" s="128"/>
      <c r="B99" s="185"/>
      <c r="C99" s="163"/>
      <c r="D99" s="164" t="s">
        <v>32</v>
      </c>
      <c r="E99" s="165" t="s">
        <v>141</v>
      </c>
      <c r="F99" s="131"/>
    </row>
    <row r="100" spans="1:6" ht="15.95" customHeight="1">
      <c r="A100" s="128"/>
      <c r="B100" s="185"/>
      <c r="C100" s="163"/>
      <c r="D100" s="164" t="s">
        <v>16</v>
      </c>
      <c r="E100" s="165" t="s">
        <v>57</v>
      </c>
      <c r="F100" s="131"/>
    </row>
    <row r="101" spans="1:6" ht="15.95" customHeight="1">
      <c r="A101" s="128"/>
      <c r="B101" s="185"/>
      <c r="C101" s="163"/>
      <c r="D101" s="164" t="s">
        <v>11</v>
      </c>
      <c r="E101" s="165" t="s">
        <v>44</v>
      </c>
      <c r="F101" s="131"/>
    </row>
    <row r="102" spans="1:6" ht="15.95" customHeight="1">
      <c r="A102" s="128"/>
      <c r="B102" s="185"/>
      <c r="C102" s="163"/>
      <c r="D102" s="164"/>
      <c r="E102" s="165" t="s">
        <v>40</v>
      </c>
      <c r="F102" s="131"/>
    </row>
    <row r="103" spans="1:6" ht="15.95" customHeight="1">
      <c r="A103" s="128"/>
      <c r="B103" s="185"/>
      <c r="C103" s="163"/>
      <c r="D103" s="164"/>
      <c r="E103" s="165" t="s">
        <v>64</v>
      </c>
      <c r="F103" s="131"/>
    </row>
    <row r="104" spans="1:6" ht="15.95" customHeight="1">
      <c r="A104" s="128"/>
      <c r="B104" s="185"/>
      <c r="C104" s="163"/>
      <c r="D104" s="164"/>
      <c r="E104" s="165" t="s">
        <v>147</v>
      </c>
      <c r="F104" s="131"/>
    </row>
    <row r="105" spans="1:6" ht="15.95" customHeight="1">
      <c r="A105" s="128"/>
      <c r="B105" s="185"/>
      <c r="C105" s="163"/>
      <c r="D105" s="164"/>
      <c r="E105" s="165" t="s">
        <v>85</v>
      </c>
      <c r="F105" s="131"/>
    </row>
    <row r="106" spans="1:6" ht="15.95" customHeight="1">
      <c r="A106" s="128"/>
      <c r="B106" s="185"/>
      <c r="C106" s="163"/>
      <c r="D106" s="164"/>
      <c r="E106" s="165" t="s">
        <v>81</v>
      </c>
      <c r="F106" s="131"/>
    </row>
    <row r="107" spans="1:6" ht="15.95" customHeight="1">
      <c r="A107" s="128"/>
      <c r="B107" s="185"/>
      <c r="C107" s="163"/>
      <c r="D107" s="164"/>
      <c r="E107" s="165" t="s">
        <v>54</v>
      </c>
      <c r="F107" s="131"/>
    </row>
    <row r="108" spans="1:6" ht="15.95" customHeight="1">
      <c r="A108" s="128"/>
      <c r="B108" s="185"/>
      <c r="C108" s="163"/>
      <c r="D108" s="164"/>
      <c r="E108" s="165" t="s">
        <v>74</v>
      </c>
      <c r="F108" s="131"/>
    </row>
    <row r="109" spans="1:6" ht="15.95" customHeight="1">
      <c r="A109" s="128"/>
      <c r="B109" s="185"/>
      <c r="C109" s="163"/>
      <c r="D109" s="164"/>
      <c r="E109" s="165" t="s">
        <v>52</v>
      </c>
      <c r="F109" s="131"/>
    </row>
    <row r="110" spans="1:6" ht="15.95" customHeight="1">
      <c r="A110" s="128"/>
      <c r="B110" s="185"/>
      <c r="C110" s="163"/>
      <c r="D110" s="164"/>
      <c r="E110" s="165" t="s">
        <v>75</v>
      </c>
      <c r="F110" s="131"/>
    </row>
    <row r="111" spans="1:6" ht="15.95" customHeight="1">
      <c r="A111" s="128"/>
      <c r="B111" s="185"/>
      <c r="C111" s="163"/>
      <c r="D111" s="164"/>
      <c r="E111" s="165" t="s">
        <v>148</v>
      </c>
      <c r="F111" s="131"/>
    </row>
    <row r="112" spans="1:6" ht="15.95" customHeight="1">
      <c r="A112" s="128"/>
      <c r="B112" s="185"/>
      <c r="C112" s="163"/>
      <c r="D112" s="164"/>
      <c r="E112" s="165" t="s">
        <v>135</v>
      </c>
      <c r="F112" s="131"/>
    </row>
    <row r="113" spans="1:6" ht="15.95" customHeight="1">
      <c r="A113" s="128"/>
      <c r="B113" s="185"/>
      <c r="C113" s="163"/>
      <c r="D113" s="164"/>
      <c r="E113" s="165" t="s">
        <v>152</v>
      </c>
      <c r="F113" s="131"/>
    </row>
    <row r="114" spans="1:6" ht="15.95" customHeight="1">
      <c r="A114" s="128"/>
      <c r="B114" s="185"/>
      <c r="C114" s="163"/>
      <c r="D114" s="164"/>
      <c r="E114" s="165" t="s">
        <v>113</v>
      </c>
      <c r="F114" s="131"/>
    </row>
    <row r="115" spans="1:6" ht="15.95" customHeight="1">
      <c r="A115" s="128"/>
      <c r="B115" s="185"/>
      <c r="C115" s="163"/>
      <c r="D115" s="164"/>
      <c r="E115" s="165" t="s">
        <v>34</v>
      </c>
      <c r="F115" s="131"/>
    </row>
    <row r="116" spans="1:6" ht="15.95" customHeight="1">
      <c r="A116" s="128"/>
      <c r="B116" s="185"/>
      <c r="C116" s="163"/>
      <c r="D116" s="164"/>
      <c r="E116" s="165" t="s">
        <v>25</v>
      </c>
      <c r="F116" s="131"/>
    </row>
    <row r="117" spans="1:6" ht="15.95" customHeight="1">
      <c r="A117" s="128"/>
      <c r="B117" s="185"/>
      <c r="C117" s="163"/>
      <c r="D117" s="164"/>
      <c r="E117" s="165" t="s">
        <v>59</v>
      </c>
      <c r="F117" s="131"/>
    </row>
    <row r="118" spans="1:6" ht="15.95" customHeight="1">
      <c r="A118" s="128"/>
      <c r="B118" s="185"/>
      <c r="C118" s="163"/>
      <c r="D118" s="164"/>
      <c r="E118" s="165" t="s">
        <v>94</v>
      </c>
      <c r="F118" s="131"/>
    </row>
    <row r="119" spans="1:6" ht="15.95" customHeight="1">
      <c r="A119" s="128"/>
      <c r="B119" s="185"/>
      <c r="C119" s="163"/>
      <c r="D119" s="164"/>
      <c r="E119" s="165" t="s">
        <v>84</v>
      </c>
      <c r="F119" s="131"/>
    </row>
    <row r="120" spans="1:6" ht="15.95" customHeight="1">
      <c r="A120" s="128"/>
      <c r="B120" s="185"/>
      <c r="C120" s="163"/>
      <c r="D120" s="164"/>
      <c r="E120" s="165" t="s">
        <v>155</v>
      </c>
      <c r="F120" s="131"/>
    </row>
    <row r="121" spans="1:6" ht="15.95" customHeight="1">
      <c r="A121" s="128"/>
      <c r="B121" s="185"/>
      <c r="C121" s="163"/>
      <c r="D121" s="164"/>
      <c r="E121" s="165" t="s">
        <v>77</v>
      </c>
      <c r="F121" s="131"/>
    </row>
    <row r="122" spans="1:6" ht="15.95" customHeight="1">
      <c r="A122" s="128"/>
      <c r="B122" s="185"/>
      <c r="C122" s="163"/>
      <c r="D122" s="164"/>
      <c r="E122" s="165" t="s">
        <v>121</v>
      </c>
      <c r="F122" s="131"/>
    </row>
    <row r="123" spans="1:6" ht="15.95" customHeight="1">
      <c r="A123" s="128"/>
      <c r="B123" s="185"/>
      <c r="C123" s="163"/>
      <c r="D123" s="164"/>
      <c r="E123" s="165" t="s">
        <v>95</v>
      </c>
      <c r="F123" s="131"/>
    </row>
    <row r="124" spans="1:6" ht="15.95" customHeight="1">
      <c r="A124" s="128"/>
      <c r="B124" s="185"/>
      <c r="C124" s="163"/>
      <c r="D124" s="164"/>
      <c r="E124" s="165" t="s">
        <v>76</v>
      </c>
      <c r="F124" s="131"/>
    </row>
    <row r="125" spans="1:6" ht="15.95" customHeight="1">
      <c r="A125" s="128"/>
      <c r="B125" s="185"/>
      <c r="C125" s="163"/>
      <c r="D125" s="164"/>
      <c r="E125" s="165" t="s">
        <v>67</v>
      </c>
      <c r="F125" s="131"/>
    </row>
    <row r="126" spans="1:6" ht="15.95" customHeight="1">
      <c r="A126" s="128"/>
      <c r="B126" s="185"/>
      <c r="C126" s="163"/>
      <c r="D126" s="164"/>
      <c r="E126" s="165" t="s">
        <v>127</v>
      </c>
      <c r="F126" s="131"/>
    </row>
    <row r="127" spans="1:6" ht="15.95" customHeight="1">
      <c r="A127" s="128"/>
      <c r="B127" s="185"/>
      <c r="C127" s="163"/>
      <c r="D127" s="164"/>
      <c r="E127" s="165" t="s">
        <v>42</v>
      </c>
      <c r="F127" s="131"/>
    </row>
    <row r="128" spans="1:6" ht="15.95" customHeight="1">
      <c r="A128" s="128"/>
      <c r="B128" s="185"/>
      <c r="C128" s="163"/>
      <c r="D128" s="164"/>
      <c r="E128" s="165" t="s">
        <v>62</v>
      </c>
      <c r="F128" s="131"/>
    </row>
    <row r="129" spans="1:6" ht="15.95" customHeight="1">
      <c r="A129" s="128"/>
      <c r="B129" s="185"/>
      <c r="C129" s="163"/>
      <c r="D129" s="164"/>
      <c r="E129" s="165" t="s">
        <v>15</v>
      </c>
      <c r="F129" s="131"/>
    </row>
    <row r="130" spans="1:6" ht="15.95" customHeight="1">
      <c r="A130" s="128"/>
      <c r="B130" s="185"/>
      <c r="C130" s="163"/>
      <c r="D130" s="164"/>
      <c r="E130" s="165" t="s">
        <v>114</v>
      </c>
      <c r="F130" s="131"/>
    </row>
    <row r="131" spans="1:6" ht="15.95" customHeight="1">
      <c r="A131" s="128"/>
      <c r="B131" s="185"/>
      <c r="C131" s="163"/>
      <c r="D131" s="164"/>
      <c r="E131" s="165" t="s">
        <v>145</v>
      </c>
      <c r="F131" s="131"/>
    </row>
    <row r="132" spans="1:6" ht="15.95" customHeight="1">
      <c r="A132" s="128"/>
      <c r="B132" s="185"/>
      <c r="C132" s="163"/>
      <c r="D132" s="164"/>
      <c r="E132" s="165" t="s">
        <v>29</v>
      </c>
      <c r="F132" s="131"/>
    </row>
    <row r="133" spans="1:6" ht="15.95" customHeight="1">
      <c r="A133" s="128"/>
      <c r="B133" s="186"/>
      <c r="C133" s="166"/>
      <c r="D133" s="167"/>
      <c r="E133" s="168" t="s">
        <v>136</v>
      </c>
      <c r="F133" s="131"/>
    </row>
    <row r="134" spans="1:6">
      <c r="B134" s="138"/>
      <c r="C134" s="138"/>
      <c r="D134" s="138"/>
      <c r="E134" s="138"/>
    </row>
    <row r="139" spans="1:6" ht="15.75" thickBot="1">
      <c r="B139" s="126"/>
      <c r="C139" s="126"/>
      <c r="D139" s="126"/>
      <c r="E139" s="126"/>
    </row>
    <row r="140" spans="1:6" ht="132" thickBot="1">
      <c r="A140" s="128"/>
      <c r="B140" s="139" t="s">
        <v>424</v>
      </c>
      <c r="C140" s="140" t="s">
        <v>425</v>
      </c>
      <c r="D140" s="141" t="s">
        <v>426</v>
      </c>
      <c r="E140" s="142" t="s">
        <v>427</v>
      </c>
      <c r="F140" s="131"/>
    </row>
    <row r="141" spans="1:6" ht="47.1" customHeight="1">
      <c r="A141" s="128"/>
      <c r="B141" s="187" t="s">
        <v>460</v>
      </c>
      <c r="C141" s="143" t="s">
        <v>428</v>
      </c>
      <c r="D141" s="143" t="s">
        <v>429</v>
      </c>
      <c r="E141" s="144" t="s">
        <v>430</v>
      </c>
      <c r="F141" s="131"/>
    </row>
    <row r="142" spans="1:6" ht="47.1" customHeight="1">
      <c r="A142" s="128"/>
      <c r="B142" s="188"/>
      <c r="C142" s="145" t="s">
        <v>431</v>
      </c>
      <c r="D142" s="145" t="s">
        <v>432</v>
      </c>
      <c r="E142" s="146" t="s">
        <v>433</v>
      </c>
      <c r="F142" s="131"/>
    </row>
    <row r="143" spans="1:6" ht="47.1" customHeight="1" thickBot="1">
      <c r="A143" s="128"/>
      <c r="B143" s="189"/>
      <c r="C143" s="147" t="s">
        <v>434</v>
      </c>
      <c r="D143" s="147" t="s">
        <v>435</v>
      </c>
      <c r="E143" s="147" t="s">
        <v>436</v>
      </c>
      <c r="F143" s="131"/>
    </row>
    <row r="144" spans="1:6" ht="47.1" customHeight="1">
      <c r="A144" s="128"/>
      <c r="B144" s="190" t="s">
        <v>461</v>
      </c>
      <c r="C144" s="143" t="s">
        <v>437</v>
      </c>
      <c r="D144" s="143" t="s">
        <v>438</v>
      </c>
      <c r="E144" s="144" t="s">
        <v>439</v>
      </c>
      <c r="F144" s="131"/>
    </row>
    <row r="145" spans="1:6" ht="47.1" customHeight="1">
      <c r="A145" s="128"/>
      <c r="B145" s="191"/>
      <c r="C145" s="145" t="s">
        <v>440</v>
      </c>
      <c r="D145" s="145" t="s">
        <v>441</v>
      </c>
      <c r="E145" s="146" t="s">
        <v>442</v>
      </c>
      <c r="F145" s="131"/>
    </row>
    <row r="146" spans="1:6" ht="47.1" customHeight="1" thickBot="1">
      <c r="A146" s="128"/>
      <c r="B146" s="191"/>
      <c r="C146" s="147" t="s">
        <v>443</v>
      </c>
      <c r="D146" s="147" t="s">
        <v>444</v>
      </c>
      <c r="E146" s="147" t="s">
        <v>445</v>
      </c>
      <c r="F146" s="131"/>
    </row>
    <row r="147" spans="1:6" ht="47.1" customHeight="1">
      <c r="A147" s="128"/>
      <c r="B147" s="192" t="s">
        <v>462</v>
      </c>
      <c r="C147" s="143" t="s">
        <v>430</v>
      </c>
      <c r="D147" s="143" t="s">
        <v>446</v>
      </c>
      <c r="E147" s="144" t="s">
        <v>447</v>
      </c>
      <c r="F147" s="131"/>
    </row>
    <row r="148" spans="1:6" ht="47.1" customHeight="1">
      <c r="A148" s="128"/>
      <c r="B148" s="193"/>
      <c r="C148" s="145" t="s">
        <v>433</v>
      </c>
      <c r="D148" s="145" t="s">
        <v>448</v>
      </c>
      <c r="E148" s="146" t="s">
        <v>449</v>
      </c>
      <c r="F148" s="131"/>
    </row>
    <row r="149" spans="1:6" ht="47.1" customHeight="1" thickBot="1">
      <c r="A149" s="128"/>
      <c r="B149" s="194"/>
      <c r="C149" s="148" t="s">
        <v>436</v>
      </c>
      <c r="D149" s="147" t="s">
        <v>450</v>
      </c>
      <c r="E149" s="147" t="s">
        <v>451</v>
      </c>
      <c r="F149" s="131"/>
    </row>
    <row r="150" spans="1:6">
      <c r="B150" s="138"/>
      <c r="C150" s="138"/>
      <c r="D150" s="138"/>
      <c r="E150" s="138"/>
    </row>
    <row r="151" spans="1:6">
      <c r="C151" s="126"/>
      <c r="D151" s="126"/>
      <c r="E151" s="126"/>
    </row>
  </sheetData>
  <mergeCells count="9">
    <mergeCell ref="B85:B133"/>
    <mergeCell ref="B141:B143"/>
    <mergeCell ref="B144:B146"/>
    <mergeCell ref="B147:B149"/>
    <mergeCell ref="B11:B13"/>
    <mergeCell ref="B14:B16"/>
    <mergeCell ref="B17:B19"/>
    <mergeCell ref="B24:B57"/>
    <mergeCell ref="B59:B83"/>
  </mergeCells>
  <phoneticPr fontId="4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C6"/>
  <sheetViews>
    <sheetView workbookViewId="0">
      <selection activeCell="H7" sqref="H7"/>
    </sheetView>
  </sheetViews>
  <sheetFormatPr defaultColWidth="8.875" defaultRowHeight="14.25"/>
  <cols>
    <col min="1" max="1" width="33.875" style="45" bestFit="1" customWidth="1"/>
    <col min="2" max="2" width="36.875" style="45" customWidth="1"/>
    <col min="3" max="3" width="103.25" style="45" customWidth="1"/>
    <col min="4" max="16384" width="8.875" style="45"/>
  </cols>
  <sheetData>
    <row r="1" spans="1:3" s="43" customFormat="1" ht="19.5">
      <c r="A1" s="44" t="s">
        <v>343</v>
      </c>
      <c r="B1" s="44" t="s">
        <v>349</v>
      </c>
      <c r="C1" s="44" t="s">
        <v>350</v>
      </c>
    </row>
    <row r="2" spans="1:3" ht="114">
      <c r="A2" s="46" t="s">
        <v>348</v>
      </c>
      <c r="B2" s="47" t="s">
        <v>0</v>
      </c>
      <c r="C2" s="48" t="s">
        <v>353</v>
      </c>
    </row>
    <row r="3" spans="1:3" ht="28.5">
      <c r="A3" s="46" t="s">
        <v>342</v>
      </c>
      <c r="B3" s="47" t="s">
        <v>351</v>
      </c>
      <c r="C3" s="47" t="s">
        <v>352</v>
      </c>
    </row>
    <row r="4" spans="1:3" ht="99.75">
      <c r="A4" s="46" t="s">
        <v>170</v>
      </c>
      <c r="B4" s="47" t="s">
        <v>1</v>
      </c>
      <c r="C4" s="47" t="s">
        <v>354</v>
      </c>
    </row>
    <row r="5" spans="1:3">
      <c r="A5" s="46" t="s">
        <v>158</v>
      </c>
      <c r="B5" s="47" t="s">
        <v>345</v>
      </c>
      <c r="C5" s="47"/>
    </row>
    <row r="6" spans="1:3">
      <c r="A6" s="46" t="s">
        <v>347</v>
      </c>
      <c r="B6" s="47" t="s">
        <v>346</v>
      </c>
      <c r="C6" s="47"/>
    </row>
  </sheetData>
  <phoneticPr fontId="4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75" defaultRowHeight="16.5"/>
  <cols>
    <col min="1" max="1" width="43.12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honeticPr fontId="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DOHYO JEONG</cp:lastModifiedBy>
  <dcterms:created xsi:type="dcterms:W3CDTF">2021-05-27T08:31:35Z</dcterms:created>
  <dcterms:modified xsi:type="dcterms:W3CDTF">2022-09-16T03:57:38Z</dcterms:modified>
</cp:coreProperties>
</file>