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/Documents/Econometrics/"/>
    </mc:Choice>
  </mc:AlternateContent>
  <xr:revisionPtr revIDLastSave="0" documentId="13_ncr:1_{2C15AF71-FC5A-784B-BC39-03CC9591C7C0}" xr6:coauthVersionLast="36" xr6:coauthVersionMax="36" xr10:uidLastSave="{00000000-0000-0000-0000-000000000000}"/>
  <bookViews>
    <workbookView xWindow="560" yWindow="2280" windowWidth="25800" windowHeight="11280" xr2:uid="{00000000-000D-0000-FFFF-FFFF00000000}"/>
  </bookViews>
  <sheets>
    <sheet name="kospi" sheetId="1" r:id="rId1"/>
    <sheet name="kosdaq" sheetId="2" r:id="rId2"/>
  </sheets>
  <calcPr calcId="181029"/>
</workbook>
</file>

<file path=xl/calcChain.xml><?xml version="1.0" encoding="utf-8"?>
<calcChain xmlns="http://schemas.openxmlformats.org/spreadsheetml/2006/main">
  <c r="I81" i="2" l="1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<sst xmlns="http://schemas.openxmlformats.org/spreadsheetml/2006/main" count="88" uniqueCount="64">
  <si>
    <t>index</t>
  </si>
  <si>
    <t>per</t>
  </si>
  <si>
    <t>IT</t>
  </si>
  <si>
    <t>전기차</t>
  </si>
  <si>
    <t>TIGER 200</t>
  </si>
  <si>
    <t>한국항공우주</t>
  </si>
  <si>
    <t>하이트진로</t>
  </si>
  <si>
    <t>한샘</t>
  </si>
  <si>
    <t>CJ</t>
  </si>
  <si>
    <t>제일기획</t>
  </si>
  <si>
    <t>BGF리테일</t>
  </si>
  <si>
    <t>신세계</t>
  </si>
  <si>
    <t>KODEX 200</t>
  </si>
  <si>
    <t>팬오션</t>
  </si>
  <si>
    <t>현대해상</t>
  </si>
  <si>
    <t>현대차우</t>
  </si>
  <si>
    <t>만도</t>
  </si>
  <si>
    <t>일진머티리얼즈</t>
  </si>
  <si>
    <t>종근당</t>
  </si>
  <si>
    <t>오뚜기</t>
  </si>
  <si>
    <t>KODEX 단기채권</t>
  </si>
  <si>
    <t>BNK금융지주</t>
  </si>
  <si>
    <t>한화</t>
  </si>
  <si>
    <t>LS</t>
  </si>
  <si>
    <t>티에스이</t>
  </si>
  <si>
    <t>이엔에프테크놀로지</t>
  </si>
  <si>
    <t>테스</t>
  </si>
  <si>
    <t>심텍</t>
  </si>
  <si>
    <t>파마리서치프로그램</t>
  </si>
  <si>
    <t>다원시스</t>
  </si>
  <si>
    <t>유비쿼스홀딩스</t>
  </si>
  <si>
    <t>매일유업</t>
  </si>
  <si>
    <t>텔콘RF제약</t>
  </si>
  <si>
    <t>바이오니아</t>
  </si>
  <si>
    <t>피에스케이</t>
  </si>
  <si>
    <t>KG이니시스</t>
  </si>
  <si>
    <t>오이솔루션</t>
  </si>
  <si>
    <t>유비케어</t>
  </si>
  <si>
    <t>파트론</t>
  </si>
  <si>
    <t>유니테스트</t>
  </si>
  <si>
    <t>쏠리드</t>
  </si>
  <si>
    <t>유바이오로직스</t>
  </si>
  <si>
    <t>녹십자셀</t>
  </si>
  <si>
    <t>휴온스</t>
  </si>
  <si>
    <t>베타값</t>
    <phoneticPr fontId="8" type="noConversion"/>
  </si>
  <si>
    <t>대형주</t>
    <phoneticPr fontId="8" type="noConversion"/>
  </si>
  <si>
    <t>중형주</t>
    <phoneticPr fontId="8" type="noConversion"/>
  </si>
  <si>
    <t>코스피</t>
    <phoneticPr fontId="8" type="noConversion"/>
  </si>
  <si>
    <t>거래량</t>
    <phoneticPr fontId="8" type="noConversion"/>
  </si>
  <si>
    <r>
      <t>화학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소재</t>
    </r>
  </si>
  <si>
    <t>유틸리티</t>
  </si>
  <si>
    <t>에너지</t>
  </si>
  <si>
    <t>필수소비재</t>
  </si>
  <si>
    <t>금융</t>
  </si>
  <si>
    <t>헬스케어</t>
  </si>
  <si>
    <t>건설업</t>
  </si>
  <si>
    <r>
      <t>통신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방송</t>
    </r>
  </si>
  <si>
    <r>
      <t>유통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의류</t>
    </r>
  </si>
  <si>
    <r>
      <t>코로나와</t>
    </r>
    <r>
      <rPr>
        <sz val="10"/>
        <color rgb="FF000000"/>
        <rFont val="Helvetica Neue"/>
        <family val="2"/>
      </rPr>
      <t xml:space="preserve"> IT</t>
    </r>
  </si>
  <si>
    <r>
      <t>코로나와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전기차</t>
    </r>
  </si>
  <si>
    <r>
      <t>코로나와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헬스케어</t>
    </r>
  </si>
  <si>
    <t>time2</t>
    <phoneticPr fontId="8" type="noConversion"/>
  </si>
  <si>
    <t>time3</t>
    <phoneticPr fontId="8" type="noConversion"/>
  </si>
  <si>
    <t>time4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</si>
</sst>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sz val="9"/>
      <color rgb="FF000000"/>
      <name val="Tahoma"/>
      <family val="2"/>
    </font>
    <font>
      <strike/>
      <sz val="10"/>
      <name val="Arial"/>
      <family val="2"/>
    </font>
    <font>
      <sz val="10"/>
      <name val="Arial"/>
      <family val="2"/>
    </font>
    <font>
      <sz val="8"/>
      <name val="나눔명조"/>
      <family val="3"/>
      <charset val="129"/>
    </font>
    <font>
      <sz val="10"/>
      <color rgb="FF000000"/>
      <name val="Helvetica Neue"/>
      <family val="2"/>
    </font>
    <font>
      <sz val="10"/>
      <color rgb="FF000000"/>
      <name val="Apple SD Gothic Neo"/>
      <family val="2"/>
      <charset val="129"/>
    </font>
    <font>
      <sz val="10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1"/>
  <sheetViews>
    <sheetView tabSelected="1" topLeftCell="P1" workbookViewId="0">
      <pane ySplit="1" topLeftCell="A6" activePane="bottomLeft" state="frozen"/>
      <selection pane="bottomLeft" activeCell="W18" sqref="W18:X21"/>
    </sheetView>
  </sheetViews>
  <sheetFormatPr baseColWidth="10" defaultColWidth="14.5" defaultRowHeight="15.75" customHeight="1"/>
  <cols>
    <col min="17" max="17" width="22.5" customWidth="1"/>
  </cols>
  <sheetData>
    <row r="1" spans="1:27" s="15" customFormat="1" ht="15.75" customHeight="1">
      <c r="A1" s="12" t="s">
        <v>0</v>
      </c>
      <c r="B1" s="9" t="s">
        <v>44</v>
      </c>
      <c r="C1" s="9" t="s">
        <v>45</v>
      </c>
      <c r="D1" s="9" t="s">
        <v>46</v>
      </c>
      <c r="E1" s="9" t="s">
        <v>47</v>
      </c>
      <c r="F1" s="16" t="s">
        <v>61</v>
      </c>
      <c r="G1" s="18" t="s">
        <v>62</v>
      </c>
      <c r="H1" s="16" t="s">
        <v>63</v>
      </c>
      <c r="I1" s="9" t="s">
        <v>48</v>
      </c>
      <c r="J1" s="12" t="s">
        <v>1</v>
      </c>
      <c r="K1" s="14" t="s">
        <v>2</v>
      </c>
      <c r="L1" s="17" t="s">
        <v>49</v>
      </c>
      <c r="M1" s="17" t="s">
        <v>50</v>
      </c>
      <c r="N1" s="17" t="s">
        <v>51</v>
      </c>
      <c r="O1" s="17" t="s">
        <v>52</v>
      </c>
      <c r="P1" s="17" t="s">
        <v>53</v>
      </c>
      <c r="Q1" s="17" t="s">
        <v>54</v>
      </c>
      <c r="R1" s="17" t="s">
        <v>3</v>
      </c>
      <c r="S1" s="17" t="s">
        <v>55</v>
      </c>
      <c r="T1" s="17" t="s">
        <v>56</v>
      </c>
      <c r="U1" s="17" t="s">
        <v>57</v>
      </c>
      <c r="V1" s="17" t="s">
        <v>58</v>
      </c>
      <c r="W1" s="17" t="s">
        <v>59</v>
      </c>
      <c r="X1" s="17" t="s">
        <v>60</v>
      </c>
    </row>
    <row r="2" spans="1:27" ht="15.75" customHeight="1">
      <c r="A2" s="1" t="s">
        <v>4</v>
      </c>
      <c r="B2" s="3">
        <v>0.97786011100000003</v>
      </c>
      <c r="C2" s="3">
        <v>0</v>
      </c>
      <c r="D2" s="3">
        <v>1</v>
      </c>
      <c r="E2" s="3">
        <v>1</v>
      </c>
      <c r="F2" s="3">
        <v>0</v>
      </c>
      <c r="G2" s="3">
        <v>0</v>
      </c>
      <c r="H2" s="3">
        <v>0</v>
      </c>
      <c r="I2" s="4">
        <v>1108365.3910000001</v>
      </c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W2" s="6"/>
      <c r="X2" s="6"/>
      <c r="Y2" s="6"/>
      <c r="Z2" s="6"/>
      <c r="AA2" s="6"/>
    </row>
    <row r="3" spans="1:27" ht="15.75" customHeight="1">
      <c r="A3" s="6"/>
      <c r="B3" s="3">
        <v>0.97242640899999999</v>
      </c>
      <c r="C3" s="3">
        <v>0</v>
      </c>
      <c r="D3" s="3">
        <v>1</v>
      </c>
      <c r="E3" s="3">
        <v>1</v>
      </c>
      <c r="F3" s="3">
        <v>1</v>
      </c>
      <c r="G3" s="3">
        <v>0</v>
      </c>
      <c r="H3" s="3">
        <v>0</v>
      </c>
      <c r="I3" s="4">
        <v>1105343.42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W3" s="6"/>
      <c r="X3" s="6"/>
      <c r="Y3" s="6"/>
      <c r="Z3" s="6"/>
      <c r="AA3" s="6"/>
    </row>
    <row r="4" spans="1:27" ht="15.75" customHeight="1">
      <c r="A4" s="6"/>
      <c r="B4" s="3">
        <v>0.897577811</v>
      </c>
      <c r="C4" s="3">
        <v>0</v>
      </c>
      <c r="D4" s="3">
        <v>1</v>
      </c>
      <c r="E4" s="3">
        <v>1</v>
      </c>
      <c r="F4" s="3">
        <v>0</v>
      </c>
      <c r="G4" s="3">
        <v>1</v>
      </c>
      <c r="H4" s="3">
        <v>0</v>
      </c>
      <c r="I4" s="4">
        <v>1313355.75</v>
      </c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  <c r="AA4" s="6"/>
    </row>
    <row r="5" spans="1:27" ht="15.75" customHeight="1">
      <c r="A5" s="6"/>
      <c r="B5" s="3">
        <v>0.98842434800000001</v>
      </c>
      <c r="C5" s="3">
        <v>0</v>
      </c>
      <c r="D5" s="3">
        <v>1</v>
      </c>
      <c r="E5" s="3">
        <v>1</v>
      </c>
      <c r="F5" s="3">
        <v>0</v>
      </c>
      <c r="G5" s="3">
        <v>0</v>
      </c>
      <c r="H5" s="3">
        <v>1</v>
      </c>
      <c r="I5" s="4">
        <v>1116595.0390000001</v>
      </c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W5" s="6"/>
      <c r="X5" s="6"/>
      <c r="Y5" s="6"/>
      <c r="Z5" s="6"/>
      <c r="AA5" s="6"/>
    </row>
    <row r="6" spans="1:27" ht="15.75" customHeight="1">
      <c r="A6" s="1" t="s">
        <v>5</v>
      </c>
      <c r="B6" s="3">
        <v>1.1039402780000001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0</v>
      </c>
      <c r="I6" s="4">
        <v>474894.66070000001</v>
      </c>
      <c r="J6" s="3">
        <v>40.304000760000001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Z6" s="5"/>
      <c r="AA6" s="5"/>
    </row>
    <row r="7" spans="1:27" ht="15.75" customHeight="1">
      <c r="A7" s="6"/>
      <c r="B7" s="3">
        <v>0.97280211699999997</v>
      </c>
      <c r="C7" s="3">
        <v>0</v>
      </c>
      <c r="D7" s="3">
        <v>1</v>
      </c>
      <c r="E7" s="3">
        <v>1</v>
      </c>
      <c r="F7" s="3">
        <v>1</v>
      </c>
      <c r="G7" s="3">
        <v>0</v>
      </c>
      <c r="H7" s="3">
        <v>0</v>
      </c>
      <c r="I7" s="4">
        <v>206603.35920000001</v>
      </c>
      <c r="J7" s="3">
        <v>26.82002533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Z7" s="5"/>
      <c r="AA7" s="5"/>
    </row>
    <row r="8" spans="1:27" ht="15.75" customHeight="1">
      <c r="A8" s="6"/>
      <c r="B8" s="3">
        <v>1.0306219169999999</v>
      </c>
      <c r="C8" s="3">
        <v>0</v>
      </c>
      <c r="D8" s="3">
        <v>1</v>
      </c>
      <c r="E8" s="3">
        <v>1</v>
      </c>
      <c r="F8" s="3">
        <v>0</v>
      </c>
      <c r="G8" s="3">
        <v>1</v>
      </c>
      <c r="H8" s="3">
        <v>0</v>
      </c>
      <c r="I8" s="4">
        <v>197286.8922</v>
      </c>
      <c r="J8" s="3">
        <v>12.254488240000001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Z8" s="5"/>
      <c r="AA8" s="5"/>
    </row>
    <row r="9" spans="1:27" ht="15.75" customHeight="1">
      <c r="A9" s="6"/>
      <c r="B9" s="3">
        <v>1.1032735680000001</v>
      </c>
      <c r="C9" s="3">
        <v>0</v>
      </c>
      <c r="D9" s="3">
        <v>1</v>
      </c>
      <c r="E9" s="3">
        <v>1</v>
      </c>
      <c r="F9" s="3">
        <v>0</v>
      </c>
      <c r="G9" s="3">
        <v>0</v>
      </c>
      <c r="H9" s="3">
        <v>1</v>
      </c>
      <c r="I9" s="4">
        <v>400288.64289999998</v>
      </c>
      <c r="J9" s="3">
        <v>13.96722847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Z9" s="5"/>
      <c r="AA9" s="5"/>
    </row>
    <row r="10" spans="1:27" ht="15.75" customHeight="1">
      <c r="A10" s="1" t="s">
        <v>6</v>
      </c>
      <c r="B10" s="3">
        <v>0.56635207799999998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0</v>
      </c>
      <c r="I10" s="4">
        <v>119767.76330000001</v>
      </c>
      <c r="J10" s="7">
        <v>216</v>
      </c>
      <c r="K10" s="3">
        <v>0</v>
      </c>
      <c r="L10" s="8">
        <v>0</v>
      </c>
      <c r="M10" s="3">
        <v>0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Z10" s="5"/>
      <c r="AA10" s="5"/>
    </row>
    <row r="11" spans="1:27" ht="15.75" customHeight="1">
      <c r="A11" s="9"/>
      <c r="B11" s="3">
        <v>0.44355367400000001</v>
      </c>
      <c r="C11" s="3">
        <v>0</v>
      </c>
      <c r="D11" s="3">
        <v>1</v>
      </c>
      <c r="E11" s="3">
        <v>1</v>
      </c>
      <c r="F11" s="3">
        <v>1</v>
      </c>
      <c r="G11" s="3">
        <v>0</v>
      </c>
      <c r="H11" s="3">
        <v>0</v>
      </c>
      <c r="I11" s="4">
        <v>210577.61319999999</v>
      </c>
      <c r="J11" s="5"/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Z11" s="5"/>
      <c r="AA11" s="5"/>
    </row>
    <row r="12" spans="1:27" ht="15.75" customHeight="1">
      <c r="A12" s="6"/>
      <c r="B12" s="3">
        <v>0.73590860000000002</v>
      </c>
      <c r="C12" s="3">
        <v>0</v>
      </c>
      <c r="D12" s="3">
        <v>1</v>
      </c>
      <c r="E12" s="3">
        <v>1</v>
      </c>
      <c r="F12" s="3">
        <v>0</v>
      </c>
      <c r="G12" s="3">
        <v>1</v>
      </c>
      <c r="H12" s="3">
        <v>0</v>
      </c>
      <c r="I12" s="4">
        <v>239684.86369999999</v>
      </c>
      <c r="J12" s="5"/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Z12" s="5"/>
      <c r="AA12" s="5"/>
    </row>
    <row r="13" spans="1:27" ht="15.75" customHeight="1">
      <c r="A13" s="6"/>
      <c r="B13" s="3">
        <v>0.63979708700000004</v>
      </c>
      <c r="C13" s="3">
        <v>0</v>
      </c>
      <c r="D13" s="3">
        <v>1</v>
      </c>
      <c r="E13" s="3">
        <v>1</v>
      </c>
      <c r="F13" s="3">
        <v>0</v>
      </c>
      <c r="G13" s="3">
        <v>0</v>
      </c>
      <c r="H13" s="3">
        <v>1</v>
      </c>
      <c r="I13" s="4">
        <v>327124.03090000001</v>
      </c>
      <c r="J13" s="3">
        <v>33.692797130000002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Z13" s="5"/>
      <c r="AA13" s="5"/>
    </row>
    <row r="14" spans="1:27" ht="15.75" customHeight="1">
      <c r="A14" s="1" t="s">
        <v>7</v>
      </c>
      <c r="B14" s="3">
        <v>0.99598473600000004</v>
      </c>
      <c r="C14" s="3">
        <v>0</v>
      </c>
      <c r="D14" s="3">
        <v>1</v>
      </c>
      <c r="E14" s="3">
        <v>1</v>
      </c>
      <c r="F14" s="3">
        <v>0</v>
      </c>
      <c r="G14" s="3">
        <v>0</v>
      </c>
      <c r="H14" s="3">
        <v>0</v>
      </c>
      <c r="I14" s="4">
        <v>134396.29319999999</v>
      </c>
      <c r="J14" s="3">
        <v>27.641506159999999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Z14" s="5"/>
      <c r="AA14" s="5"/>
    </row>
    <row r="15" spans="1:27" ht="15.75" customHeight="1">
      <c r="A15" s="6"/>
      <c r="B15" s="3">
        <v>1.225934751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4">
        <v>89118.028560000006</v>
      </c>
      <c r="J15" s="3">
        <v>25.892231049999999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Z15" s="5"/>
      <c r="AA15" s="5"/>
    </row>
    <row r="16" spans="1:27" ht="15.75" customHeight="1">
      <c r="A16" s="6"/>
      <c r="B16" s="3">
        <v>0.96530668100000006</v>
      </c>
      <c r="C16" s="3">
        <v>0</v>
      </c>
      <c r="D16" s="3">
        <v>1</v>
      </c>
      <c r="E16" s="3">
        <v>1</v>
      </c>
      <c r="F16" s="3">
        <v>0</v>
      </c>
      <c r="G16" s="3">
        <v>1</v>
      </c>
      <c r="H16" s="3">
        <v>0</v>
      </c>
      <c r="I16" s="4">
        <v>69462.839349999995</v>
      </c>
      <c r="J16" s="3">
        <v>24.190162149999999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Z16" s="5"/>
      <c r="AA16" s="5"/>
    </row>
    <row r="17" spans="1:27" ht="15.75" customHeight="1">
      <c r="A17" s="6"/>
      <c r="B17" s="3">
        <v>0.95512313699999996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H17" s="3">
        <v>1</v>
      </c>
      <c r="I17" s="4">
        <v>87916.954920000004</v>
      </c>
      <c r="J17" s="3">
        <v>41.039054989999997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Z17" s="5"/>
      <c r="AA17" s="5"/>
    </row>
    <row r="18" spans="1:27" ht="15.75" customHeight="1">
      <c r="A18" s="1" t="s">
        <v>8</v>
      </c>
      <c r="B18" s="3">
        <v>1.126327925</v>
      </c>
      <c r="C18" s="3">
        <v>0</v>
      </c>
      <c r="D18" s="3">
        <v>1</v>
      </c>
      <c r="E18" s="3">
        <v>1</v>
      </c>
      <c r="F18" s="3">
        <v>0</v>
      </c>
      <c r="G18" s="3">
        <v>0</v>
      </c>
      <c r="H18" s="3">
        <v>0</v>
      </c>
      <c r="I18" s="4">
        <v>56197.113689999998</v>
      </c>
      <c r="J18" s="3">
        <v>14.38467992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Z18" s="6"/>
      <c r="AA18" s="6"/>
    </row>
    <row r="19" spans="1:27" ht="15.75" customHeight="1">
      <c r="A19" s="10"/>
      <c r="B19" s="3">
        <v>1.0192046180000001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H19" s="3">
        <v>0</v>
      </c>
      <c r="I19" s="4">
        <v>53868.605170000003</v>
      </c>
      <c r="J19" s="3">
        <v>9.6298779480000007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Z19" s="6"/>
      <c r="AA19" s="6"/>
    </row>
    <row r="20" spans="1:27" ht="15.75" customHeight="1">
      <c r="A20" s="10"/>
      <c r="B20" s="3">
        <v>1.0298835180000001</v>
      </c>
      <c r="C20" s="3">
        <v>0</v>
      </c>
      <c r="D20" s="3">
        <v>1</v>
      </c>
      <c r="E20" s="3">
        <v>1</v>
      </c>
      <c r="F20" s="3">
        <v>0</v>
      </c>
      <c r="G20" s="3">
        <v>1</v>
      </c>
      <c r="H20" s="3">
        <v>0</v>
      </c>
      <c r="I20" s="4">
        <v>62555.827149999997</v>
      </c>
      <c r="J20" s="3">
        <v>7.9118268140000003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Z20" s="6"/>
      <c r="AA20" s="6"/>
    </row>
    <row r="21" spans="1:27" ht="15.75" customHeight="1">
      <c r="A21" s="6"/>
      <c r="B21" s="3">
        <v>1.0620498970000001</v>
      </c>
      <c r="C21" s="3">
        <v>0</v>
      </c>
      <c r="D21" s="3">
        <v>1</v>
      </c>
      <c r="E21" s="3">
        <v>1</v>
      </c>
      <c r="F21" s="3">
        <v>0</v>
      </c>
      <c r="G21" s="3">
        <v>0</v>
      </c>
      <c r="H21" s="3">
        <v>1</v>
      </c>
      <c r="I21" s="4">
        <v>73280.854919999998</v>
      </c>
      <c r="J21" s="3">
        <v>10.731061499999999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Z21" s="6"/>
      <c r="AA21" s="6"/>
    </row>
    <row r="22" spans="1:27" ht="15.75" customHeight="1">
      <c r="A22" s="1" t="s">
        <v>9</v>
      </c>
      <c r="B22" s="3">
        <v>0.44723384700000002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0</v>
      </c>
      <c r="I22" s="4">
        <v>171520.27609999999</v>
      </c>
      <c r="J22" s="3">
        <v>21.127647939999999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Z22" s="5"/>
      <c r="AA22" s="5"/>
    </row>
    <row r="23" spans="1:27" ht="15.75" customHeight="1">
      <c r="A23" s="10"/>
      <c r="B23" s="3">
        <v>0.25997685399999998</v>
      </c>
      <c r="C23" s="3">
        <v>0</v>
      </c>
      <c r="D23" s="3">
        <v>1</v>
      </c>
      <c r="E23" s="3">
        <v>1</v>
      </c>
      <c r="F23" s="3">
        <v>1</v>
      </c>
      <c r="G23" s="3">
        <v>0</v>
      </c>
      <c r="H23" s="3">
        <v>0</v>
      </c>
      <c r="I23" s="4">
        <v>140004.5931</v>
      </c>
      <c r="J23" s="3">
        <v>20.98717023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Z23" s="5"/>
      <c r="AA23" s="5"/>
    </row>
    <row r="24" spans="1:27" ht="15.75" customHeight="1">
      <c r="A24" s="10"/>
      <c r="B24" s="3">
        <v>1.1210672079999999</v>
      </c>
      <c r="C24" s="3">
        <v>0</v>
      </c>
      <c r="D24" s="3">
        <v>1</v>
      </c>
      <c r="E24" s="3">
        <v>1</v>
      </c>
      <c r="F24" s="3">
        <v>0</v>
      </c>
      <c r="G24" s="3">
        <v>1</v>
      </c>
      <c r="H24" s="3">
        <v>0</v>
      </c>
      <c r="I24" s="4">
        <v>174887.02230000001</v>
      </c>
      <c r="J24" s="3">
        <v>13.08103573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Z24" s="5"/>
      <c r="AA24" s="5"/>
    </row>
    <row r="25" spans="1:27" ht="15.75" customHeight="1">
      <c r="A25" s="6"/>
      <c r="B25" s="3">
        <v>1.310875134</v>
      </c>
      <c r="C25" s="3">
        <v>0</v>
      </c>
      <c r="D25" s="3">
        <v>1</v>
      </c>
      <c r="E25" s="3">
        <v>1</v>
      </c>
      <c r="F25" s="3">
        <v>0</v>
      </c>
      <c r="G25" s="3">
        <v>0</v>
      </c>
      <c r="H25" s="3">
        <v>1</v>
      </c>
      <c r="I25" s="4">
        <v>398206.8309</v>
      </c>
      <c r="J25" s="3">
        <v>16.96617784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Z25" s="5"/>
      <c r="AA25" s="5"/>
    </row>
    <row r="26" spans="1:27" ht="15.75" customHeight="1">
      <c r="A26" s="1" t="s">
        <v>10</v>
      </c>
      <c r="B26" s="3">
        <v>0.48671400100000001</v>
      </c>
      <c r="C26" s="3">
        <v>0</v>
      </c>
      <c r="D26" s="3">
        <v>1</v>
      </c>
      <c r="E26" s="3">
        <v>1</v>
      </c>
      <c r="F26" s="3">
        <v>0</v>
      </c>
      <c r="G26" s="3">
        <v>0</v>
      </c>
      <c r="H26" s="3">
        <v>0</v>
      </c>
      <c r="I26" s="4">
        <v>38408.908560000003</v>
      </c>
      <c r="J26" s="3">
        <v>24.605349969999999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1</v>
      </c>
      <c r="V26" s="3">
        <v>0</v>
      </c>
      <c r="W26" s="3">
        <v>0</v>
      </c>
      <c r="X26" s="3">
        <v>0</v>
      </c>
      <c r="Z26" s="5"/>
      <c r="AA26" s="5"/>
    </row>
    <row r="27" spans="1:27" ht="15.75" customHeight="1">
      <c r="A27" s="10"/>
      <c r="B27" s="3">
        <v>0.46119250899999997</v>
      </c>
      <c r="C27" s="3">
        <v>0</v>
      </c>
      <c r="D27" s="3">
        <v>1</v>
      </c>
      <c r="E27" s="3">
        <v>1</v>
      </c>
      <c r="F27" s="3">
        <v>1</v>
      </c>
      <c r="G27" s="3">
        <v>0</v>
      </c>
      <c r="H27" s="3">
        <v>0</v>
      </c>
      <c r="I27" s="4">
        <v>33941.314850000002</v>
      </c>
      <c r="J27" s="3">
        <v>22.389143130000001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0</v>
      </c>
      <c r="X27" s="3">
        <v>0</v>
      </c>
      <c r="Z27" s="5"/>
      <c r="AA27" s="5"/>
    </row>
    <row r="28" spans="1:27" ht="15.75" customHeight="1">
      <c r="A28" s="10"/>
      <c r="B28" s="3">
        <v>0.83311153500000001</v>
      </c>
      <c r="C28" s="3">
        <v>0</v>
      </c>
      <c r="D28" s="3">
        <v>1</v>
      </c>
      <c r="E28" s="3">
        <v>1</v>
      </c>
      <c r="F28" s="3">
        <v>0</v>
      </c>
      <c r="G28" s="3">
        <v>1</v>
      </c>
      <c r="H28" s="3">
        <v>0</v>
      </c>
      <c r="I28" s="4">
        <v>38013.384059999997</v>
      </c>
      <c r="J28" s="3">
        <v>15.61039714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</v>
      </c>
      <c r="V28" s="3">
        <v>0</v>
      </c>
      <c r="W28" s="3">
        <v>0</v>
      </c>
      <c r="X28" s="3">
        <v>0</v>
      </c>
      <c r="Z28" s="5"/>
      <c r="AA28" s="5"/>
    </row>
    <row r="29" spans="1:27" ht="15.75" customHeight="1">
      <c r="A29" s="6"/>
      <c r="B29" s="3">
        <v>0.81645040099999999</v>
      </c>
      <c r="C29" s="3">
        <v>0</v>
      </c>
      <c r="D29" s="3">
        <v>1</v>
      </c>
      <c r="E29" s="3">
        <v>1</v>
      </c>
      <c r="F29" s="3">
        <v>0</v>
      </c>
      <c r="G29" s="3">
        <v>0</v>
      </c>
      <c r="H29" s="3">
        <v>1</v>
      </c>
      <c r="I29" s="4">
        <v>44532.046920000001</v>
      </c>
      <c r="J29" s="3">
        <v>15.73014427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  <c r="Z29" s="5"/>
      <c r="AA29" s="5"/>
    </row>
    <row r="30" spans="1:27" ht="15.75" customHeight="1">
      <c r="A30" s="1" t="s">
        <v>11</v>
      </c>
      <c r="B30" s="3">
        <v>1.319010182</v>
      </c>
      <c r="C30" s="3">
        <v>0</v>
      </c>
      <c r="D30" s="3">
        <v>1</v>
      </c>
      <c r="E30" s="3">
        <v>1</v>
      </c>
      <c r="F30" s="3">
        <v>0</v>
      </c>
      <c r="G30" s="3">
        <v>0</v>
      </c>
      <c r="H30" s="3">
        <v>0</v>
      </c>
      <c r="I30" s="4">
        <v>64188.635060000001</v>
      </c>
      <c r="J30" s="3">
        <v>10.69259853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</v>
      </c>
      <c r="V30" s="3">
        <v>0</v>
      </c>
      <c r="W30" s="3">
        <v>0</v>
      </c>
      <c r="X30" s="3">
        <v>0</v>
      </c>
      <c r="Z30" s="5"/>
      <c r="AA30" s="5"/>
    </row>
    <row r="31" spans="1:27" ht="15.75" customHeight="1">
      <c r="A31" s="10"/>
      <c r="B31" s="3">
        <v>1.164579515</v>
      </c>
      <c r="C31" s="3">
        <v>0</v>
      </c>
      <c r="D31" s="3">
        <v>1</v>
      </c>
      <c r="E31" s="3">
        <v>1</v>
      </c>
      <c r="F31" s="3">
        <v>1</v>
      </c>
      <c r="G31" s="3">
        <v>0</v>
      </c>
      <c r="H31" s="3">
        <v>0</v>
      </c>
      <c r="I31" s="4">
        <v>49117.605170000003</v>
      </c>
      <c r="J31" s="3">
        <v>5.6841258290000001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Z31" s="5"/>
      <c r="AA31" s="5"/>
    </row>
    <row r="32" spans="1:27" ht="15.75" customHeight="1">
      <c r="A32" s="10"/>
      <c r="B32" s="3">
        <v>1.197986958</v>
      </c>
      <c r="C32" s="3">
        <v>0</v>
      </c>
      <c r="D32" s="3">
        <v>1</v>
      </c>
      <c r="E32" s="3">
        <v>1</v>
      </c>
      <c r="F32" s="3">
        <v>0</v>
      </c>
      <c r="G32" s="3">
        <v>1</v>
      </c>
      <c r="H32" s="3">
        <v>0</v>
      </c>
      <c r="I32" s="4">
        <v>53825.477559999999</v>
      </c>
      <c r="J32" s="3">
        <v>5.593925595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</v>
      </c>
      <c r="V32" s="3">
        <v>0</v>
      </c>
      <c r="W32" s="3">
        <v>0</v>
      </c>
      <c r="X32" s="3">
        <v>0</v>
      </c>
      <c r="Z32" s="5"/>
      <c r="AA32" s="5"/>
    </row>
    <row r="33" spans="1:27" ht="15.75" customHeight="1">
      <c r="A33" s="6"/>
      <c r="B33" s="3">
        <v>1.100374054</v>
      </c>
      <c r="C33" s="3">
        <v>0</v>
      </c>
      <c r="D33" s="3">
        <v>1</v>
      </c>
      <c r="E33" s="3">
        <v>1</v>
      </c>
      <c r="F33" s="3">
        <v>0</v>
      </c>
      <c r="G33" s="3">
        <v>0</v>
      </c>
      <c r="H33" s="3">
        <v>1</v>
      </c>
      <c r="I33" s="4">
        <v>73748.922919999997</v>
      </c>
      <c r="J33" s="3">
        <v>21.954895220000001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0</v>
      </c>
      <c r="W33" s="3">
        <v>0</v>
      </c>
      <c r="X33" s="3">
        <v>0</v>
      </c>
      <c r="Z33" s="5"/>
      <c r="AA33" s="5"/>
    </row>
    <row r="34" spans="1:27" ht="15.75" customHeight="1">
      <c r="A34" s="11" t="s">
        <v>12</v>
      </c>
      <c r="B34" s="3">
        <v>-2.0197928940000001</v>
      </c>
      <c r="C34" s="3">
        <v>0</v>
      </c>
      <c r="D34" s="3">
        <v>1</v>
      </c>
      <c r="E34" s="3">
        <v>1</v>
      </c>
      <c r="F34" s="3">
        <v>0</v>
      </c>
      <c r="G34" s="3">
        <v>0</v>
      </c>
      <c r="H34" s="3">
        <v>0</v>
      </c>
      <c r="I34" s="4">
        <v>8261501.0920000002</v>
      </c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Z34" s="6"/>
      <c r="AA34" s="6"/>
    </row>
    <row r="35" spans="1:27" ht="15.75" customHeight="1">
      <c r="A35" s="6"/>
      <c r="B35" s="3">
        <v>-2.0393138880000001</v>
      </c>
      <c r="C35" s="3">
        <v>0</v>
      </c>
      <c r="D35" s="3">
        <v>1</v>
      </c>
      <c r="E35" s="3">
        <v>1</v>
      </c>
      <c r="F35" s="3">
        <v>1</v>
      </c>
      <c r="G35" s="3">
        <v>0</v>
      </c>
      <c r="H35" s="3">
        <v>0</v>
      </c>
      <c r="I35" s="4">
        <v>10963070.710000001</v>
      </c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Z35" s="6"/>
      <c r="AA35" s="6"/>
    </row>
    <row r="36" spans="1:27" ht="15.75" customHeight="1">
      <c r="A36" s="6"/>
      <c r="B36" s="3">
        <v>-1.8111862379999999</v>
      </c>
      <c r="C36" s="3">
        <v>0</v>
      </c>
      <c r="D36" s="3">
        <v>1</v>
      </c>
      <c r="E36" s="3">
        <v>1</v>
      </c>
      <c r="F36" s="3">
        <v>0</v>
      </c>
      <c r="G36" s="3">
        <v>1</v>
      </c>
      <c r="H36" s="3">
        <v>0</v>
      </c>
      <c r="I36" s="4">
        <v>22663704.09</v>
      </c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Z36" s="6"/>
      <c r="AA36" s="6"/>
    </row>
    <row r="37" spans="1:27" ht="15.75" customHeight="1">
      <c r="A37" s="6"/>
      <c r="B37" s="3">
        <v>-1.9886584570000001</v>
      </c>
      <c r="C37" s="3">
        <v>0</v>
      </c>
      <c r="D37" s="3">
        <v>1</v>
      </c>
      <c r="E37" s="3">
        <v>1</v>
      </c>
      <c r="F37" s="3">
        <v>0</v>
      </c>
      <c r="G37" s="3">
        <v>0</v>
      </c>
      <c r="H37" s="3">
        <v>1</v>
      </c>
      <c r="I37" s="4">
        <v>95072892.290000007</v>
      </c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Z37" s="6"/>
      <c r="AA37" s="6"/>
    </row>
    <row r="38" spans="1:27" ht="15.75" customHeight="1">
      <c r="A38" s="1" t="s">
        <v>13</v>
      </c>
      <c r="B38" s="3">
        <v>1.068144733</v>
      </c>
      <c r="C38" s="3">
        <v>0</v>
      </c>
      <c r="D38" s="3">
        <v>1</v>
      </c>
      <c r="E38" s="3">
        <v>1</v>
      </c>
      <c r="F38" s="3">
        <v>0</v>
      </c>
      <c r="G38" s="3">
        <v>0</v>
      </c>
      <c r="H38" s="3">
        <v>0</v>
      </c>
      <c r="I38" s="4">
        <v>689924.47690000001</v>
      </c>
      <c r="J38" s="3">
        <v>14.427854030000001</v>
      </c>
      <c r="K38" s="3">
        <v>0</v>
      </c>
      <c r="L38" s="3">
        <v>0</v>
      </c>
      <c r="M38" s="3">
        <v>0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Z38" s="5"/>
      <c r="AA38" s="5"/>
    </row>
    <row r="39" spans="1:27" ht="15.75" customHeight="1">
      <c r="A39" s="10"/>
      <c r="B39" s="3">
        <v>1.166441654</v>
      </c>
      <c r="C39" s="3">
        <v>0</v>
      </c>
      <c r="D39" s="3">
        <v>1</v>
      </c>
      <c r="E39" s="3">
        <v>1</v>
      </c>
      <c r="F39" s="3">
        <v>1</v>
      </c>
      <c r="G39" s="3">
        <v>0</v>
      </c>
      <c r="H39" s="3">
        <v>0</v>
      </c>
      <c r="I39" s="4">
        <v>665628.85919999995</v>
      </c>
      <c r="J39" s="3">
        <v>16.072389560000001</v>
      </c>
      <c r="K39" s="3">
        <v>0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Z39" s="5"/>
      <c r="AA39" s="5"/>
    </row>
    <row r="40" spans="1:27" ht="15.75" customHeight="1">
      <c r="A40" s="10"/>
      <c r="B40" s="3">
        <v>1.6175029400000001</v>
      </c>
      <c r="C40" s="3">
        <v>0</v>
      </c>
      <c r="D40" s="3">
        <v>1</v>
      </c>
      <c r="E40" s="3">
        <v>1</v>
      </c>
      <c r="F40" s="3">
        <v>0</v>
      </c>
      <c r="G40" s="3">
        <v>1</v>
      </c>
      <c r="H40" s="3">
        <v>0</v>
      </c>
      <c r="I40" s="4">
        <v>619035.88809999998</v>
      </c>
      <c r="J40" s="3">
        <v>10.46545433</v>
      </c>
      <c r="K40" s="3">
        <v>0</v>
      </c>
      <c r="L40" s="3">
        <v>0</v>
      </c>
      <c r="M40" s="3">
        <v>0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Z40" s="5"/>
      <c r="AA40" s="5"/>
    </row>
    <row r="41" spans="1:27" ht="15.75" customHeight="1">
      <c r="A41" s="6"/>
      <c r="B41" s="3">
        <v>1.4965237899999999</v>
      </c>
      <c r="C41" s="3">
        <v>0</v>
      </c>
      <c r="D41" s="3">
        <v>1</v>
      </c>
      <c r="E41" s="3">
        <v>1</v>
      </c>
      <c r="F41" s="3">
        <v>0</v>
      </c>
      <c r="G41" s="3">
        <v>0</v>
      </c>
      <c r="H41" s="3">
        <v>1</v>
      </c>
      <c r="I41" s="4">
        <v>1179656.6270000001</v>
      </c>
      <c r="J41" s="3">
        <v>12.265443210000001</v>
      </c>
      <c r="K41" s="3">
        <v>0</v>
      </c>
      <c r="L41" s="3">
        <v>0</v>
      </c>
      <c r="M41" s="3">
        <v>0</v>
      </c>
      <c r="N41" s="3">
        <v>1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Z41" s="5"/>
      <c r="AA41" s="5"/>
    </row>
    <row r="42" spans="1:27" ht="15.75" customHeight="1">
      <c r="A42" s="1" t="s">
        <v>14</v>
      </c>
      <c r="B42" s="3">
        <v>0.40883319800000001</v>
      </c>
      <c r="C42" s="3">
        <v>0</v>
      </c>
      <c r="D42" s="3">
        <v>1</v>
      </c>
      <c r="E42" s="3">
        <v>1</v>
      </c>
      <c r="F42" s="3">
        <v>0</v>
      </c>
      <c r="G42" s="3">
        <v>0</v>
      </c>
      <c r="H42" s="3">
        <v>0</v>
      </c>
      <c r="I42" s="4">
        <v>161398.12650000001</v>
      </c>
      <c r="J42" s="3">
        <v>9.7530237040000003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1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Z42" s="5"/>
      <c r="AA42" s="5"/>
    </row>
    <row r="43" spans="1:27" ht="15.75" customHeight="1">
      <c r="A43" s="10"/>
      <c r="B43" s="3">
        <v>0.76045016899999995</v>
      </c>
      <c r="C43" s="3">
        <v>0</v>
      </c>
      <c r="D43" s="3">
        <v>1</v>
      </c>
      <c r="E43" s="3">
        <v>1</v>
      </c>
      <c r="F43" s="3">
        <v>1</v>
      </c>
      <c r="G43" s="3">
        <v>0</v>
      </c>
      <c r="H43" s="3">
        <v>0</v>
      </c>
      <c r="I43" s="4">
        <v>148975.1697</v>
      </c>
      <c r="J43" s="3">
        <v>7.9981609530000002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1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Z43" s="5"/>
      <c r="AA43" s="5"/>
    </row>
    <row r="44" spans="1:27" ht="15.75" customHeight="1">
      <c r="A44" s="10"/>
      <c r="B44" s="3">
        <v>0.37722665100000002</v>
      </c>
      <c r="C44" s="3">
        <v>0</v>
      </c>
      <c r="D44" s="3">
        <v>1</v>
      </c>
      <c r="E44" s="3">
        <v>1</v>
      </c>
      <c r="F44" s="3">
        <v>0</v>
      </c>
      <c r="G44" s="3">
        <v>1</v>
      </c>
      <c r="H44" s="3">
        <v>0</v>
      </c>
      <c r="I44" s="4">
        <v>176572.89629999999</v>
      </c>
      <c r="J44" s="3">
        <v>6.7838210889999999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Z44" s="5"/>
      <c r="AA44" s="5"/>
    </row>
    <row r="45" spans="1:27" ht="15.75" customHeight="1">
      <c r="A45" s="6"/>
      <c r="B45" s="3">
        <v>0.66584649900000004</v>
      </c>
      <c r="C45" s="3">
        <v>0</v>
      </c>
      <c r="D45" s="3">
        <v>1</v>
      </c>
      <c r="E45" s="3">
        <v>1</v>
      </c>
      <c r="F45" s="3">
        <v>0</v>
      </c>
      <c r="G45" s="3">
        <v>0</v>
      </c>
      <c r="H45" s="3">
        <v>1</v>
      </c>
      <c r="I45" s="4">
        <v>180388.57089999999</v>
      </c>
      <c r="J45" s="3">
        <v>5.5884989799999998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Z45" s="5"/>
      <c r="AA45" s="5"/>
    </row>
    <row r="46" spans="1:27" ht="15.75" customHeight="1">
      <c r="A46" s="1" t="s">
        <v>15</v>
      </c>
      <c r="B46" s="3">
        <v>0.81470166899999996</v>
      </c>
      <c r="C46" s="3">
        <v>0</v>
      </c>
      <c r="D46" s="3">
        <v>1</v>
      </c>
      <c r="E46" s="3">
        <v>1</v>
      </c>
      <c r="F46" s="3">
        <v>0</v>
      </c>
      <c r="G46" s="3">
        <v>0</v>
      </c>
      <c r="H46" s="3">
        <v>0</v>
      </c>
      <c r="I46" s="4">
        <v>46971.677799999998</v>
      </c>
      <c r="J46" s="1"/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1</v>
      </c>
      <c r="V46" s="3">
        <v>0</v>
      </c>
      <c r="W46" s="3">
        <v>0</v>
      </c>
      <c r="X46" s="3">
        <v>0</v>
      </c>
      <c r="Z46" s="5"/>
      <c r="AA46" s="5"/>
    </row>
    <row r="47" spans="1:27" ht="15.75" customHeight="1">
      <c r="A47" s="6"/>
      <c r="B47" s="3">
        <v>0.792468375</v>
      </c>
      <c r="C47" s="3">
        <v>0</v>
      </c>
      <c r="D47" s="3">
        <v>1</v>
      </c>
      <c r="E47" s="3">
        <v>1</v>
      </c>
      <c r="F47" s="3">
        <v>1</v>
      </c>
      <c r="G47" s="3">
        <v>0</v>
      </c>
      <c r="H47" s="3">
        <v>0</v>
      </c>
      <c r="I47" s="4">
        <v>39720.282590000003</v>
      </c>
      <c r="J47" s="5"/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</v>
      </c>
      <c r="V47" s="3">
        <v>0</v>
      </c>
      <c r="W47" s="3">
        <v>0</v>
      </c>
      <c r="X47" s="3">
        <v>0</v>
      </c>
      <c r="Z47" s="5"/>
      <c r="AA47" s="5"/>
    </row>
    <row r="48" spans="1:27" ht="15.75" customHeight="1">
      <c r="A48" s="6"/>
      <c r="B48" s="3">
        <v>0.93648310400000001</v>
      </c>
      <c r="C48" s="3">
        <v>0</v>
      </c>
      <c r="D48" s="3">
        <v>1</v>
      </c>
      <c r="E48" s="3">
        <v>1</v>
      </c>
      <c r="F48" s="3">
        <v>0</v>
      </c>
      <c r="G48" s="3">
        <v>1</v>
      </c>
      <c r="H48" s="3">
        <v>0</v>
      </c>
      <c r="I48" s="4">
        <v>47103.542600000001</v>
      </c>
      <c r="J48" s="5"/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0</v>
      </c>
      <c r="X48" s="3">
        <v>0</v>
      </c>
      <c r="Z48" s="5"/>
      <c r="AA48" s="5"/>
    </row>
    <row r="49" spans="1:27" ht="15.75" customHeight="1">
      <c r="A49" s="6"/>
      <c r="B49" s="3">
        <v>1.003019001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H49" s="3">
        <v>1</v>
      </c>
      <c r="I49" s="4">
        <v>109801.13890000001</v>
      </c>
      <c r="J49" s="5"/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</v>
      </c>
      <c r="V49" s="3">
        <v>0</v>
      </c>
      <c r="W49" s="3">
        <v>0</v>
      </c>
      <c r="X49" s="3">
        <v>0</v>
      </c>
      <c r="Z49" s="5"/>
      <c r="AA49" s="5"/>
    </row>
    <row r="50" spans="1:27" ht="15.75" customHeight="1">
      <c r="A50" s="1" t="s">
        <v>16</v>
      </c>
      <c r="B50" s="3">
        <v>1.6629732850000001</v>
      </c>
      <c r="C50" s="3">
        <v>0</v>
      </c>
      <c r="D50" s="3">
        <v>1</v>
      </c>
      <c r="E50" s="3">
        <v>1</v>
      </c>
      <c r="F50" s="3">
        <v>0</v>
      </c>
      <c r="G50" s="3">
        <v>0</v>
      </c>
      <c r="H50" s="3">
        <v>0</v>
      </c>
      <c r="I50" s="4">
        <v>253501.6949</v>
      </c>
      <c r="J50" s="3">
        <v>12.56566567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1</v>
      </c>
      <c r="V50" s="3">
        <v>0</v>
      </c>
      <c r="W50" s="3">
        <v>0</v>
      </c>
      <c r="X50" s="3">
        <v>0</v>
      </c>
      <c r="Z50" s="5"/>
      <c r="AA50" s="5"/>
    </row>
    <row r="51" spans="1:27" ht="15.75" customHeight="1">
      <c r="A51" s="10"/>
      <c r="B51" s="3">
        <v>1.280496632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H51" s="3">
        <v>0</v>
      </c>
      <c r="I51" s="4">
        <v>238266.9963</v>
      </c>
      <c r="J51" s="3">
        <v>15.55101346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0</v>
      </c>
      <c r="Z51" s="5"/>
      <c r="AA51" s="5"/>
    </row>
    <row r="52" spans="1:27" ht="15.75" customHeight="1">
      <c r="A52" s="10"/>
      <c r="B52" s="3">
        <v>1.2522516109999999</v>
      </c>
      <c r="C52" s="3">
        <v>0</v>
      </c>
      <c r="D52" s="3">
        <v>1</v>
      </c>
      <c r="E52" s="3">
        <v>1</v>
      </c>
      <c r="F52" s="3">
        <v>0</v>
      </c>
      <c r="G52" s="3">
        <v>1</v>
      </c>
      <c r="H52" s="3">
        <v>0</v>
      </c>
      <c r="I52" s="4">
        <v>212010.0914</v>
      </c>
      <c r="J52" s="3">
        <v>12.00324215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</v>
      </c>
      <c r="V52" s="3">
        <v>0</v>
      </c>
      <c r="W52" s="3">
        <v>0</v>
      </c>
      <c r="X52" s="3">
        <v>0</v>
      </c>
      <c r="Z52" s="5"/>
      <c r="AA52" s="5"/>
    </row>
    <row r="53" spans="1:27" ht="15.75" customHeight="1">
      <c r="A53" s="6"/>
      <c r="B53" s="3">
        <v>1.348675786</v>
      </c>
      <c r="C53" s="3">
        <v>0</v>
      </c>
      <c r="D53" s="3">
        <v>1</v>
      </c>
      <c r="E53" s="3">
        <v>1</v>
      </c>
      <c r="F53" s="3">
        <v>0</v>
      </c>
      <c r="G53" s="3">
        <v>0</v>
      </c>
      <c r="H53" s="3">
        <v>1</v>
      </c>
      <c r="I53" s="4">
        <v>398523.40289999999</v>
      </c>
      <c r="J53" s="3">
        <v>76.470325720000005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</v>
      </c>
      <c r="V53" s="3">
        <v>0</v>
      </c>
      <c r="W53" s="3">
        <v>0</v>
      </c>
      <c r="X53" s="3">
        <v>0</v>
      </c>
      <c r="Z53" s="5"/>
      <c r="AA53" s="5"/>
    </row>
    <row r="54" spans="1:27" ht="14">
      <c r="A54" s="1" t="s">
        <v>17</v>
      </c>
      <c r="B54" s="3">
        <v>1.686465734</v>
      </c>
      <c r="C54" s="3">
        <v>0</v>
      </c>
      <c r="D54" s="3">
        <v>1</v>
      </c>
      <c r="E54" s="3">
        <v>1</v>
      </c>
      <c r="F54" s="3">
        <v>0</v>
      </c>
      <c r="G54" s="3">
        <v>0</v>
      </c>
      <c r="H54" s="3">
        <v>0</v>
      </c>
      <c r="I54" s="4">
        <v>272215.99400000001</v>
      </c>
      <c r="J54" s="3">
        <v>40.041746140000001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Z54" s="5"/>
      <c r="AA54" s="5"/>
    </row>
    <row r="55" spans="1:27" ht="14">
      <c r="A55" s="10"/>
      <c r="B55" s="3">
        <v>1.300276196</v>
      </c>
      <c r="C55" s="3">
        <v>0</v>
      </c>
      <c r="D55" s="3">
        <v>1</v>
      </c>
      <c r="E55" s="3">
        <v>1</v>
      </c>
      <c r="F55" s="3">
        <v>1</v>
      </c>
      <c r="G55" s="3">
        <v>0</v>
      </c>
      <c r="H55" s="3">
        <v>0</v>
      </c>
      <c r="I55" s="4">
        <v>207124.7947</v>
      </c>
      <c r="J55" s="3">
        <v>37.93310726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Z55" s="5"/>
      <c r="AA55" s="5"/>
    </row>
    <row r="56" spans="1:27" ht="14">
      <c r="A56" s="10"/>
      <c r="B56" s="3">
        <v>1.5460527580000001</v>
      </c>
      <c r="C56" s="3">
        <v>0</v>
      </c>
      <c r="D56" s="3">
        <v>1</v>
      </c>
      <c r="E56" s="3">
        <v>1</v>
      </c>
      <c r="F56" s="3">
        <v>0</v>
      </c>
      <c r="G56" s="3">
        <v>1</v>
      </c>
      <c r="H56" s="3">
        <v>0</v>
      </c>
      <c r="I56" s="4">
        <v>257988.27840000001</v>
      </c>
      <c r="J56" s="3">
        <v>30.016313019999998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Z56" s="5"/>
      <c r="AA56" s="5"/>
    </row>
    <row r="57" spans="1:27" ht="14">
      <c r="A57" s="6"/>
      <c r="B57" s="3">
        <v>1.3290854940000001</v>
      </c>
      <c r="C57" s="3">
        <v>0</v>
      </c>
      <c r="D57" s="3">
        <v>1</v>
      </c>
      <c r="E57" s="3">
        <v>1</v>
      </c>
      <c r="F57" s="3">
        <v>0</v>
      </c>
      <c r="G57" s="3">
        <v>0</v>
      </c>
      <c r="H57" s="3">
        <v>1</v>
      </c>
      <c r="I57" s="4">
        <v>388770.1189</v>
      </c>
      <c r="J57" s="3">
        <v>40.78725876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1</v>
      </c>
      <c r="W57" s="3">
        <v>0</v>
      </c>
      <c r="X57" s="3">
        <v>0</v>
      </c>
      <c r="Z57" s="5"/>
      <c r="AA57" s="5"/>
    </row>
    <row r="58" spans="1:27" ht="14">
      <c r="A58" s="1" t="s">
        <v>18</v>
      </c>
      <c r="B58" s="3">
        <v>0.87637906499999996</v>
      </c>
      <c r="C58" s="3">
        <v>0</v>
      </c>
      <c r="D58" s="3">
        <v>1</v>
      </c>
      <c r="E58" s="3">
        <v>1</v>
      </c>
      <c r="F58" s="3">
        <v>0</v>
      </c>
      <c r="G58" s="3">
        <v>0</v>
      </c>
      <c r="H58" s="3">
        <v>0</v>
      </c>
      <c r="I58" s="4">
        <v>36899.583780000001</v>
      </c>
      <c r="J58" s="3">
        <v>23.372713279999999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Z58" s="5"/>
      <c r="AA58" s="5"/>
    </row>
    <row r="59" spans="1:27" ht="14">
      <c r="A59" s="10"/>
      <c r="B59" s="3">
        <v>0.99401901800000003</v>
      </c>
      <c r="C59" s="3">
        <v>0</v>
      </c>
      <c r="D59" s="3">
        <v>1</v>
      </c>
      <c r="E59" s="3">
        <v>1</v>
      </c>
      <c r="F59" s="3">
        <v>1</v>
      </c>
      <c r="G59" s="3">
        <v>0</v>
      </c>
      <c r="H59" s="3">
        <v>0</v>
      </c>
      <c r="I59" s="4">
        <v>32673.205979999999</v>
      </c>
      <c r="J59" s="3">
        <v>16.95948555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Z59" s="5"/>
      <c r="AA59" s="5"/>
    </row>
    <row r="60" spans="1:27" ht="14">
      <c r="A60" s="10"/>
      <c r="B60" s="3">
        <v>0.86273889400000003</v>
      </c>
      <c r="C60" s="3">
        <v>0</v>
      </c>
      <c r="D60" s="3">
        <v>1</v>
      </c>
      <c r="E60" s="3">
        <v>1</v>
      </c>
      <c r="F60" s="3">
        <v>0</v>
      </c>
      <c r="G60" s="3">
        <v>1</v>
      </c>
      <c r="H60" s="3">
        <v>0</v>
      </c>
      <c r="I60" s="4">
        <v>33692.18894</v>
      </c>
      <c r="J60" s="3">
        <v>17.172514700000001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Z60" s="5"/>
      <c r="AA60" s="5"/>
    </row>
    <row r="61" spans="1:27" ht="14">
      <c r="A61" s="6"/>
      <c r="B61" s="3">
        <v>0.81371995799999997</v>
      </c>
      <c r="C61" s="3">
        <v>0</v>
      </c>
      <c r="D61" s="3">
        <v>1</v>
      </c>
      <c r="E61" s="3">
        <v>1</v>
      </c>
      <c r="F61" s="3">
        <v>0</v>
      </c>
      <c r="G61" s="3">
        <v>0</v>
      </c>
      <c r="H61" s="3">
        <v>1</v>
      </c>
      <c r="I61" s="4">
        <v>129452.8789</v>
      </c>
      <c r="J61" s="3">
        <v>33.536912190000002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1</v>
      </c>
      <c r="Z61" s="5"/>
      <c r="AA61" s="5"/>
    </row>
    <row r="62" spans="1:27" ht="14">
      <c r="A62" s="1" t="s">
        <v>19</v>
      </c>
      <c r="B62" s="3">
        <v>0.32332699300000001</v>
      </c>
      <c r="C62" s="3">
        <v>0</v>
      </c>
      <c r="D62" s="3">
        <v>1</v>
      </c>
      <c r="E62" s="3">
        <v>1</v>
      </c>
      <c r="F62" s="3">
        <v>0</v>
      </c>
      <c r="G62" s="3">
        <v>0</v>
      </c>
      <c r="H62" s="3">
        <v>0</v>
      </c>
      <c r="I62" s="4">
        <v>23888.455569999998</v>
      </c>
      <c r="J62" s="3">
        <v>18.734501940000001</v>
      </c>
      <c r="K62" s="3">
        <v>0</v>
      </c>
      <c r="L62" s="3">
        <v>0</v>
      </c>
      <c r="M62" s="3">
        <v>0</v>
      </c>
      <c r="N62" s="3">
        <v>0</v>
      </c>
      <c r="O62" s="3">
        <v>1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Z62" s="5"/>
      <c r="AA62" s="5"/>
    </row>
    <row r="63" spans="1:27" ht="14">
      <c r="A63" s="10"/>
      <c r="B63" s="3">
        <v>0.40311645099999999</v>
      </c>
      <c r="C63" s="3">
        <v>0</v>
      </c>
      <c r="D63" s="3">
        <v>1</v>
      </c>
      <c r="E63" s="3">
        <v>1</v>
      </c>
      <c r="F63" s="3">
        <v>1</v>
      </c>
      <c r="G63" s="3">
        <v>0</v>
      </c>
      <c r="H63" s="3">
        <v>0</v>
      </c>
      <c r="I63" s="4">
        <v>23416.064849999999</v>
      </c>
      <c r="J63" s="3">
        <v>18.435811900000001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Z63" s="5"/>
      <c r="AA63" s="5"/>
    </row>
    <row r="64" spans="1:27" ht="14">
      <c r="A64" s="10"/>
      <c r="B64" s="3">
        <v>0.38668526600000003</v>
      </c>
      <c r="C64" s="3">
        <v>0</v>
      </c>
      <c r="D64" s="3">
        <v>1</v>
      </c>
      <c r="E64" s="3">
        <v>1</v>
      </c>
      <c r="F64" s="3">
        <v>0</v>
      </c>
      <c r="G64" s="3">
        <v>1</v>
      </c>
      <c r="H64" s="3">
        <v>0</v>
      </c>
      <c r="I64" s="4">
        <v>24028.323090000002</v>
      </c>
      <c r="J64" s="3">
        <v>16.23248688</v>
      </c>
      <c r="K64" s="3">
        <v>0</v>
      </c>
      <c r="L64" s="3">
        <v>0</v>
      </c>
      <c r="M64" s="3">
        <v>0</v>
      </c>
      <c r="N64" s="3">
        <v>0</v>
      </c>
      <c r="O64" s="3">
        <v>1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Z64" s="5"/>
      <c r="AA64" s="5"/>
    </row>
    <row r="65" spans="1:27" ht="14">
      <c r="A65" s="6"/>
      <c r="B65" s="3">
        <v>0.55485013299999997</v>
      </c>
      <c r="C65" s="3">
        <v>0</v>
      </c>
      <c r="D65" s="3">
        <v>1</v>
      </c>
      <c r="E65" s="3">
        <v>1</v>
      </c>
      <c r="F65" s="3">
        <v>0</v>
      </c>
      <c r="G65" s="3">
        <v>0</v>
      </c>
      <c r="H65" s="3">
        <v>1</v>
      </c>
      <c r="I65" s="4">
        <v>25333.522919999999</v>
      </c>
      <c r="J65" s="3">
        <v>16.627186429999998</v>
      </c>
      <c r="K65" s="3">
        <v>0</v>
      </c>
      <c r="L65" s="3">
        <v>0</v>
      </c>
      <c r="M65" s="3">
        <v>0</v>
      </c>
      <c r="N65" s="3">
        <v>0</v>
      </c>
      <c r="O65" s="3">
        <v>1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Z65" s="5"/>
      <c r="AA65" s="5"/>
    </row>
    <row r="66" spans="1:27" ht="14">
      <c r="A66" s="11" t="s">
        <v>20</v>
      </c>
      <c r="B66" s="3">
        <v>-1.1375370000000001E-3</v>
      </c>
      <c r="C66" s="3">
        <v>0</v>
      </c>
      <c r="D66" s="3">
        <v>1</v>
      </c>
      <c r="E66" s="3">
        <v>1</v>
      </c>
      <c r="F66" s="3">
        <v>0</v>
      </c>
      <c r="G66" s="3">
        <v>0</v>
      </c>
      <c r="H66" s="3">
        <v>0</v>
      </c>
      <c r="I66" s="4">
        <v>37466.506860000001</v>
      </c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Z66" s="6"/>
      <c r="AA66" s="6"/>
    </row>
    <row r="67" spans="1:27" ht="14">
      <c r="A67" s="6"/>
      <c r="B67" s="3">
        <v>4.4411500000000003E-4</v>
      </c>
      <c r="C67" s="3">
        <v>0</v>
      </c>
      <c r="D67" s="3">
        <v>1</v>
      </c>
      <c r="E67" s="3">
        <v>1</v>
      </c>
      <c r="F67" s="3">
        <v>1</v>
      </c>
      <c r="G67" s="3">
        <v>0</v>
      </c>
      <c r="H67" s="3">
        <v>0</v>
      </c>
      <c r="I67" s="4">
        <v>47785.310819999999</v>
      </c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Z67" s="6"/>
      <c r="AA67" s="6"/>
    </row>
    <row r="68" spans="1:27" ht="14">
      <c r="A68" s="6"/>
      <c r="B68" s="3">
        <v>1.14072E-4</v>
      </c>
      <c r="C68" s="3">
        <v>0</v>
      </c>
      <c r="D68" s="3">
        <v>1</v>
      </c>
      <c r="E68" s="3">
        <v>1</v>
      </c>
      <c r="F68" s="3">
        <v>0</v>
      </c>
      <c r="G68" s="3">
        <v>1</v>
      </c>
      <c r="H68" s="3">
        <v>0</v>
      </c>
      <c r="I68" s="4">
        <v>36994.68894</v>
      </c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Z68" s="6"/>
      <c r="AA68" s="6"/>
    </row>
    <row r="69" spans="1:27" ht="14">
      <c r="A69" s="6"/>
      <c r="B69" s="3">
        <v>-3.20477E-4</v>
      </c>
      <c r="C69" s="3">
        <v>0</v>
      </c>
      <c r="D69" s="3">
        <v>1</v>
      </c>
      <c r="E69" s="3">
        <v>1</v>
      </c>
      <c r="F69" s="3">
        <v>0</v>
      </c>
      <c r="G69" s="3">
        <v>0</v>
      </c>
      <c r="H69" s="3">
        <v>1</v>
      </c>
      <c r="I69" s="4">
        <v>36195.322919999999</v>
      </c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Z69" s="6"/>
      <c r="AA69" s="6"/>
    </row>
    <row r="70" spans="1:27" ht="14">
      <c r="A70" s="1" t="s">
        <v>21</v>
      </c>
      <c r="B70" s="3">
        <v>0.64021678599999998</v>
      </c>
      <c r="C70" s="3">
        <v>0</v>
      </c>
      <c r="D70" s="3">
        <v>1</v>
      </c>
      <c r="E70" s="3">
        <v>1</v>
      </c>
      <c r="F70" s="3">
        <v>0</v>
      </c>
      <c r="G70" s="3">
        <v>0</v>
      </c>
      <c r="H70" s="3">
        <v>0</v>
      </c>
      <c r="I70" s="4">
        <v>484209.88290000003</v>
      </c>
      <c r="J70" s="3">
        <v>4.2093581159999998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1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Z70" s="5"/>
      <c r="AA70" s="5"/>
    </row>
    <row r="71" spans="1:27" ht="14">
      <c r="A71" s="10"/>
      <c r="B71" s="3">
        <v>0.97012129899999999</v>
      </c>
      <c r="C71" s="3">
        <v>0</v>
      </c>
      <c r="D71" s="3">
        <v>1</v>
      </c>
      <c r="E71" s="3">
        <v>1</v>
      </c>
      <c r="F71" s="3">
        <v>1</v>
      </c>
      <c r="G71" s="3">
        <v>0</v>
      </c>
      <c r="H71" s="3">
        <v>0</v>
      </c>
      <c r="I71" s="4">
        <v>407764.2181</v>
      </c>
      <c r="J71" s="3">
        <v>4.281676042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1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Z71" s="5"/>
      <c r="AA71" s="5"/>
    </row>
    <row r="72" spans="1:27" ht="14">
      <c r="A72" s="10"/>
      <c r="B72" s="3">
        <v>0.765385172</v>
      </c>
      <c r="C72" s="3">
        <v>0</v>
      </c>
      <c r="D72" s="3">
        <v>1</v>
      </c>
      <c r="E72" s="3">
        <v>1</v>
      </c>
      <c r="F72" s="3">
        <v>0</v>
      </c>
      <c r="G72" s="3">
        <v>1</v>
      </c>
      <c r="H72" s="3">
        <v>0</v>
      </c>
      <c r="I72" s="4">
        <v>480795.1483</v>
      </c>
      <c r="J72" s="3">
        <v>2.633534166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1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Z72" s="5"/>
      <c r="AA72" s="5"/>
    </row>
    <row r="73" spans="1:27" ht="14">
      <c r="A73" s="6"/>
      <c r="B73" s="3">
        <v>0.91247294300000004</v>
      </c>
      <c r="C73" s="3">
        <v>0</v>
      </c>
      <c r="D73" s="3">
        <v>1</v>
      </c>
      <c r="E73" s="3">
        <v>1</v>
      </c>
      <c r="F73" s="3">
        <v>0</v>
      </c>
      <c r="G73" s="3">
        <v>0</v>
      </c>
      <c r="H73" s="3">
        <v>1</v>
      </c>
      <c r="I73" s="4">
        <v>738408.48690000002</v>
      </c>
      <c r="J73" s="3">
        <v>3.1581137309999998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1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Z73" s="5"/>
      <c r="AA73" s="5"/>
    </row>
    <row r="74" spans="1:27" ht="14">
      <c r="A74" s="1" t="s">
        <v>22</v>
      </c>
      <c r="B74" s="3">
        <v>1.195969745</v>
      </c>
      <c r="C74" s="3">
        <v>0</v>
      </c>
      <c r="D74" s="3">
        <v>1</v>
      </c>
      <c r="E74" s="3">
        <v>1</v>
      </c>
      <c r="F74" s="3">
        <v>0</v>
      </c>
      <c r="G74" s="3">
        <v>0</v>
      </c>
      <c r="H74" s="3">
        <v>0</v>
      </c>
      <c r="I74" s="4">
        <v>121698.6778</v>
      </c>
      <c r="J74" s="3">
        <v>7.9620317050000002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1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Z74" s="5"/>
      <c r="AA74" s="5"/>
    </row>
    <row r="75" spans="1:27" ht="14">
      <c r="A75" s="10"/>
      <c r="B75" s="3">
        <v>1.2394097900000001</v>
      </c>
      <c r="C75" s="3">
        <v>0</v>
      </c>
      <c r="D75" s="3">
        <v>1</v>
      </c>
      <c r="E75" s="3">
        <v>1</v>
      </c>
      <c r="F75" s="3">
        <v>1</v>
      </c>
      <c r="G75" s="3">
        <v>0</v>
      </c>
      <c r="H75" s="3">
        <v>0</v>
      </c>
      <c r="I75" s="4">
        <v>119776.03260000001</v>
      </c>
      <c r="J75" s="3">
        <v>13.39203816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1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Z75" s="5"/>
      <c r="AA75" s="5"/>
    </row>
    <row r="76" spans="1:27" ht="14">
      <c r="A76" s="10"/>
      <c r="B76" s="3">
        <v>1.33049146</v>
      </c>
      <c r="C76" s="3">
        <v>0</v>
      </c>
      <c r="D76" s="3">
        <v>1</v>
      </c>
      <c r="E76" s="3">
        <v>1</v>
      </c>
      <c r="F76" s="3">
        <v>0</v>
      </c>
      <c r="G76" s="3">
        <v>1</v>
      </c>
      <c r="H76" s="3">
        <v>0</v>
      </c>
      <c r="I76" s="4">
        <v>113054.7133</v>
      </c>
      <c r="J76" s="3">
        <v>8.7313478829999998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1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Z76" s="5"/>
      <c r="AA76" s="5"/>
    </row>
    <row r="77" spans="1:27" ht="14">
      <c r="A77" s="6"/>
      <c r="B77" s="3">
        <v>1.2889444699999999</v>
      </c>
      <c r="C77" s="3">
        <v>0</v>
      </c>
      <c r="D77" s="3">
        <v>1</v>
      </c>
      <c r="E77" s="3">
        <v>1</v>
      </c>
      <c r="F77" s="3">
        <v>0</v>
      </c>
      <c r="G77" s="3">
        <v>0</v>
      </c>
      <c r="H77" s="3">
        <v>1</v>
      </c>
      <c r="I77" s="4">
        <v>432500.0269</v>
      </c>
      <c r="J77" s="3">
        <v>7.3560962139999999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Z77" s="5"/>
      <c r="AA77" s="5"/>
    </row>
    <row r="78" spans="1:27" ht="14">
      <c r="A78" s="1" t="s">
        <v>23</v>
      </c>
      <c r="B78" s="3">
        <v>1.561791852</v>
      </c>
      <c r="C78" s="3">
        <v>0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4">
        <v>77593.241899999994</v>
      </c>
      <c r="J78" s="3">
        <v>5.4424227969999999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Z78" s="5"/>
      <c r="AA78" s="5"/>
    </row>
    <row r="79" spans="1:27" ht="14">
      <c r="A79" s="10"/>
      <c r="B79" s="3">
        <v>1.4060403939999999</v>
      </c>
      <c r="C79" s="3">
        <v>0</v>
      </c>
      <c r="D79" s="3">
        <v>1</v>
      </c>
      <c r="E79" s="3">
        <v>1</v>
      </c>
      <c r="F79" s="3">
        <v>1</v>
      </c>
      <c r="G79" s="3">
        <v>0</v>
      </c>
      <c r="H79" s="3">
        <v>0</v>
      </c>
      <c r="I79" s="4">
        <v>62557.379370000002</v>
      </c>
      <c r="J79" s="3">
        <v>12.729861570000001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Z79" s="5"/>
      <c r="AA79" s="5"/>
    </row>
    <row r="80" spans="1:27" ht="14">
      <c r="A80" s="10"/>
      <c r="B80" s="3">
        <v>0.89579497200000002</v>
      </c>
      <c r="C80" s="3">
        <v>0</v>
      </c>
      <c r="D80" s="3">
        <v>1</v>
      </c>
      <c r="E80" s="3">
        <v>1</v>
      </c>
      <c r="F80" s="3">
        <v>0</v>
      </c>
      <c r="G80" s="3">
        <v>1</v>
      </c>
      <c r="H80" s="3">
        <v>0</v>
      </c>
      <c r="I80" s="4">
        <v>67246.363740000001</v>
      </c>
      <c r="J80" s="3">
        <v>19.411358799999999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Z80" s="5"/>
      <c r="AA80" s="5"/>
    </row>
    <row r="81" spans="1:27" ht="14">
      <c r="A81" s="6"/>
      <c r="B81" s="3">
        <v>0.99464628899999996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1</v>
      </c>
      <c r="I81" s="4">
        <v>134072.97089999999</v>
      </c>
      <c r="J81" s="3">
        <v>18.145523499999999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Z81" s="5"/>
      <c r="AA81" s="5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81"/>
  <sheetViews>
    <sheetView topLeftCell="J1" workbookViewId="0">
      <pane ySplit="1" topLeftCell="A2" activePane="bottomLeft" state="frozen"/>
      <selection pane="bottomLeft" sqref="A1:X1"/>
    </sheetView>
  </sheetViews>
  <sheetFormatPr baseColWidth="10" defaultColWidth="14.5" defaultRowHeight="15.75" customHeight="1"/>
  <sheetData>
    <row r="1" spans="1:24" ht="15.75" customHeight="1">
      <c r="A1" s="12" t="s">
        <v>0</v>
      </c>
      <c r="B1" s="9" t="s">
        <v>44</v>
      </c>
      <c r="C1" s="9" t="s">
        <v>45</v>
      </c>
      <c r="D1" s="9" t="s">
        <v>46</v>
      </c>
      <c r="E1" s="9" t="s">
        <v>47</v>
      </c>
      <c r="F1" s="16" t="s">
        <v>61</v>
      </c>
      <c r="G1" s="18" t="s">
        <v>62</v>
      </c>
      <c r="H1" s="16" t="s">
        <v>63</v>
      </c>
      <c r="I1" s="9" t="s">
        <v>48</v>
      </c>
      <c r="J1" s="12" t="s">
        <v>1</v>
      </c>
      <c r="K1" s="2" t="s">
        <v>2</v>
      </c>
      <c r="L1" s="17" t="s">
        <v>49</v>
      </c>
      <c r="M1" s="17" t="s">
        <v>50</v>
      </c>
      <c r="N1" s="17" t="s">
        <v>51</v>
      </c>
      <c r="O1" s="17" t="s">
        <v>52</v>
      </c>
      <c r="P1" s="17" t="s">
        <v>53</v>
      </c>
      <c r="Q1" s="17" t="s">
        <v>54</v>
      </c>
      <c r="R1" s="17" t="s">
        <v>3</v>
      </c>
      <c r="S1" s="17" t="s">
        <v>55</v>
      </c>
      <c r="T1" s="17" t="s">
        <v>56</v>
      </c>
      <c r="U1" s="17" t="s">
        <v>57</v>
      </c>
      <c r="V1" s="17" t="s">
        <v>58</v>
      </c>
      <c r="W1" s="17" t="s">
        <v>59</v>
      </c>
      <c r="X1" s="17" t="s">
        <v>60</v>
      </c>
    </row>
    <row r="2" spans="1:24" ht="15.75" customHeight="1">
      <c r="A2" s="12" t="s">
        <v>24</v>
      </c>
      <c r="B2" s="12">
        <v>1.0325997709999899</v>
      </c>
      <c r="C2" s="12">
        <v>0</v>
      </c>
      <c r="D2" s="12">
        <v>1</v>
      </c>
      <c r="E2" s="12">
        <v>1</v>
      </c>
      <c r="F2" s="12">
        <v>0</v>
      </c>
      <c r="G2" s="12">
        <v>0</v>
      </c>
      <c r="H2" s="12">
        <v>0</v>
      </c>
      <c r="I2" s="13">
        <f ca="1">IFERROR(__xludf.DUMMYFUNCTION("average(GOOGLEFINANCE(""131290"", ""volume"", ""2018. 9. 19"", ""2019. 3. 19"", ""DAILY""))"),48361.7931801994)</f>
        <v>48361.793180199398</v>
      </c>
      <c r="J2" s="12">
        <v>6.8684228890838401</v>
      </c>
      <c r="K2" s="12">
        <v>1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</row>
    <row r="3" spans="1:24" ht="15.75" customHeight="1">
      <c r="B3" s="12">
        <v>1.1540840640000001</v>
      </c>
      <c r="C3" s="12">
        <v>0</v>
      </c>
      <c r="D3" s="12">
        <v>1</v>
      </c>
      <c r="E3" s="12">
        <v>1</v>
      </c>
      <c r="F3" s="12">
        <v>1</v>
      </c>
      <c r="G3" s="12">
        <v>0</v>
      </c>
      <c r="H3" s="12">
        <v>0</v>
      </c>
      <c r="I3" s="13">
        <f ca="1">IFERROR(__xludf.DUMMYFUNCTION("average(GOOGLEFINANCE(""131290"", ""volume"", ""2019. 3. 20"", ""2019. 9. 18"", ""DAILY""))"),72443.222110215)</f>
        <v>72443.222110215007</v>
      </c>
      <c r="J3" s="12">
        <v>5.5395506348902099</v>
      </c>
      <c r="K3" s="12">
        <v>1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24" ht="15.75" customHeight="1">
      <c r="B4" s="12">
        <v>1.2485305090000001</v>
      </c>
      <c r="C4" s="12">
        <v>0</v>
      </c>
      <c r="D4" s="12">
        <v>1</v>
      </c>
      <c r="E4" s="12">
        <v>1</v>
      </c>
      <c r="F4" s="12">
        <v>0</v>
      </c>
      <c r="G4" s="12">
        <v>1</v>
      </c>
      <c r="H4" s="12">
        <v>0</v>
      </c>
      <c r="I4" s="13">
        <f ca="1">IFERROR(__xludf.DUMMYFUNCTION("average(GOOGLEFINANCE(""131290"", ""volume"", ""2019. 9. 19"", ""2020. 3. 19"", ""DAILY""))"),77942.2539803523)</f>
        <v>77942.253980352296</v>
      </c>
      <c r="J4" s="12">
        <v>5.4739627676302902</v>
      </c>
      <c r="K4" s="12">
        <v>1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24" ht="15.75" customHeight="1">
      <c r="B5" s="12">
        <v>1.164744719</v>
      </c>
      <c r="C5" s="12">
        <v>0</v>
      </c>
      <c r="D5" s="12">
        <v>1</v>
      </c>
      <c r="E5" s="12">
        <v>1</v>
      </c>
      <c r="F5" s="12">
        <v>0</v>
      </c>
      <c r="G5" s="12">
        <v>0</v>
      </c>
      <c r="H5" s="12">
        <v>1</v>
      </c>
      <c r="I5" s="13">
        <f ca="1">IFERROR(__xludf.DUMMYFUNCTION("average(GOOGLEFINANCE(""131290"", ""volume"",""2020. 3. 20"", ""2020. 9. 18"", ""DAILY""))"),100482.002916666)</f>
        <v>100482.002916666</v>
      </c>
      <c r="J5" s="12">
        <v>13.3456753601471</v>
      </c>
      <c r="K5" s="12">
        <v>1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1</v>
      </c>
      <c r="W5" s="12">
        <v>0</v>
      </c>
      <c r="X5" s="12">
        <v>0</v>
      </c>
    </row>
    <row r="6" spans="1:24" ht="15.75" customHeight="1">
      <c r="A6" s="12" t="s">
        <v>25</v>
      </c>
      <c r="B6" s="12">
        <v>1.0719348959999999</v>
      </c>
      <c r="C6" s="12">
        <v>0</v>
      </c>
      <c r="D6" s="12">
        <v>1</v>
      </c>
      <c r="E6" s="12">
        <v>1</v>
      </c>
      <c r="F6" s="12">
        <v>0</v>
      </c>
      <c r="G6" s="12">
        <v>0</v>
      </c>
      <c r="H6" s="12">
        <v>0</v>
      </c>
      <c r="I6" s="13">
        <f ca="1">IFERROR(__xludf.DUMMYFUNCTION("average(GOOGLEFINANCE(""102710"", ""volume"", ""2018. 9. 19"", ""2019. 3. 19"", ""DAILY""))"),121922.506855412)</f>
        <v>121922.50685541199</v>
      </c>
      <c r="J6" s="12">
        <v>6.9543526980651604</v>
      </c>
      <c r="K6" s="12">
        <v>0</v>
      </c>
      <c r="L6" s="12">
        <v>1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24" ht="15.75" customHeight="1">
      <c r="B7" s="12">
        <v>0.8706497876</v>
      </c>
      <c r="C7" s="12">
        <v>0</v>
      </c>
      <c r="D7" s="12">
        <v>1</v>
      </c>
      <c r="E7" s="12">
        <v>1</v>
      </c>
      <c r="F7" s="12">
        <v>1</v>
      </c>
      <c r="G7" s="12">
        <v>0</v>
      </c>
      <c r="H7" s="12">
        <v>0</v>
      </c>
      <c r="I7" s="13">
        <f ca="1">IFERROR(__xludf.DUMMYFUNCTION("average(GOOGLEFINANCE(102710, ""volume"", ""2019. 3. 20"", ""2019. 9. 18"", ""DAILY""))"),145157.657594085)</f>
        <v>145157.657594085</v>
      </c>
      <c r="J7" s="12">
        <v>6.4524236133050499</v>
      </c>
      <c r="K7" s="12">
        <v>0</v>
      </c>
      <c r="L7" s="12">
        <v>1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</row>
    <row r="8" spans="1:24" ht="15.75" customHeight="1">
      <c r="B8" s="12">
        <v>1.4281314839999999</v>
      </c>
      <c r="C8" s="12">
        <v>0</v>
      </c>
      <c r="D8" s="12">
        <v>1</v>
      </c>
      <c r="E8" s="12">
        <v>1</v>
      </c>
      <c r="F8" s="12">
        <v>0</v>
      </c>
      <c r="G8" s="12">
        <v>1</v>
      </c>
      <c r="H8" s="12">
        <v>0</v>
      </c>
      <c r="I8" s="13">
        <f ca="1">IFERROR(__xludf.DUMMYFUNCTION("average(GOOGLEFINANCE(102710, ""volume"", ""2019. 9. 19"", ""2020. 3. 19"", ""DAILY""))"),130425.188939701)</f>
        <v>130425.18893970099</v>
      </c>
      <c r="J8" s="12">
        <v>6.5914857802497604</v>
      </c>
      <c r="K8" s="12">
        <v>0</v>
      </c>
      <c r="L8" s="12">
        <v>1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24" ht="15.75" customHeight="1">
      <c r="B9" s="12">
        <v>1.4995832869999901</v>
      </c>
      <c r="C9" s="12">
        <v>0</v>
      </c>
      <c r="D9" s="12">
        <v>1</v>
      </c>
      <c r="E9" s="12">
        <v>1</v>
      </c>
      <c r="F9" s="12">
        <v>0</v>
      </c>
      <c r="G9" s="12">
        <v>0</v>
      </c>
      <c r="H9" s="12">
        <v>1</v>
      </c>
      <c r="I9" s="13">
        <f ca="1">IFERROR(__xludf.DUMMYFUNCTION("average(GOOGLEFINANCE(102710, ""volume"",""2020. 3. 20"", ""2020. 9. 18"", ""DAILY""))"),237411.878916667)</f>
        <v>237411.87891666699</v>
      </c>
      <c r="J9" s="12">
        <v>11.5091362751664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24" ht="15.75" customHeight="1">
      <c r="A10" s="12" t="s">
        <v>26</v>
      </c>
      <c r="B10" s="12">
        <v>1.1187002370000001</v>
      </c>
      <c r="C10" s="12">
        <v>0</v>
      </c>
      <c r="D10" s="12">
        <v>1</v>
      </c>
      <c r="E10" s="12">
        <v>1</v>
      </c>
      <c r="F10" s="12">
        <v>0</v>
      </c>
      <c r="G10" s="12">
        <v>0</v>
      </c>
      <c r="H10" s="12">
        <v>0</v>
      </c>
      <c r="I10" s="13">
        <f ca="1">IFERROR(__xludf.DUMMYFUNCTION("average(GOOGLEFINANCE(""KOSDAQ:095610"", ""volume"", ""2018. 9. 19"", ""2019. 3. 19"", ""DAILY""))"),299505.340188746)</f>
        <v>299505.34018874599</v>
      </c>
      <c r="J10" s="12">
        <v>10.101886922894399</v>
      </c>
      <c r="K10" s="12">
        <v>1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24" ht="15.75" customHeight="1">
      <c r="B11" s="12">
        <v>1.537669336</v>
      </c>
      <c r="C11" s="12">
        <v>0</v>
      </c>
      <c r="D11" s="12">
        <v>1</v>
      </c>
      <c r="E11" s="12">
        <v>1</v>
      </c>
      <c r="F11" s="12">
        <v>1</v>
      </c>
      <c r="G11" s="12">
        <v>0</v>
      </c>
      <c r="H11" s="12">
        <v>0</v>
      </c>
      <c r="I11" s="13">
        <f ca="1">IFERROR(__xludf.DUMMYFUNCTION("average(GOOGLEFINANCE(""KOSDAQ:095610"", ""volume"", ""2019. 3. 20"", ""2019. 9. 18"", ""DAILY""))"),313365.298723118)</f>
        <v>313365.29872311797</v>
      </c>
      <c r="J11" s="12">
        <v>20.966252085742301</v>
      </c>
      <c r="K11" s="12">
        <v>1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24" ht="15.75" customHeight="1">
      <c r="B12" s="12">
        <v>1.187799372</v>
      </c>
      <c r="C12" s="12">
        <v>0</v>
      </c>
      <c r="D12" s="12">
        <v>1</v>
      </c>
      <c r="E12" s="12">
        <v>1</v>
      </c>
      <c r="F12" s="12">
        <v>0</v>
      </c>
      <c r="G12" s="12">
        <v>1</v>
      </c>
      <c r="H12" s="12">
        <v>0</v>
      </c>
      <c r="I12" s="13">
        <f ca="1">IFERROR(__xludf.DUMMYFUNCTION("average(GOOGLEFINANCE(""KOSDAQ:095610"", ""volume"", ""2019. 9. 19"", ""2020. 3. 19"", ""DAILY""))"),243815.932842141)</f>
        <v>243815.93284214099</v>
      </c>
      <c r="J12" s="12">
        <v>27.105332459073001</v>
      </c>
      <c r="K12" s="12">
        <v>1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</row>
    <row r="13" spans="1:24" ht="15.75" customHeight="1">
      <c r="B13" s="12">
        <v>2.1639783659999998</v>
      </c>
      <c r="C13" s="12">
        <v>0</v>
      </c>
      <c r="D13" s="12">
        <v>1</v>
      </c>
      <c r="E13" s="12">
        <v>1</v>
      </c>
      <c r="F13" s="12">
        <v>0</v>
      </c>
      <c r="G13" s="12">
        <v>0</v>
      </c>
      <c r="H13" s="12">
        <v>1</v>
      </c>
      <c r="I13" s="13">
        <f ca="1">IFERROR(__xludf.DUMMYFUNCTION("average(GOOGLEFINANCE(""KOSDAQ:095610"", ""volume"",""2020. 3. 20"", ""2020. 9. 18"", ""DAILY""))"),303724.694916666)</f>
        <v>303724.69491666602</v>
      </c>
      <c r="J13" s="12">
        <v>22.137914475803299</v>
      </c>
      <c r="K13" s="12">
        <v>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1</v>
      </c>
      <c r="W13" s="12">
        <v>0</v>
      </c>
      <c r="X13" s="12">
        <v>0</v>
      </c>
    </row>
    <row r="14" spans="1:24" ht="15.75" customHeight="1">
      <c r="A14" s="12" t="s">
        <v>27</v>
      </c>
      <c r="B14" s="12">
        <v>0.72807090220000004</v>
      </c>
      <c r="C14" s="12">
        <v>0</v>
      </c>
      <c r="D14" s="12">
        <v>1</v>
      </c>
      <c r="E14" s="12">
        <v>1</v>
      </c>
      <c r="F14" s="12">
        <v>0</v>
      </c>
      <c r="G14" s="12">
        <v>0</v>
      </c>
      <c r="H14" s="12">
        <v>0</v>
      </c>
      <c r="I14" s="13">
        <f ca="1">IFERROR(__xludf.DUMMYFUNCTION("average(GOOGLEFINANCE(""KOSDAQ:222800"", ""volume"", ""2018. 9. 19"", ""2019. 3. 19"", ""DAILY""))"),80275.0282229345)</f>
        <v>80275.028222934503</v>
      </c>
      <c r="K14" s="12">
        <v>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24" ht="15.75" customHeight="1">
      <c r="B15" s="12">
        <v>0.91056535589999998</v>
      </c>
      <c r="C15" s="12">
        <v>0</v>
      </c>
      <c r="D15" s="12">
        <v>1</v>
      </c>
      <c r="E15" s="12">
        <v>1</v>
      </c>
      <c r="F15" s="12">
        <v>1</v>
      </c>
      <c r="G15" s="12">
        <v>0</v>
      </c>
      <c r="H15" s="12">
        <v>0</v>
      </c>
      <c r="I15" s="13">
        <f ca="1">IFERROR(__xludf.DUMMYFUNCTION("average(GOOGLEFINANCE(""KOSDAQ:222800"", ""volume"", ""2019. 3. 20"", ""2019. 9. 18"", ""DAILY""))"),62200.0688844086)</f>
        <v>62200.068884408603</v>
      </c>
      <c r="K15" s="12">
        <v>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</row>
    <row r="16" spans="1:24" ht="15.75" customHeight="1">
      <c r="B16" s="12">
        <v>1.313224116</v>
      </c>
      <c r="C16" s="12">
        <v>0</v>
      </c>
      <c r="D16" s="12">
        <v>1</v>
      </c>
      <c r="E16" s="12">
        <v>1</v>
      </c>
      <c r="F16" s="12">
        <v>0</v>
      </c>
      <c r="G16" s="12">
        <v>1</v>
      </c>
      <c r="H16" s="12">
        <v>0</v>
      </c>
      <c r="I16" s="13">
        <f ca="1">IFERROR(__xludf.DUMMYFUNCTION("average(GOOGLEFINANCE(""KOSDAQ:222800"", ""volume"", ""2019. 9. 19"", ""2020. 3. 19"", ""DAILY""))"),255033.697069783)</f>
        <v>255033.697069783</v>
      </c>
      <c r="K16" s="12">
        <v>1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>
      <c r="B17" s="12">
        <v>1.5125014290000001</v>
      </c>
      <c r="C17" s="12">
        <v>0</v>
      </c>
      <c r="D17" s="12">
        <v>1</v>
      </c>
      <c r="E17" s="12">
        <v>1</v>
      </c>
      <c r="F17" s="12">
        <v>0</v>
      </c>
      <c r="G17" s="12">
        <v>0</v>
      </c>
      <c r="H17" s="12">
        <v>1</v>
      </c>
      <c r="I17" s="13">
        <f ca="1">IFERROR(__xludf.DUMMYFUNCTION("average(GOOGLEFINANCE(""KOSDAQ:222800"", ""volume"",""2020. 3. 20"", ""2020. 9. 18"", ""DAILY""))"),621655.526916666)</f>
        <v>621655.52691666596</v>
      </c>
      <c r="J17" s="12">
        <v>12.4643839676467</v>
      </c>
      <c r="K17" s="12">
        <v>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</row>
    <row r="18" spans="1:24" ht="15.75" customHeight="1">
      <c r="A18" s="12" t="s">
        <v>28</v>
      </c>
      <c r="B18" s="12">
        <v>1.064981194</v>
      </c>
      <c r="C18" s="12">
        <v>0</v>
      </c>
      <c r="D18" s="12">
        <v>1</v>
      </c>
      <c r="E18" s="12">
        <v>1</v>
      </c>
      <c r="F18" s="12">
        <v>0</v>
      </c>
      <c r="G18" s="12">
        <v>0</v>
      </c>
      <c r="H18" s="12">
        <v>0</v>
      </c>
      <c r="I18" s="13">
        <f ca="1">IFERROR(__xludf.DUMMYFUNCTION("average(GOOGLEFINANCE(""KOSDAQ:214450"", ""volume"", ""2018. 9. 19"", ""2019. 3. 19"", ""DAILY""))"),38820.5282229344)</f>
        <v>38820.528222934401</v>
      </c>
      <c r="J18" s="12">
        <v>25.001332133200599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>
      <c r="B19" s="12">
        <v>1.197238198</v>
      </c>
      <c r="C19" s="12">
        <v>0</v>
      </c>
      <c r="D19" s="12">
        <v>1</v>
      </c>
      <c r="E19" s="12">
        <v>1</v>
      </c>
      <c r="F19" s="12">
        <v>1</v>
      </c>
      <c r="G19" s="12">
        <v>0</v>
      </c>
      <c r="H19" s="12">
        <v>0</v>
      </c>
      <c r="I19" s="13">
        <f ca="1">IFERROR(__xludf.DUMMYFUNCTION("average(GOOGLEFINANCE(""KOSDAQ:214450"", ""volume"", ""2019. 3. 20"", ""2019. 9. 18"", ""DAILY""))"),44181.6213037634)</f>
        <v>44181.621303763401</v>
      </c>
      <c r="J19" s="12">
        <v>19.596359547627699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1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</row>
    <row r="20" spans="1:24" ht="15.75" customHeight="1">
      <c r="B20" s="12">
        <v>0.98516106010000004</v>
      </c>
      <c r="C20" s="12">
        <v>0</v>
      </c>
      <c r="D20" s="12">
        <v>1</v>
      </c>
      <c r="E20" s="12">
        <v>1</v>
      </c>
      <c r="F20" s="12">
        <v>0</v>
      </c>
      <c r="G20" s="12">
        <v>1</v>
      </c>
      <c r="H20" s="12">
        <v>0</v>
      </c>
      <c r="I20" s="13">
        <f ca="1">IFERROR(__xludf.DUMMYFUNCTION("average(GOOGLEFINANCE(""KOSDAQ:214450"", ""volume"", ""2019. 9. 19"", ""2020. 3. 19"", ""DAILY""))"),56306.3678014905)</f>
        <v>56306.367801490502</v>
      </c>
      <c r="J20" s="12">
        <v>19.2021208366276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</row>
    <row r="21" spans="1:24" ht="15.75" customHeight="1">
      <c r="B21" s="12">
        <v>1.0383996040000001</v>
      </c>
      <c r="C21" s="12">
        <v>0</v>
      </c>
      <c r="D21" s="12">
        <v>1</v>
      </c>
      <c r="E21" s="12">
        <v>1</v>
      </c>
      <c r="F21" s="12">
        <v>0</v>
      </c>
      <c r="G21" s="12">
        <v>0</v>
      </c>
      <c r="H21" s="12">
        <v>1</v>
      </c>
      <c r="I21" s="13">
        <f ca="1">IFERROR(__xludf.DUMMYFUNCTION("average(GOOGLEFINANCE(""KOSDAQ:214450"", ""volume"",""2020. 3. 20"", ""2020. 9. 18"", ""DAILY""))"),92684.7349166666)</f>
        <v>92684.734916666595</v>
      </c>
      <c r="J21" s="12">
        <v>22.782205620864701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1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1</v>
      </c>
    </row>
    <row r="22" spans="1:24" ht="15.75" customHeight="1">
      <c r="A22" s="12" t="s">
        <v>29</v>
      </c>
      <c r="B22" s="12">
        <v>0.94140327269999902</v>
      </c>
      <c r="C22" s="12">
        <v>0</v>
      </c>
      <c r="D22" s="12">
        <v>1</v>
      </c>
      <c r="E22" s="12">
        <v>1</v>
      </c>
      <c r="F22" s="12">
        <v>0</v>
      </c>
      <c r="G22" s="12">
        <v>0</v>
      </c>
      <c r="H22" s="12">
        <v>0</v>
      </c>
      <c r="I22" s="13">
        <f ca="1">IFERROR(__xludf.DUMMYFUNCTION("average(GOOGLEFINANCE(""KOSDAQ:068240"", ""volume"", ""2018. 9. 19"", ""2019. 3. 19"", ""DAILY""))"),153674.75471866)</f>
        <v>153674.75471866</v>
      </c>
      <c r="J22" s="12">
        <v>58.192211214425399</v>
      </c>
      <c r="K22" s="12">
        <v>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>
      <c r="B23" s="12">
        <v>1.0378333909999999</v>
      </c>
      <c r="C23" s="12">
        <v>0</v>
      </c>
      <c r="D23" s="12">
        <v>1</v>
      </c>
      <c r="E23" s="12">
        <v>1</v>
      </c>
      <c r="F23" s="12">
        <v>1</v>
      </c>
      <c r="G23" s="12">
        <v>0</v>
      </c>
      <c r="H23" s="12">
        <v>0</v>
      </c>
      <c r="I23" s="13">
        <f ca="1">IFERROR(__xludf.DUMMYFUNCTION("average(GOOGLEFINANCE(""KOSDAQ:068240"", ""volume"", ""2019. 3. 20"", ""2019. 9. 18"", ""DAILY""))"),92444.0648521504)</f>
        <v>92444.064852150404</v>
      </c>
      <c r="J23" s="12">
        <v>78.408131503152603</v>
      </c>
      <c r="K23" s="12">
        <v>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>
      <c r="B24" s="12">
        <v>1.012365381</v>
      </c>
      <c r="C24" s="12">
        <v>0</v>
      </c>
      <c r="D24" s="12">
        <v>1</v>
      </c>
      <c r="E24" s="12">
        <v>1</v>
      </c>
      <c r="F24" s="12">
        <v>0</v>
      </c>
      <c r="G24" s="12">
        <v>1</v>
      </c>
      <c r="H24" s="12">
        <v>0</v>
      </c>
      <c r="I24" s="13">
        <f ca="1">IFERROR(__xludf.DUMMYFUNCTION("average(GOOGLEFINANCE(""KOSDAQ:068240"", ""volume"", ""2019. 9. 19"", ""2020. 3. 19"", ""DAILY""))"),165586.310890921)</f>
        <v>165586.31089092101</v>
      </c>
      <c r="J24" s="12">
        <v>84.329795843629398</v>
      </c>
      <c r="K24" s="12">
        <v>1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</row>
    <row r="25" spans="1:24" ht="15.75" customHeight="1">
      <c r="B25" s="12">
        <v>1.5200847040000001</v>
      </c>
      <c r="C25" s="12">
        <v>0</v>
      </c>
      <c r="D25" s="12">
        <v>1</v>
      </c>
      <c r="E25" s="12">
        <v>1</v>
      </c>
      <c r="F25" s="12">
        <v>0</v>
      </c>
      <c r="G25" s="12">
        <v>0</v>
      </c>
      <c r="H25" s="12">
        <v>1</v>
      </c>
      <c r="I25" s="13">
        <f ca="1">IFERROR(__xludf.DUMMYFUNCTION("average(GOOGLEFINANCE(""KOSDAQ:068240"", ""volume"",""2020. 3. 20"", ""2020. 9. 18"", ""DAILY""))"),329013.398916666)</f>
        <v>329013.39891666599</v>
      </c>
      <c r="J25" s="12">
        <v>131.87926095138999</v>
      </c>
      <c r="K25" s="12">
        <v>1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1</v>
      </c>
      <c r="W25" s="12">
        <v>0</v>
      </c>
      <c r="X25" s="12">
        <v>0</v>
      </c>
    </row>
    <row r="26" spans="1:24" ht="15.75" customHeight="1">
      <c r="A26" s="12" t="s">
        <v>30</v>
      </c>
      <c r="B26" s="12">
        <v>0.7810129965</v>
      </c>
      <c r="C26" s="12">
        <v>0</v>
      </c>
      <c r="D26" s="12">
        <v>1</v>
      </c>
      <c r="E26" s="12">
        <v>1</v>
      </c>
      <c r="F26" s="12">
        <v>0</v>
      </c>
      <c r="G26" s="12">
        <v>0</v>
      </c>
      <c r="H26" s="12">
        <v>0</v>
      </c>
      <c r="I26" s="13">
        <f ca="1">IFERROR(__xludf.DUMMYFUNCTION("average(GOOGLEFINANCE(""KOSDAQ:078070"", ""volume"", ""2018. 9. 19"", ""2019. 3. 19"", ""DAILY""))"),84051.0196759259)</f>
        <v>84051.019675925898</v>
      </c>
      <c r="J26" s="12">
        <v>35.570496330146497</v>
      </c>
      <c r="K26" s="12">
        <v>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>
      <c r="B27" s="12">
        <v>1.1869561280000001</v>
      </c>
      <c r="C27" s="12">
        <v>0</v>
      </c>
      <c r="D27" s="12">
        <v>1</v>
      </c>
      <c r="E27" s="12">
        <v>1</v>
      </c>
      <c r="F27" s="12">
        <v>1</v>
      </c>
      <c r="G27" s="12">
        <v>0</v>
      </c>
      <c r="H27" s="12">
        <v>0</v>
      </c>
      <c r="I27" s="13">
        <f ca="1">IFERROR(__xludf.DUMMYFUNCTION("average(GOOGLEFINANCE(""KOSDAQ:078070"", ""volume"", ""2019. 3. 20"", ""2019. 9. 18"", ""DAILY""))"),193845.137432796)</f>
        <v>193845.13743279601</v>
      </c>
      <c r="J27" s="12">
        <v>63.480777085324398</v>
      </c>
      <c r="K27" s="12">
        <v>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>
      <c r="B28" s="12">
        <v>1.9228298609999901</v>
      </c>
      <c r="C28" s="12">
        <v>0</v>
      </c>
      <c r="D28" s="12">
        <v>1</v>
      </c>
      <c r="E28" s="12">
        <v>1</v>
      </c>
      <c r="F28" s="12">
        <v>0</v>
      </c>
      <c r="G28" s="12">
        <v>1</v>
      </c>
      <c r="H28" s="12">
        <v>0</v>
      </c>
      <c r="I28" s="13">
        <f ca="1">IFERROR(__xludf.DUMMYFUNCTION("average(GOOGLEFINANCE(""KOSDAQ:078070"", ""volume"", ""2019. 9. 19"", ""2020. 3. 19"", ""DAILY""))"),124494.127964092)</f>
        <v>124494.127964092</v>
      </c>
      <c r="J28" s="12">
        <v>55.824715931754902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</row>
    <row r="29" spans="1:24" ht="15.75" customHeight="1">
      <c r="B29" s="12">
        <v>2.2210500930000001</v>
      </c>
      <c r="C29" s="12">
        <v>0</v>
      </c>
      <c r="D29" s="12">
        <v>1</v>
      </c>
      <c r="E29" s="12">
        <v>1</v>
      </c>
      <c r="F29" s="12">
        <v>0</v>
      </c>
      <c r="G29" s="12">
        <v>0</v>
      </c>
      <c r="H29" s="12">
        <v>1</v>
      </c>
      <c r="I29" s="13">
        <f ca="1">IFERROR(__xludf.DUMMYFUNCTION("average(GOOGLEFINANCE(""KOSDAQ:078070"", ""volume"",""2020. 3. 20"", ""2020. 9. 18"", ""DAILY""))"),142956.822916666)</f>
        <v>142956.82291666599</v>
      </c>
      <c r="J29" s="12">
        <v>77.194572994119298</v>
      </c>
      <c r="K29" s="12">
        <v>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</v>
      </c>
      <c r="W29" s="12">
        <v>0</v>
      </c>
      <c r="X29" s="12">
        <v>0</v>
      </c>
    </row>
    <row r="30" spans="1:24" ht="15.75" customHeight="1">
      <c r="A30" s="12" t="s">
        <v>31</v>
      </c>
      <c r="B30" s="12">
        <v>0.32576693499999998</v>
      </c>
      <c r="C30" s="12">
        <v>0</v>
      </c>
      <c r="D30" s="12">
        <v>1</v>
      </c>
      <c r="E30" s="12">
        <v>1</v>
      </c>
      <c r="F30" s="12">
        <v>0</v>
      </c>
      <c r="G30" s="12">
        <v>0</v>
      </c>
      <c r="H30" s="12">
        <v>0</v>
      </c>
      <c r="I30" s="13">
        <f ca="1">IFERROR(__xludf.DUMMYFUNCTION("average(GOOGLEFINANCE(""KOSDAQ:267980"", ""volume"", ""2018. 9. 19"", ""2019. 3. 19"", ""DAILY""))"),33854.2333511395)</f>
        <v>33854.233351139497</v>
      </c>
      <c r="J30" s="12">
        <v>11.2401658253701</v>
      </c>
      <c r="K30" s="12">
        <v>0</v>
      </c>
      <c r="L30" s="12">
        <v>0</v>
      </c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>
      <c r="B31" s="12">
        <v>0.2548326507</v>
      </c>
      <c r="C31" s="12">
        <v>0</v>
      </c>
      <c r="D31" s="12">
        <v>1</v>
      </c>
      <c r="E31" s="12">
        <v>1</v>
      </c>
      <c r="F31" s="12">
        <v>1</v>
      </c>
      <c r="G31" s="12">
        <v>0</v>
      </c>
      <c r="H31" s="12">
        <v>0</v>
      </c>
      <c r="I31" s="13">
        <f ca="1">IFERROR(__xludf.DUMMYFUNCTION("average(GOOGLEFINANCE(""KOSDAQ:267980"", ""volume"", ""2019. 3. 20"", ""2019. 9. 18"", ""DAILY""))"),30699.6938844085)</f>
        <v>30699.693884408502</v>
      </c>
      <c r="J31" s="12">
        <v>11.4669289147726</v>
      </c>
      <c r="K31" s="12">
        <v>0</v>
      </c>
      <c r="L31" s="12">
        <v>0</v>
      </c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>
      <c r="B32" s="12">
        <v>0.60198776669999998</v>
      </c>
      <c r="C32" s="12">
        <v>0</v>
      </c>
      <c r="D32" s="12">
        <v>1</v>
      </c>
      <c r="E32" s="12">
        <v>1</v>
      </c>
      <c r="F32" s="12">
        <v>0</v>
      </c>
      <c r="G32" s="12">
        <v>1</v>
      </c>
      <c r="H32" s="12">
        <v>0</v>
      </c>
      <c r="I32" s="13">
        <f ca="1">IFERROR(__xludf.DUMMYFUNCTION("average(GOOGLEFINANCE(""KOSDAQ:267980"", ""volume"", ""2019. 9. 19"", ""2020. 3. 19"", ""DAILY""))"),31116.465362466)</f>
        <v>31116.465362465999</v>
      </c>
      <c r="J32" s="12">
        <v>8.4221784157882595</v>
      </c>
      <c r="K32" s="12">
        <v>0</v>
      </c>
      <c r="L32" s="12">
        <v>0</v>
      </c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>
      <c r="B33" s="12">
        <v>0.62208179890000004</v>
      </c>
      <c r="C33" s="12">
        <v>0</v>
      </c>
      <c r="D33" s="12">
        <v>1</v>
      </c>
      <c r="E33" s="12">
        <v>1</v>
      </c>
      <c r="F33" s="12">
        <v>0</v>
      </c>
      <c r="G33" s="12">
        <v>0</v>
      </c>
      <c r="H33" s="12">
        <v>1</v>
      </c>
      <c r="I33" s="13">
        <f ca="1">IFERROR(__xludf.DUMMYFUNCTION("average(GOOGLEFINANCE(""KOSDAQ:267980"", ""volume"",""2020. 3. 20"", ""2020. 9. 18"", ""DAILY""))"),36080.2829166666)</f>
        <v>36080.282916666598</v>
      </c>
      <c r="J33" s="12">
        <v>8.3425074786072297</v>
      </c>
      <c r="K33" s="12">
        <v>0</v>
      </c>
      <c r="L33" s="12">
        <v>0</v>
      </c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>
      <c r="A34" s="12" t="s">
        <v>32</v>
      </c>
      <c r="B34" s="12">
        <v>1.0139592749999999</v>
      </c>
      <c r="C34" s="12">
        <v>0</v>
      </c>
      <c r="D34" s="12">
        <v>1</v>
      </c>
      <c r="E34" s="12">
        <v>1</v>
      </c>
      <c r="F34" s="12">
        <v>0</v>
      </c>
      <c r="G34" s="12">
        <v>0</v>
      </c>
      <c r="H34" s="12">
        <v>0</v>
      </c>
      <c r="I34" s="13">
        <f ca="1">IFERROR(__xludf.DUMMYFUNCTION("average(GOOGLEFINANCE(""KOSDAQ:200230"", ""volume"", ""2018. 9. 19"", ""2019. 3. 19"", ""DAILY""))"),944192.186342594)</f>
        <v>944192.18634259398</v>
      </c>
      <c r="K34" s="12">
        <v>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</row>
    <row r="35" spans="1:24" ht="15.75" customHeight="1">
      <c r="B35" s="12">
        <v>1.0535776990000001</v>
      </c>
      <c r="C35" s="12">
        <v>0</v>
      </c>
      <c r="D35" s="12">
        <v>1</v>
      </c>
      <c r="E35" s="12">
        <v>1</v>
      </c>
      <c r="F35" s="12">
        <v>1</v>
      </c>
      <c r="G35" s="12">
        <v>0</v>
      </c>
      <c r="H35" s="12">
        <v>0</v>
      </c>
      <c r="I35" s="13">
        <f ca="1">IFERROR(__xludf.DUMMYFUNCTION("average(GOOGLEFINANCE(""KOSDAQ:200230"", ""volume"", ""2019. 3. 20"", ""2019. 9. 18"", ""DAILY""))"),661726.31485215)</f>
        <v>661726.31485215004</v>
      </c>
      <c r="K35" s="12">
        <v>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>
      <c r="B36" s="12">
        <v>1.1624628749999999</v>
      </c>
      <c r="C36" s="12">
        <v>0</v>
      </c>
      <c r="D36" s="12">
        <v>1</v>
      </c>
      <c r="E36" s="12">
        <v>1</v>
      </c>
      <c r="F36" s="12">
        <v>0</v>
      </c>
      <c r="G36" s="12">
        <v>1</v>
      </c>
      <c r="H36" s="12">
        <v>0</v>
      </c>
      <c r="I36" s="13">
        <f ca="1">IFERROR(__xludf.DUMMYFUNCTION("average(GOOGLEFINANCE(""KOSDAQ:200230"", ""volume"", ""2019. 9. 19"", ""2020. 3. 19"", ""DAILY""))"),2195130.81495595)</f>
        <v>2195130.8149559498</v>
      </c>
      <c r="K36" s="12">
        <v>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>
      <c r="B37" s="12">
        <v>1.8462568609999901</v>
      </c>
      <c r="C37" s="12">
        <v>0</v>
      </c>
      <c r="D37" s="12">
        <v>1</v>
      </c>
      <c r="E37" s="12">
        <v>1</v>
      </c>
      <c r="F37" s="12">
        <v>0</v>
      </c>
      <c r="G37" s="12">
        <v>0</v>
      </c>
      <c r="H37" s="12">
        <v>1</v>
      </c>
      <c r="I37" s="13">
        <f ca="1">IFERROR(__xludf.DUMMYFUNCTION("average(GOOGLEFINANCE(""KOSDAQ:200230"", ""volume"",""2020. 3. 20"", ""2020. 9. 18"", ""DAILY""))"),3931257.39891666)</f>
        <v>3931257.3989166599</v>
      </c>
      <c r="K37" s="12">
        <v>1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1</v>
      </c>
      <c r="W37" s="12">
        <v>0</v>
      </c>
      <c r="X37" s="12">
        <v>0</v>
      </c>
    </row>
    <row r="38" spans="1:24" ht="15.75" customHeight="1">
      <c r="A38" s="12" t="s">
        <v>33</v>
      </c>
      <c r="B38" s="12">
        <v>1.7323418609999901</v>
      </c>
      <c r="C38" s="12">
        <v>0</v>
      </c>
      <c r="D38" s="12">
        <v>1</v>
      </c>
      <c r="E38" s="12">
        <v>1</v>
      </c>
      <c r="F38" s="12">
        <v>0</v>
      </c>
      <c r="G38" s="12">
        <v>0</v>
      </c>
      <c r="H38" s="12">
        <v>0</v>
      </c>
      <c r="I38" s="13">
        <f ca="1">IFERROR(__xludf.DUMMYFUNCTION("average(GOOGLEFINANCE(""KOSDAQ:064550"", ""volume"", ""2018. 9. 19"", ""2019. 3. 19"", ""DAILY""))"),99841.3914707976)</f>
        <v>99841.391470797593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1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>
      <c r="B39" s="12">
        <v>1.395558501</v>
      </c>
      <c r="C39" s="12">
        <v>0</v>
      </c>
      <c r="D39" s="12">
        <v>1</v>
      </c>
      <c r="E39" s="12">
        <v>1</v>
      </c>
      <c r="F39" s="12">
        <v>1</v>
      </c>
      <c r="G39" s="12">
        <v>0</v>
      </c>
      <c r="H39" s="12">
        <v>0</v>
      </c>
      <c r="I39" s="13">
        <f ca="1">IFERROR(__xludf.DUMMYFUNCTION("average(GOOGLEFINANCE(""KOSDAQ:064550"", ""volume"", ""2019. 3. 20"", ""2019. 9. 18"", ""DAILY""))"),94516.5729166665)</f>
        <v>94516.572916666497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1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>
      <c r="B40" s="12">
        <v>6.0967109969999999E-3</v>
      </c>
      <c r="C40" s="12">
        <v>0</v>
      </c>
      <c r="D40" s="12">
        <v>1</v>
      </c>
      <c r="E40" s="12">
        <v>1</v>
      </c>
      <c r="F40" s="12">
        <v>0</v>
      </c>
      <c r="G40" s="12">
        <v>1</v>
      </c>
      <c r="H40" s="12">
        <v>0</v>
      </c>
      <c r="I40" s="13">
        <f ca="1">IFERROR(__xludf.DUMMYFUNCTION("average(GOOGLEFINANCE(""KOSDAQ:064550"", ""volume"", ""2019. 9. 19"", ""2020. 3. 19"", ""DAILY""))"),559576.172679539)</f>
        <v>559576.17267953895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1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</row>
    <row r="41" spans="1:24" ht="15.75" customHeight="1">
      <c r="B41" s="12">
        <v>1.840472699</v>
      </c>
      <c r="C41" s="12">
        <v>0</v>
      </c>
      <c r="D41" s="12">
        <v>1</v>
      </c>
      <c r="E41" s="12">
        <v>1</v>
      </c>
      <c r="F41" s="12">
        <v>0</v>
      </c>
      <c r="G41" s="12">
        <v>0</v>
      </c>
      <c r="H41" s="12">
        <v>1</v>
      </c>
      <c r="I41" s="13">
        <f ca="1">IFERROR(__xludf.DUMMYFUNCTION("average(GOOGLEFINANCE(""KOSDAQ:064550"", ""volume"",""2020. 3. 20"", ""2020. 9. 18"", ""DAILY""))"),1091368.86691666)</f>
        <v>1091368.86691666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1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1</v>
      </c>
    </row>
    <row r="42" spans="1:24" ht="15.75" customHeight="1">
      <c r="A42" s="12" t="s">
        <v>34</v>
      </c>
      <c r="B42" s="12">
        <v>1.7323418609999901</v>
      </c>
      <c r="C42" s="12">
        <v>0</v>
      </c>
      <c r="D42" s="12">
        <v>1</v>
      </c>
      <c r="E42" s="12">
        <v>1</v>
      </c>
      <c r="F42" s="12">
        <v>0</v>
      </c>
      <c r="G42" s="12">
        <v>0</v>
      </c>
      <c r="H42" s="12">
        <v>0</v>
      </c>
      <c r="I42" s="13" t="str">
        <f ca="1">IFERROR(__xludf.DUMMYFUNCTION("average(GOOGLEFINANCE(""KOSDAQ:319660"", ""volume"", ""2018. 9. 19"", ""2019. 3. 19"", ""DAILY""))"),"#N/A")</f>
        <v>#N/A</v>
      </c>
      <c r="K42" s="12">
        <v>1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>
      <c r="B43" s="12">
        <v>1.395558501</v>
      </c>
      <c r="C43" s="12">
        <v>0</v>
      </c>
      <c r="D43" s="12">
        <v>1</v>
      </c>
      <c r="E43" s="12">
        <v>1</v>
      </c>
      <c r="F43" s="12">
        <v>1</v>
      </c>
      <c r="G43" s="12">
        <v>0</v>
      </c>
      <c r="H43" s="12">
        <v>0</v>
      </c>
      <c r="I43" s="13">
        <f ca="1">IFERROR(__xludf.DUMMYFUNCTION("average(GOOGLEFINANCE(""KOSDAQ:319660"", ""volume"", ""2019. 3. 20"", ""2019. 9. 18"", ""DAILY""))"),174712.339583333)</f>
        <v>174712.339583333</v>
      </c>
      <c r="K43" s="12">
        <v>1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</row>
    <row r="44" spans="1:24" ht="15.75" customHeight="1">
      <c r="B44" s="12">
        <v>1.307558585</v>
      </c>
      <c r="C44" s="12">
        <v>0</v>
      </c>
      <c r="D44" s="12">
        <v>1</v>
      </c>
      <c r="E44" s="12">
        <v>1</v>
      </c>
      <c r="F44" s="12">
        <v>0</v>
      </c>
      <c r="G44" s="12">
        <v>1</v>
      </c>
      <c r="H44" s="12">
        <v>0</v>
      </c>
      <c r="I44" s="13">
        <f ca="1">IFERROR(__xludf.DUMMYFUNCTION("average(GOOGLEFINANCE(""KOSDAQ:319660"", ""volume"", ""2019. 9. 19"", ""2020. 3. 19"", ""DAILY""))"),140500.989752709)</f>
        <v>140500.98975270899</v>
      </c>
      <c r="J44" s="12">
        <v>19.887221239222701</v>
      </c>
      <c r="K44" s="12">
        <v>1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</row>
    <row r="45" spans="1:24" ht="15.75" customHeight="1">
      <c r="B45" s="12">
        <v>1.840472699</v>
      </c>
      <c r="C45" s="12">
        <v>0</v>
      </c>
      <c r="D45" s="12">
        <v>1</v>
      </c>
      <c r="E45" s="12">
        <v>1</v>
      </c>
      <c r="F45" s="12">
        <v>0</v>
      </c>
      <c r="G45" s="12">
        <v>0</v>
      </c>
      <c r="H45" s="12">
        <v>1</v>
      </c>
      <c r="I45" s="13">
        <f ca="1">IFERROR(__xludf.DUMMYFUNCTION("average(GOOGLEFINANCE(""KOSDAQ:319660"", ""volume"",""2020. 3. 20"", ""2020. 9. 18"", ""DAILY""))"),229860.614916667)</f>
        <v>229860.61491666699</v>
      </c>
      <c r="J45" s="12">
        <v>40.214978643627099</v>
      </c>
      <c r="K45" s="12">
        <v>1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</row>
    <row r="46" spans="1:24" ht="15.75" customHeight="1">
      <c r="A46" s="12" t="s">
        <v>35</v>
      </c>
      <c r="B46" s="12">
        <v>0.84181490989999996</v>
      </c>
      <c r="C46" s="12">
        <v>0</v>
      </c>
      <c r="D46" s="12">
        <v>1</v>
      </c>
      <c r="E46" s="12">
        <v>1</v>
      </c>
      <c r="F46" s="12">
        <v>0</v>
      </c>
      <c r="G46" s="12">
        <v>0</v>
      </c>
      <c r="H46" s="12">
        <v>0</v>
      </c>
      <c r="I46" s="13">
        <f ca="1">IFERROR(__xludf.DUMMYFUNCTION("average(GOOGLEFINANCE(""KOSDAQ:035600"", ""volume"", ""2018. 9. 19"", ""2019. 3. 19"", ""DAILY""))"),163667.733351139)</f>
        <v>163667.733351139</v>
      </c>
      <c r="J46" s="12">
        <v>9.4618836770074992</v>
      </c>
      <c r="K46" s="12">
        <v>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</row>
    <row r="47" spans="1:24" ht="15.75" customHeight="1">
      <c r="B47" s="12">
        <v>0.97784226760000004</v>
      </c>
      <c r="C47" s="12">
        <v>0</v>
      </c>
      <c r="D47" s="12">
        <v>1</v>
      </c>
      <c r="E47" s="12">
        <v>1</v>
      </c>
      <c r="F47" s="12">
        <v>1</v>
      </c>
      <c r="G47" s="12">
        <v>0</v>
      </c>
      <c r="H47" s="12">
        <v>0</v>
      </c>
      <c r="I47" s="13">
        <f ca="1">IFERROR(__xludf.DUMMYFUNCTION("average(GOOGLEFINANCE(""KOSDAQ:035600"", ""volume"", ""2019. 3. 20"", ""2019. 9. 18"", ""DAILY""))"),183398.480174731)</f>
        <v>183398.480174731</v>
      </c>
      <c r="J47" s="12">
        <v>9.3717119151277597</v>
      </c>
      <c r="K47" s="12">
        <v>1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</row>
    <row r="48" spans="1:24" ht="15.75" customHeight="1">
      <c r="B48" s="12">
        <v>0.85432800769999995</v>
      </c>
      <c r="C48" s="12">
        <v>0</v>
      </c>
      <c r="D48" s="12">
        <v>1</v>
      </c>
      <c r="E48" s="12">
        <v>1</v>
      </c>
      <c r="F48" s="12">
        <v>0</v>
      </c>
      <c r="G48" s="12">
        <v>1</v>
      </c>
      <c r="H48" s="12">
        <v>0</v>
      </c>
      <c r="I48" s="13">
        <f ca="1">IFERROR(__xludf.DUMMYFUNCTION("average(GOOGLEFINANCE(""KOSDAQ:035600"", ""volume"", ""2019. 9. 19"", ""2020. 3. 19"", ""DAILY""))"),151725.046663279)</f>
        <v>151725.046663279</v>
      </c>
      <c r="J48" s="12">
        <v>10.495281131105299</v>
      </c>
      <c r="K48" s="12">
        <v>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</row>
    <row r="49" spans="1:24" ht="15.75" customHeight="1">
      <c r="B49" s="12">
        <v>1.731041915</v>
      </c>
      <c r="C49" s="12">
        <v>0</v>
      </c>
      <c r="D49" s="12">
        <v>1</v>
      </c>
      <c r="E49" s="12">
        <v>1</v>
      </c>
      <c r="F49" s="12">
        <v>0</v>
      </c>
      <c r="G49" s="12">
        <v>0</v>
      </c>
      <c r="H49" s="12">
        <v>1</v>
      </c>
      <c r="I49" s="13">
        <f ca="1">IFERROR(__xludf.DUMMYFUNCTION("average(GOOGLEFINANCE(""KOSDAQ:035600"", ""volume"",""2020. 3. 20"", ""2020. 9. 18"", ""DAILY""))"),326496.594916666)</f>
        <v>326496.59491666598</v>
      </c>
      <c r="J49" s="12">
        <v>11.3887202727171</v>
      </c>
      <c r="K49" s="12">
        <v>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1</v>
      </c>
      <c r="W49" s="12">
        <v>0</v>
      </c>
      <c r="X49" s="12">
        <v>0</v>
      </c>
    </row>
    <row r="50" spans="1:24" ht="15.75" customHeight="1">
      <c r="A50" s="12" t="s">
        <v>36</v>
      </c>
      <c r="B50" s="12">
        <v>1.072642581</v>
      </c>
      <c r="C50" s="12">
        <v>0</v>
      </c>
      <c r="D50" s="12">
        <v>1</v>
      </c>
      <c r="E50" s="12">
        <v>1</v>
      </c>
      <c r="F50" s="12">
        <v>0</v>
      </c>
      <c r="G50" s="12">
        <v>0</v>
      </c>
      <c r="H50" s="12">
        <v>0</v>
      </c>
      <c r="I50" s="13">
        <f ca="1">IFERROR(__xludf.DUMMYFUNCTION("average(GOOGLEFINANCE(""KOSDAQ:138080"", ""volume"", ""2018. 9. 19"", ""2019. 3. 19"", ""DAILY""))"),120264.28463319)</f>
        <v>120264.28463318999</v>
      </c>
      <c r="J50" s="12">
        <v>14.7125250253409</v>
      </c>
      <c r="K50" s="12">
        <v>1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</row>
    <row r="51" spans="1:24" ht="15.75" customHeight="1">
      <c r="B51" s="12">
        <v>1.2492043859999999</v>
      </c>
      <c r="C51" s="12">
        <v>0</v>
      </c>
      <c r="D51" s="12">
        <v>1</v>
      </c>
      <c r="E51" s="12">
        <v>1</v>
      </c>
      <c r="F51" s="12">
        <v>1</v>
      </c>
      <c r="G51" s="12">
        <v>0</v>
      </c>
      <c r="H51" s="12">
        <v>0</v>
      </c>
      <c r="I51" s="13">
        <f ca="1">IFERROR(__xludf.DUMMYFUNCTION("average(GOOGLEFINANCE(""KOSDAQ:138080"", ""volume"", ""2019. 3. 20"", ""2019. 9. 18"", ""DAILY""))"),287496.464045699)</f>
        <v>287496.46404569899</v>
      </c>
      <c r="J51" s="12">
        <v>12.537154174313899</v>
      </c>
      <c r="K51" s="12">
        <v>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5.75" customHeight="1">
      <c r="B52" s="12">
        <v>0.58936482059999995</v>
      </c>
      <c r="C52" s="12">
        <v>0</v>
      </c>
      <c r="D52" s="12">
        <v>1</v>
      </c>
      <c r="E52" s="12">
        <v>1</v>
      </c>
      <c r="F52" s="12">
        <v>0</v>
      </c>
      <c r="G52" s="12">
        <v>1</v>
      </c>
      <c r="H52" s="12">
        <v>0</v>
      </c>
      <c r="I52" s="13">
        <f ca="1">IFERROR(__xludf.DUMMYFUNCTION("average(GOOGLEFINANCE(""KOSDAQ:138080"", ""volume"", ""2019. 9. 19"", ""2020. 3. 19"", ""DAILY""))"),158811.558858401)</f>
        <v>158811.558858401</v>
      </c>
      <c r="J52" s="12">
        <v>9.3534849009769392</v>
      </c>
      <c r="K52" s="12">
        <v>1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</row>
    <row r="53" spans="1:24" ht="15.75" customHeight="1">
      <c r="B53" s="12">
        <v>0.74263093729999996</v>
      </c>
      <c r="C53" s="12">
        <v>0</v>
      </c>
      <c r="D53" s="12">
        <v>1</v>
      </c>
      <c r="E53" s="12">
        <v>1</v>
      </c>
      <c r="F53" s="12">
        <v>0</v>
      </c>
      <c r="G53" s="12">
        <v>0</v>
      </c>
      <c r="H53" s="12">
        <v>1</v>
      </c>
      <c r="I53" s="13">
        <f ca="1">IFERROR(__xludf.DUMMYFUNCTION("average(GOOGLEFINANCE(""KOSDAQ:138080"", ""volume"",""2020. 3. 20"", ""2020. 9. 18"", ""DAILY""))"),266540.430916667)</f>
        <v>266540.43091666698</v>
      </c>
      <c r="J53" s="12">
        <v>26.257574302002102</v>
      </c>
      <c r="K53" s="12">
        <v>1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1</v>
      </c>
      <c r="W53" s="12">
        <v>0</v>
      </c>
      <c r="X53" s="12">
        <v>0</v>
      </c>
    </row>
    <row r="54" spans="1:24" ht="14">
      <c r="A54" s="12" t="s">
        <v>37</v>
      </c>
      <c r="B54" s="12">
        <v>0.85066847000000001</v>
      </c>
      <c r="C54" s="12">
        <v>0</v>
      </c>
      <c r="D54" s="12">
        <v>1</v>
      </c>
      <c r="E54" s="12">
        <v>1</v>
      </c>
      <c r="F54" s="12">
        <v>0</v>
      </c>
      <c r="G54" s="12">
        <v>0</v>
      </c>
      <c r="H54" s="12">
        <v>0</v>
      </c>
      <c r="I54" s="13">
        <f ca="1">IFERROR(__xludf.DUMMYFUNCTION("average(GOOGLEFINANCE(""KOSDAQ:032620"", ""volume"", ""2018. 9. 19"", ""2019. 3. 19"", ""DAILY""))"),120332.015402421)</f>
        <v>120332.01540242101</v>
      </c>
      <c r="J54" s="12">
        <v>43.374452710370299</v>
      </c>
      <c r="K54" s="12">
        <v>1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4">
      <c r="B55" s="12">
        <v>0.91288478019999997</v>
      </c>
      <c r="C55" s="12">
        <v>0</v>
      </c>
      <c r="D55" s="12">
        <v>1</v>
      </c>
      <c r="E55" s="12">
        <v>1</v>
      </c>
      <c r="F55" s="12">
        <v>1</v>
      </c>
      <c r="G55" s="12">
        <v>0</v>
      </c>
      <c r="H55" s="12">
        <v>0</v>
      </c>
      <c r="I55" s="13">
        <f ca="1">IFERROR(__xludf.DUMMYFUNCTION("average(GOOGLEFINANCE(""KOSDAQ:032620"", ""volume"", ""2019. 3. 20"", ""2019. 9. 18"", ""DAILY""))"),341547.290658601)</f>
        <v>341547.29065860098</v>
      </c>
      <c r="J55" s="12">
        <v>41.660606216820902</v>
      </c>
      <c r="K55" s="12">
        <v>1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4">
      <c r="B56" s="12">
        <v>1.0190403770000001</v>
      </c>
      <c r="C56" s="12">
        <v>0</v>
      </c>
      <c r="D56" s="12">
        <v>1</v>
      </c>
      <c r="E56" s="12">
        <v>1</v>
      </c>
      <c r="F56" s="12">
        <v>0</v>
      </c>
      <c r="G56" s="12">
        <v>1</v>
      </c>
      <c r="H56" s="12">
        <v>0</v>
      </c>
      <c r="I56" s="13">
        <f ca="1">IFERROR(__xludf.DUMMYFUNCTION("average(GOOGLEFINANCE(""KOSDAQ:032620"", ""volume"", ""2019. 9. 19"", ""2020. 3. 19"", ""DAILY""))"),202730.810890921)</f>
        <v>202730.81089092101</v>
      </c>
      <c r="J56" s="12">
        <v>34.135417064817098</v>
      </c>
      <c r="K56" s="12">
        <v>1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1:24" ht="14">
      <c r="B57" s="12">
        <v>1.3556601880000001</v>
      </c>
      <c r="C57" s="12">
        <v>0</v>
      </c>
      <c r="D57" s="12">
        <v>1</v>
      </c>
      <c r="E57" s="12">
        <v>1</v>
      </c>
      <c r="F57" s="12">
        <v>0</v>
      </c>
      <c r="G57" s="12">
        <v>0</v>
      </c>
      <c r="H57" s="12">
        <v>1</v>
      </c>
      <c r="I57" s="13">
        <f ca="1">IFERROR(__xludf.DUMMYFUNCTION("average(GOOGLEFINANCE(""KOSDAQ:032620"", ""volume"",""2020. 3. 20"", ""2020. 9. 18"", ""DAILY""))"),3049146.79091667)</f>
        <v>3049146.7909166701</v>
      </c>
      <c r="J57" s="12">
        <v>80.632791856437706</v>
      </c>
      <c r="K57" s="12">
        <v>1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1</v>
      </c>
      <c r="W57" s="12">
        <v>0</v>
      </c>
      <c r="X57" s="12">
        <v>0</v>
      </c>
    </row>
    <row r="58" spans="1:24" ht="14">
      <c r="A58" s="12" t="s">
        <v>38</v>
      </c>
      <c r="B58" s="12">
        <v>0.49305999020000002</v>
      </c>
      <c r="C58" s="12">
        <v>0</v>
      </c>
      <c r="D58" s="12">
        <v>1</v>
      </c>
      <c r="E58" s="12">
        <v>1</v>
      </c>
      <c r="F58" s="12">
        <v>0</v>
      </c>
      <c r="G58" s="12">
        <v>0</v>
      </c>
      <c r="H58" s="12">
        <v>0</v>
      </c>
      <c r="I58" s="13">
        <f ca="1">IFERROR(__xludf.DUMMYFUNCTION("average(GOOGLEFINANCE(""KOSDAQ:091700"", ""volume"", ""2018. 9. 19"", ""2019. 3. 19"", ""DAILY""))"),224897.592325498)</f>
        <v>224897.592325498</v>
      </c>
      <c r="J58" s="12">
        <v>32.429588919656702</v>
      </c>
      <c r="K58" s="12">
        <v>1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</row>
    <row r="59" spans="1:24" ht="14">
      <c r="B59" s="12">
        <v>0.81861374879999904</v>
      </c>
      <c r="C59" s="12">
        <v>0</v>
      </c>
      <c r="D59" s="12">
        <v>1</v>
      </c>
      <c r="E59" s="12">
        <v>1</v>
      </c>
      <c r="F59" s="12">
        <v>1</v>
      </c>
      <c r="G59" s="12">
        <v>0</v>
      </c>
      <c r="H59" s="12">
        <v>0</v>
      </c>
      <c r="I59" s="13">
        <f ca="1">IFERROR(__xludf.DUMMYFUNCTION("average(GOOGLEFINANCE(""KOSDAQ:091700"", ""volume"", ""2019. 3. 20"", ""2019. 9. 18"", ""DAILY""))"),480343.395497311)</f>
        <v>480343.39549731102</v>
      </c>
      <c r="J59" s="12">
        <v>14.4265758301123</v>
      </c>
      <c r="K59" s="12">
        <v>1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</row>
    <row r="60" spans="1:24" ht="14">
      <c r="B60" s="12">
        <v>1.046975853</v>
      </c>
      <c r="C60" s="12">
        <v>0</v>
      </c>
      <c r="D60" s="12">
        <v>1</v>
      </c>
      <c r="E60" s="12">
        <v>1</v>
      </c>
      <c r="F60" s="12">
        <v>0</v>
      </c>
      <c r="G60" s="12">
        <v>1</v>
      </c>
      <c r="H60" s="12">
        <v>0</v>
      </c>
      <c r="I60" s="13">
        <f ca="1">IFERROR(__xludf.DUMMYFUNCTION("average(GOOGLEFINANCE(""KOSDAQ:091700"", ""volume"", ""2019. 9. 19"", ""2020. 3. 19"", ""DAILY""))"),613396.103573847)</f>
        <v>613396.10357384698</v>
      </c>
      <c r="J60" s="12">
        <v>7.8515892159937399</v>
      </c>
      <c r="K60" s="12">
        <v>1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4">
      <c r="B61" s="12">
        <v>1.5841480990000001</v>
      </c>
      <c r="C61" s="12">
        <v>0</v>
      </c>
      <c r="D61" s="12">
        <v>1</v>
      </c>
      <c r="E61" s="12">
        <v>1</v>
      </c>
      <c r="F61" s="12">
        <v>0</v>
      </c>
      <c r="G61" s="12">
        <v>0</v>
      </c>
      <c r="H61" s="12">
        <v>1</v>
      </c>
      <c r="I61" s="13">
        <f ca="1">IFERROR(__xludf.DUMMYFUNCTION("average(GOOGLEFINANCE(""KOSDAQ:091700"", ""volume"",""2020. 3. 20"", ""2020. 9. 18"", ""DAILY""))"),891813.998916667)</f>
        <v>891813.99891666695</v>
      </c>
      <c r="J61" s="12">
        <v>15.293721953005299</v>
      </c>
      <c r="K61" s="12">
        <v>1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1</v>
      </c>
      <c r="W61" s="12">
        <v>0</v>
      </c>
      <c r="X61" s="12">
        <v>0</v>
      </c>
    </row>
    <row r="62" spans="1:24" ht="14">
      <c r="A62" s="12" t="s">
        <v>39</v>
      </c>
      <c r="B62" s="12">
        <v>1.020784846</v>
      </c>
      <c r="C62" s="12">
        <v>0</v>
      </c>
      <c r="D62" s="12">
        <v>1</v>
      </c>
      <c r="E62" s="12">
        <v>1</v>
      </c>
      <c r="F62" s="12">
        <v>0</v>
      </c>
      <c r="G62" s="12">
        <v>0</v>
      </c>
      <c r="H62" s="12">
        <v>0</v>
      </c>
      <c r="I62" s="13">
        <f ca="1">IFERROR(__xludf.DUMMYFUNCTION("average(GOOGLEFINANCE(""KOSDAQ:086390"", ""volume"", ""2018. 9. 19"", ""2019. 3. 19"", ""DAILY""))"),194940.711983618)</f>
        <v>194940.71198361801</v>
      </c>
      <c r="J62" s="12">
        <v>7.1970427928919296</v>
      </c>
      <c r="K62" s="12">
        <v>1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</row>
    <row r="63" spans="1:24" ht="14">
      <c r="B63" s="12">
        <v>1.1678331049999999</v>
      </c>
      <c r="C63" s="12">
        <v>0</v>
      </c>
      <c r="D63" s="12">
        <v>1</v>
      </c>
      <c r="E63" s="12">
        <v>1</v>
      </c>
      <c r="F63" s="12">
        <v>1</v>
      </c>
      <c r="G63" s="12">
        <v>0</v>
      </c>
      <c r="H63" s="12">
        <v>0</v>
      </c>
      <c r="I63" s="13">
        <f ca="1">IFERROR(__xludf.DUMMYFUNCTION("average(GOOGLEFINANCE(""KOSDAQ:086390"", ""volume"", ""2019. 3. 20"", ""2019. 9. 18"", ""DAILY""))"),209069.806787634)</f>
        <v>209069.80678763401</v>
      </c>
      <c r="J63" s="12">
        <v>9.2107572153955299</v>
      </c>
      <c r="K63" s="12">
        <v>1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</row>
    <row r="64" spans="1:24" ht="14">
      <c r="B64" s="12">
        <v>1.4028725099999999</v>
      </c>
      <c r="C64" s="12">
        <v>0</v>
      </c>
      <c r="D64" s="12">
        <v>1</v>
      </c>
      <c r="E64" s="12">
        <v>1</v>
      </c>
      <c r="F64" s="12">
        <v>0</v>
      </c>
      <c r="G64" s="12">
        <v>1</v>
      </c>
      <c r="H64" s="12">
        <v>0</v>
      </c>
      <c r="I64" s="13">
        <f ca="1">IFERROR(__xludf.DUMMYFUNCTION("average(GOOGLEFINANCE(""KOSDAQ:086390"", ""volume"", ""2019. 9. 19"", ""2020. 3. 19"", ""DAILY""))"),265392.530403116)</f>
        <v>265392.53040311602</v>
      </c>
      <c r="J64" s="12">
        <v>11.1655187709588</v>
      </c>
      <c r="K64" s="12">
        <v>1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</row>
    <row r="65" spans="1:24" ht="14">
      <c r="B65" s="12">
        <v>2.2939185040000001</v>
      </c>
      <c r="C65" s="12">
        <v>0</v>
      </c>
      <c r="D65" s="12">
        <v>1</v>
      </c>
      <c r="E65" s="12">
        <v>1</v>
      </c>
      <c r="F65" s="12">
        <v>0</v>
      </c>
      <c r="G65" s="12">
        <v>0</v>
      </c>
      <c r="H65" s="12">
        <v>1</v>
      </c>
      <c r="I65" s="13">
        <f ca="1">IFERROR(__xludf.DUMMYFUNCTION("average(GOOGLEFINANCE(""KOSDAQ:086390"", ""volume"",""2020. 3. 20"", ""2020. 9. 18"", ""DAILY""))"),545935.694916666)</f>
        <v>545935.69491666602</v>
      </c>
      <c r="J65" s="12">
        <v>36.153473556239398</v>
      </c>
      <c r="K65" s="12">
        <v>1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1</v>
      </c>
      <c r="W65" s="12">
        <v>0</v>
      </c>
      <c r="X65" s="12">
        <v>0</v>
      </c>
    </row>
    <row r="66" spans="1:24" ht="14">
      <c r="A66" s="12" t="s">
        <v>40</v>
      </c>
      <c r="B66" s="12">
        <v>1.3283529650000001</v>
      </c>
      <c r="C66" s="12">
        <v>0</v>
      </c>
      <c r="D66" s="12">
        <v>1</v>
      </c>
      <c r="E66" s="12">
        <v>1</v>
      </c>
      <c r="F66" s="12">
        <v>0</v>
      </c>
      <c r="G66" s="12">
        <v>0</v>
      </c>
      <c r="H66" s="12">
        <v>0</v>
      </c>
      <c r="I66" s="13">
        <f ca="1">IFERROR(__xludf.DUMMYFUNCTION("average(GOOGLEFINANCE(""KOSDAQ:050890"", ""volume"", ""2018. 9. 19"", ""2019. 3. 19"", ""DAILY""))"),222812.506855413)</f>
        <v>222812.506855413</v>
      </c>
      <c r="J66" s="12">
        <v>19.8457610213244</v>
      </c>
      <c r="K66" s="12">
        <v>1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4">
      <c r="B67" s="12">
        <v>1.031138678</v>
      </c>
      <c r="C67" s="12">
        <v>0</v>
      </c>
      <c r="D67" s="12">
        <v>1</v>
      </c>
      <c r="E67" s="12">
        <v>1</v>
      </c>
      <c r="F67" s="12">
        <v>1</v>
      </c>
      <c r="G67" s="12">
        <v>0</v>
      </c>
      <c r="H67" s="12">
        <v>0</v>
      </c>
      <c r="I67" s="13">
        <f ca="1">IFERROR(__xludf.DUMMYFUNCTION("average(GOOGLEFINANCE(""KOSDAQ:050890"", ""volume"", ""2019. 3. 20"", ""2019. 9. 18"", ""DAILY""))"),1533857.93581989)</f>
        <v>1533857.9358198899</v>
      </c>
      <c r="J67" s="12">
        <v>47.4685070259493</v>
      </c>
      <c r="K67" s="12">
        <v>1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</row>
    <row r="68" spans="1:24" ht="14">
      <c r="B68" s="12">
        <v>0.95834109759999997</v>
      </c>
      <c r="C68" s="12">
        <v>0</v>
      </c>
      <c r="D68" s="12">
        <v>1</v>
      </c>
      <c r="E68" s="12">
        <v>1</v>
      </c>
      <c r="F68" s="12">
        <v>0</v>
      </c>
      <c r="G68" s="12">
        <v>1</v>
      </c>
      <c r="H68" s="12">
        <v>0</v>
      </c>
      <c r="I68" s="13">
        <f ca="1">IFERROR(__xludf.DUMMYFUNCTION("average(GOOGLEFINANCE(""KOSDAQ:050890"", ""volume"", ""2019. 9. 19"", ""2020. 3. 19"", ""DAILY""))"),864374.61576897)</f>
        <v>864374.61576896999</v>
      </c>
      <c r="J68" s="12">
        <v>185.108096970963</v>
      </c>
      <c r="K68" s="12">
        <v>1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</row>
    <row r="69" spans="1:24" ht="14">
      <c r="B69" s="12">
        <v>1.308467431</v>
      </c>
      <c r="C69" s="12">
        <v>0</v>
      </c>
      <c r="D69" s="12">
        <v>1</v>
      </c>
      <c r="E69" s="12">
        <v>1</v>
      </c>
      <c r="F69" s="12">
        <v>0</v>
      </c>
      <c r="G69" s="12">
        <v>0</v>
      </c>
      <c r="H69" s="12">
        <v>1</v>
      </c>
      <c r="I69" s="13">
        <f ca="1">IFERROR(__xludf.DUMMYFUNCTION("average(GOOGLEFINANCE(""KOSDAQ:050890"", ""volume"",""2020. 3. 20"", ""2020. 9. 18"", ""DAILY""))"),2438634.62291666)</f>
        <v>2438634.6229166598</v>
      </c>
      <c r="K69" s="12">
        <v>1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1</v>
      </c>
      <c r="W69" s="12">
        <v>0</v>
      </c>
      <c r="X69" s="12">
        <v>0</v>
      </c>
    </row>
    <row r="70" spans="1:24" ht="14">
      <c r="A70" s="12" t="s">
        <v>41</v>
      </c>
      <c r="B70" s="12">
        <v>1.137904384</v>
      </c>
      <c r="C70" s="12">
        <v>0</v>
      </c>
      <c r="D70" s="12">
        <v>1</v>
      </c>
      <c r="E70" s="12">
        <v>1</v>
      </c>
      <c r="F70" s="12">
        <v>0</v>
      </c>
      <c r="G70" s="12">
        <v>0</v>
      </c>
      <c r="H70" s="12">
        <v>0</v>
      </c>
      <c r="I70" s="13">
        <f ca="1">IFERROR(__xludf.DUMMYFUNCTION("average(GOOGLEFINANCE(""KOSDAQ:206650"", ""volume"", ""2018. 9. 19"", ""2019. 3. 19"", ""DAILY""))"),90349.6350605412)</f>
        <v>90349.635060541201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1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</row>
    <row r="71" spans="1:24" ht="14">
      <c r="B71" s="12">
        <v>1.062672573</v>
      </c>
      <c r="C71" s="12">
        <v>0</v>
      </c>
      <c r="D71" s="12">
        <v>1</v>
      </c>
      <c r="E71" s="12">
        <v>1</v>
      </c>
      <c r="F71" s="12">
        <v>1</v>
      </c>
      <c r="G71" s="12">
        <v>0</v>
      </c>
      <c r="H71" s="12">
        <v>0</v>
      </c>
      <c r="I71" s="13">
        <f ca="1">IFERROR(__xludf.DUMMYFUNCTION("average(GOOGLEFINANCE(""KOSDAQ:206650"", ""volume"", ""2019. 3. 20"", ""2019. 9. 18"", ""DAILY""))"),195737.790658602)</f>
        <v>195737.790658602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1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</row>
    <row r="72" spans="1:24" ht="14">
      <c r="B72" s="12">
        <v>0.73714563789999998</v>
      </c>
      <c r="C72" s="12">
        <v>0</v>
      </c>
      <c r="D72" s="12">
        <v>1</v>
      </c>
      <c r="E72" s="12">
        <v>1</v>
      </c>
      <c r="F72" s="12">
        <v>0</v>
      </c>
      <c r="G72" s="12">
        <v>1</v>
      </c>
      <c r="H72" s="12">
        <v>0</v>
      </c>
      <c r="I72" s="13">
        <f ca="1">IFERROR(__xludf.DUMMYFUNCTION("average(GOOGLEFINANCE(""KOSDAQ:206650"", ""volume"", ""2019. 9. 19"", ""2020. 3. 19"", ""DAILY""))"),182253.672679539)</f>
        <v>182253.67267953901</v>
      </c>
      <c r="J72" s="12">
        <v>64.381205856908593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1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</row>
    <row r="73" spans="1:24" ht="14">
      <c r="B73" s="12">
        <v>1.710362054</v>
      </c>
      <c r="C73" s="12">
        <v>0</v>
      </c>
      <c r="D73" s="12">
        <v>1</v>
      </c>
      <c r="E73" s="12">
        <v>1</v>
      </c>
      <c r="F73" s="12">
        <v>0</v>
      </c>
      <c r="G73" s="12">
        <v>0</v>
      </c>
      <c r="H73" s="12">
        <v>1</v>
      </c>
      <c r="I73" s="13">
        <f ca="1">IFERROR(__xludf.DUMMYFUNCTION("average(GOOGLEFINANCE(""KOSDAQ:206650"", ""volume"",""2020. 3. 20"", ""2020. 9. 18"", ""DAILY""))"),1304981.40828251)</f>
        <v>1304981.40828251</v>
      </c>
      <c r="J73" s="12">
        <v>487.699155505352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1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1</v>
      </c>
    </row>
    <row r="74" spans="1:24" ht="14">
      <c r="A74" s="12" t="s">
        <v>42</v>
      </c>
      <c r="B74" s="12">
        <v>1.398693255</v>
      </c>
      <c r="C74" s="12">
        <v>0</v>
      </c>
      <c r="D74" s="12">
        <v>1</v>
      </c>
      <c r="E74" s="12">
        <v>1</v>
      </c>
      <c r="F74" s="12">
        <v>0</v>
      </c>
      <c r="G74" s="12">
        <v>0</v>
      </c>
      <c r="H74" s="12">
        <v>0</v>
      </c>
      <c r="I74" s="13">
        <f ca="1">IFERROR(__xludf.DUMMYFUNCTION("average(GOOGLEFINANCE(""KOSDAQ:031390"", ""volume"", ""2018. 9. 19"", ""2019. 3. 19"", ""DAILY""))"),206243.989761396)</f>
        <v>206243.98976139599</v>
      </c>
      <c r="J74" s="12">
        <v>43.587224485341601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1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4">
      <c r="B75" s="12">
        <v>1.330900204</v>
      </c>
      <c r="C75" s="12">
        <v>0</v>
      </c>
      <c r="D75" s="12">
        <v>1</v>
      </c>
      <c r="E75" s="12">
        <v>1</v>
      </c>
      <c r="F75" s="12">
        <v>1</v>
      </c>
      <c r="G75" s="12">
        <v>0</v>
      </c>
      <c r="H75" s="12">
        <v>0</v>
      </c>
      <c r="I75" s="13">
        <f ca="1">IFERROR(__xludf.DUMMYFUNCTION("average(GOOGLEFINANCE(""KOSDAQ:031390"", ""volume"", ""2019. 3. 20"", ""2019. 9. 18"", ""DAILY""))"),66537.6334005377)</f>
        <v>66537.633400537699</v>
      </c>
      <c r="J75" s="12">
        <v>38.6187362187042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1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4">
      <c r="B76" s="12">
        <v>0.64465363019999999</v>
      </c>
      <c r="C76" s="12">
        <v>0</v>
      </c>
      <c r="D76" s="12">
        <v>1</v>
      </c>
      <c r="E76" s="12">
        <v>1</v>
      </c>
      <c r="F76" s="12">
        <v>0</v>
      </c>
      <c r="G76" s="12">
        <v>1</v>
      </c>
      <c r="H76" s="12">
        <v>0</v>
      </c>
      <c r="I76" s="13">
        <f ca="1">IFERROR(__xludf.DUMMYFUNCTION("average(GOOGLEFINANCE(""KOSDAQ:031390"", ""volume"", ""2019. 9. 19"", ""2020. 3. 19"", ""DAILY""))"),123216.24585027)</f>
        <v>123216.24585027</v>
      </c>
      <c r="J76" s="12">
        <v>42.322573885334599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1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4">
      <c r="B77" s="12">
        <v>1.54639299</v>
      </c>
      <c r="C77" s="12">
        <v>0</v>
      </c>
      <c r="D77" s="12">
        <v>1</v>
      </c>
      <c r="E77" s="12">
        <v>1</v>
      </c>
      <c r="F77" s="12">
        <v>0</v>
      </c>
      <c r="G77" s="12">
        <v>0</v>
      </c>
      <c r="H77" s="12">
        <v>1</v>
      </c>
      <c r="I77" s="13">
        <f ca="1">IFERROR(__xludf.DUMMYFUNCTION("average(GOOGLEFINANCE(""KOSDAQ:031390"", ""volume"",""2020. 3. 20"", ""2020. 9. 18"", ""DAILY""))"),224228.490916667)</f>
        <v>224228.49091666701</v>
      </c>
      <c r="J77" s="12">
        <v>44.741006781357498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1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1</v>
      </c>
    </row>
    <row r="78" spans="1:24" ht="14">
      <c r="A78" s="12" t="s">
        <v>43</v>
      </c>
      <c r="B78" s="12">
        <v>0.86329859289999999</v>
      </c>
      <c r="C78" s="12">
        <v>0</v>
      </c>
      <c r="D78" s="12">
        <v>1</v>
      </c>
      <c r="E78" s="12">
        <v>1</v>
      </c>
      <c r="F78" s="12">
        <v>0</v>
      </c>
      <c r="G78" s="12">
        <v>0</v>
      </c>
      <c r="H78" s="12">
        <v>0</v>
      </c>
      <c r="I78" s="13">
        <f ca="1">IFERROR(__xludf.DUMMYFUNCTION("average(GOOGLEFINANCE(""KOSDAQ:243070"", ""volume"", ""2018. 9. 19"", ""2019. 3. 19"", ""DAILY""))"),43068.1051460113)</f>
        <v>43068.105146011301</v>
      </c>
      <c r="J78" s="12">
        <v>13.764647930219001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1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4">
      <c r="B79" s="12">
        <v>1.2731644470000001</v>
      </c>
      <c r="C79" s="12">
        <v>0</v>
      </c>
      <c r="D79" s="12">
        <v>1</v>
      </c>
      <c r="E79" s="12">
        <v>1</v>
      </c>
      <c r="F79" s="12">
        <v>1</v>
      </c>
      <c r="G79" s="12">
        <v>0</v>
      </c>
      <c r="H79" s="12">
        <v>0</v>
      </c>
      <c r="I79" s="13">
        <f ca="1">IFERROR(__xludf.DUMMYFUNCTION("average(GOOGLEFINANCE(""KOSDAQ:243070"", ""volume"", ""2019. 3. 20"", ""2019. 9. 18"", ""DAILY""))"),38644.1051747311)</f>
        <v>38644.105174731099</v>
      </c>
      <c r="J79" s="12">
        <v>9.5221327394044994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1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</row>
    <row r="80" spans="1:24" ht="14">
      <c r="B80" s="12">
        <v>0.96902547790000004</v>
      </c>
      <c r="C80" s="12">
        <v>0</v>
      </c>
      <c r="D80" s="12">
        <v>1</v>
      </c>
      <c r="E80" s="12">
        <v>1</v>
      </c>
      <c r="F80" s="12">
        <v>0</v>
      </c>
      <c r="G80" s="12">
        <v>1</v>
      </c>
      <c r="H80" s="12">
        <v>0</v>
      </c>
      <c r="I80" s="13">
        <f ca="1">IFERROR(__xludf.DUMMYFUNCTION("average(GOOGLEFINANCE(""KOSDAQ:243070"", ""volume"", ""2019. 9. 19"", ""2020. 3. 19"", ""DAILY""))"),47337.2783705962)</f>
        <v>47337.278370596199</v>
      </c>
      <c r="J80" s="12">
        <v>11.340533036155801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1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</row>
    <row r="81" spans="2:24" ht="14">
      <c r="B81" s="12">
        <v>1.0939849659999901</v>
      </c>
      <c r="C81" s="12">
        <v>0</v>
      </c>
      <c r="D81" s="12">
        <v>1</v>
      </c>
      <c r="E81" s="12">
        <v>1</v>
      </c>
      <c r="F81" s="12">
        <v>0</v>
      </c>
      <c r="G81" s="12">
        <v>0</v>
      </c>
      <c r="H81" s="12">
        <v>1</v>
      </c>
      <c r="I81" s="13">
        <f ca="1">IFERROR(__xludf.DUMMYFUNCTION("average(GOOGLEFINANCE(""KOSDAQ:243070"", ""volume"",""2020. 3. 20"", ""2020. 9. 18"", ""DAILY""))"),104612.986916666)</f>
        <v>104612.98691666601</v>
      </c>
      <c r="J81" s="12">
        <v>14.344103415962801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1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</vt:lpstr>
      <vt:lpstr>kosdaq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2020-11-27T13:32:54Z</dcterms:modified>
</cp:coreProperties>
</file>