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35" windowHeight="11250" activeTab="1"/>
  </bookViews>
  <sheets>
    <sheet name="Продажи по месяцам" sheetId="1" r:id="rId1"/>
    <sheet name="Продажи итоги" sheetId="4" r:id="rId2"/>
    <sheet name="Прайс" sheetId="5" r:id="rId3"/>
    <sheet name="Заказы" sheetId="6" r:id="rId4"/>
    <sheet name="Продавцы" sheetId="7" r:id="rId5"/>
    <sheet name="Продажи по продавцам" sheetId="8" r:id="rId6"/>
    <sheet name="Лист2" sheetId="2" r:id="rId7"/>
    <sheet name="Лист3" sheetId="3" r:id="rId8"/>
  </sheets>
  <definedNames>
    <definedName name="ИтогоЗаГод">'Продажи по месяцам'!$N$2:$N$27</definedName>
  </definedNames>
  <calcPr calcId="125725"/>
</workbook>
</file>

<file path=xl/calcChain.xml><?xml version="1.0" encoding="utf-8"?>
<calcChain xmlns="http://schemas.openxmlformats.org/spreadsheetml/2006/main"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3"/>
  <c r="B2"/>
  <c r="C27" i="1"/>
  <c r="D27"/>
  <c r="E27"/>
  <c r="F27"/>
  <c r="G27"/>
  <c r="H27"/>
  <c r="I27"/>
  <c r="J27"/>
  <c r="K27"/>
  <c r="L27"/>
  <c r="M27"/>
  <c r="N27"/>
  <c r="B27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"/>
  <c r="G2" i="8"/>
  <c r="M26" i="1"/>
  <c r="L26"/>
  <c r="K26"/>
  <c r="J26"/>
  <c r="I26"/>
  <c r="H26"/>
  <c r="G26"/>
  <c r="F26"/>
  <c r="C26"/>
  <c r="E26"/>
  <c r="D26"/>
  <c r="B26"/>
  <c r="M25"/>
  <c r="L25"/>
  <c r="K25"/>
  <c r="J25"/>
  <c r="I25"/>
  <c r="H25"/>
  <c r="G25"/>
  <c r="F25"/>
  <c r="E25"/>
  <c r="D25"/>
  <c r="C25"/>
  <c r="B25"/>
  <c r="M24"/>
  <c r="K24"/>
  <c r="J24"/>
  <c r="I24"/>
  <c r="H24"/>
  <c r="G24"/>
  <c r="F24"/>
  <c r="E24"/>
  <c r="D24"/>
  <c r="C24"/>
  <c r="L24"/>
  <c r="B24"/>
  <c r="M23"/>
  <c r="L23"/>
  <c r="J23"/>
  <c r="I23"/>
  <c r="H23"/>
  <c r="G23"/>
  <c r="F23"/>
  <c r="E23"/>
  <c r="D23"/>
  <c r="K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M19"/>
  <c r="L19"/>
  <c r="K19"/>
  <c r="J19"/>
  <c r="I19"/>
  <c r="H19"/>
  <c r="G19"/>
  <c r="F19"/>
  <c r="E19"/>
  <c r="D19"/>
  <c r="C19"/>
  <c r="B19"/>
  <c r="M18"/>
  <c r="L18"/>
  <c r="K18"/>
  <c r="J18"/>
  <c r="I18"/>
  <c r="H18"/>
  <c r="G18"/>
  <c r="F18"/>
  <c r="E18"/>
  <c r="D18"/>
  <c r="C18"/>
  <c r="B18"/>
  <c r="M17"/>
  <c r="L17"/>
  <c r="K17"/>
  <c r="J17"/>
  <c r="I17"/>
  <c r="H17"/>
  <c r="G17"/>
  <c r="F17"/>
  <c r="E17"/>
  <c r="D17"/>
  <c r="C17"/>
  <c r="B17"/>
  <c r="M16"/>
  <c r="L16"/>
  <c r="K16"/>
  <c r="J16"/>
  <c r="I16"/>
  <c r="H16"/>
  <c r="G16"/>
  <c r="E16"/>
  <c r="D16"/>
  <c r="C16"/>
  <c r="F16"/>
  <c r="B16"/>
  <c r="M15"/>
  <c r="L15"/>
  <c r="K15"/>
  <c r="J15"/>
  <c r="I15"/>
  <c r="H15"/>
  <c r="G15"/>
  <c r="F15"/>
  <c r="E15"/>
  <c r="D15"/>
  <c r="C15"/>
  <c r="B15"/>
  <c r="M14"/>
  <c r="K14"/>
  <c r="J14"/>
  <c r="I14"/>
  <c r="H14"/>
  <c r="G14"/>
  <c r="F14"/>
  <c r="E14"/>
  <c r="D14"/>
  <c r="C14"/>
  <c r="L14"/>
  <c r="B14"/>
  <c r="M13"/>
  <c r="L13"/>
  <c r="K13"/>
  <c r="J13"/>
  <c r="I13"/>
  <c r="H13"/>
  <c r="G13"/>
  <c r="F13"/>
  <c r="E13"/>
  <c r="D13"/>
  <c r="C13"/>
  <c r="B13"/>
  <c r="M12"/>
  <c r="L12"/>
  <c r="K12"/>
  <c r="J12"/>
  <c r="I12"/>
  <c r="H12"/>
  <c r="G12"/>
  <c r="F12"/>
  <c r="E12"/>
  <c r="D12"/>
  <c r="C12"/>
  <c r="B12"/>
  <c r="M11"/>
  <c r="L11"/>
  <c r="K11"/>
  <c r="J11"/>
  <c r="I11"/>
  <c r="H11"/>
  <c r="G11"/>
  <c r="F11"/>
  <c r="E11"/>
  <c r="D11"/>
  <c r="C11"/>
  <c r="B11"/>
  <c r="M10"/>
  <c r="L10"/>
  <c r="J10"/>
  <c r="K10"/>
  <c r="I10"/>
  <c r="H10"/>
  <c r="G10"/>
  <c r="F10"/>
  <c r="E10"/>
  <c r="D10"/>
  <c r="C10"/>
  <c r="B10"/>
  <c r="M9"/>
  <c r="L9"/>
  <c r="K9"/>
  <c r="J9"/>
  <c r="I9"/>
  <c r="H9"/>
  <c r="G9"/>
  <c r="F9"/>
  <c r="E9"/>
  <c r="D9"/>
  <c r="C9"/>
  <c r="B9"/>
  <c r="M3"/>
  <c r="L3"/>
  <c r="K3"/>
  <c r="G3"/>
  <c r="I3"/>
  <c r="H3"/>
  <c r="F3"/>
  <c r="E3"/>
  <c r="D3"/>
  <c r="C3"/>
  <c r="J3"/>
  <c r="B3"/>
  <c r="M2"/>
  <c r="L2"/>
  <c r="K2"/>
  <c r="J2"/>
  <c r="I2"/>
  <c r="H2"/>
  <c r="G2"/>
  <c r="F2"/>
  <c r="E2"/>
  <c r="D2"/>
  <c r="C2"/>
  <c r="B2"/>
  <c r="M8"/>
  <c r="L8"/>
  <c r="K8"/>
  <c r="J8"/>
  <c r="I8"/>
  <c r="H8"/>
  <c r="G8"/>
  <c r="F8"/>
  <c r="E8"/>
  <c r="D8"/>
  <c r="C8"/>
  <c r="B8"/>
  <c r="L7"/>
  <c r="K7"/>
  <c r="J7"/>
  <c r="I7"/>
  <c r="H7"/>
  <c r="G7"/>
  <c r="F7"/>
  <c r="E7"/>
  <c r="D7"/>
  <c r="C7"/>
  <c r="M7"/>
  <c r="B7"/>
  <c r="M6"/>
  <c r="L6"/>
  <c r="K6"/>
  <c r="J6"/>
  <c r="I6"/>
  <c r="H6"/>
  <c r="G6"/>
  <c r="F6"/>
  <c r="E6"/>
  <c r="D6"/>
  <c r="C6"/>
  <c r="B6"/>
  <c r="M5"/>
  <c r="L5"/>
  <c r="K5"/>
  <c r="J5"/>
  <c r="I5"/>
  <c r="H5"/>
  <c r="G5"/>
  <c r="F5"/>
  <c r="E5"/>
  <c r="D5"/>
  <c r="C5"/>
  <c r="B5"/>
  <c r="M4"/>
  <c r="K4"/>
  <c r="J4"/>
  <c r="I4"/>
  <c r="H4"/>
  <c r="G4"/>
  <c r="F4"/>
  <c r="E4"/>
  <c r="D4"/>
  <c r="C4"/>
  <c r="L4"/>
  <c r="B4"/>
</calcChain>
</file>

<file path=xl/sharedStrings.xml><?xml version="1.0" encoding="utf-8"?>
<sst xmlns="http://schemas.openxmlformats.org/spreadsheetml/2006/main" count="243" uniqueCount="91">
  <si>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</si>
  <si>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</si>
  <si>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</si>
  <si>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</si>
  <si>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</si>
  <si>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</si>
  <si>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</si>
  <si>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</si>
  <si>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</si>
  <si>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</si>
  <si>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</si>
  <si>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</si>
  <si>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Товары</t>
  </si>
  <si>
    <t>Ручка шариковая</t>
  </si>
  <si>
    <t>Ручка гелевая</t>
  </si>
  <si>
    <t>Карандаш простой</t>
  </si>
  <si>
    <t>Ластик</t>
  </si>
  <si>
    <t>Бумага писчая</t>
  </si>
  <si>
    <t>Бумага офисная "Снегурочка"</t>
  </si>
  <si>
    <t>Линейка</t>
  </si>
  <si>
    <t>Клей канцелярский</t>
  </si>
  <si>
    <t>Клей карандаш</t>
  </si>
  <si>
    <t>Файл-вкладыш (10 шт.)</t>
  </si>
  <si>
    <t>Файл-вкладыш (100 шт.)</t>
  </si>
  <si>
    <t>Папка-скоросшиватель пластиковый</t>
  </si>
  <si>
    <t>Папка-скоросшиватель картонный</t>
  </si>
  <si>
    <t>Скрепки</t>
  </si>
  <si>
    <t>Кнопки</t>
  </si>
  <si>
    <t>Точилка для карандашей</t>
  </si>
  <si>
    <t>Краски акварельные</t>
  </si>
  <si>
    <t>Фломастеры (6 цветов)</t>
  </si>
  <si>
    <t>Фломастеры (12 цветов)</t>
  </si>
  <si>
    <t>Фломастеры (18 цветов)</t>
  </si>
  <si>
    <t>Зажимы для бумаги</t>
  </si>
  <si>
    <t>Органайзер "Ориент"</t>
  </si>
  <si>
    <t>Органайзер "Берег"</t>
  </si>
  <si>
    <t>Альбом для рисования</t>
  </si>
  <si>
    <t>Тетрадь общая 48 листов</t>
  </si>
  <si>
    <t>Продажи за год</t>
  </si>
  <si>
    <t>Итого</t>
  </si>
  <si>
    <t>Всего</t>
  </si>
  <si>
    <t>Среднее</t>
  </si>
  <si>
    <t>Максимум</t>
  </si>
  <si>
    <t>Минимум</t>
  </si>
  <si>
    <t>Без наценки 30%</t>
  </si>
  <si>
    <t>Цена</t>
  </si>
  <si>
    <t>Покупатель</t>
  </si>
  <si>
    <t>Товар</t>
  </si>
  <si>
    <t>Количество</t>
  </si>
  <si>
    <t>ЗАО "Маяк"</t>
  </si>
  <si>
    <t>ООО "Крона"</t>
  </si>
  <si>
    <t>ООО "Весна"</t>
  </si>
  <si>
    <t>ИП Савельев</t>
  </si>
  <si>
    <t>ООО "Ирбис"</t>
  </si>
  <si>
    <t>Сумма покупки</t>
  </si>
  <si>
    <t>ФИО продавца</t>
  </si>
  <si>
    <t>ID</t>
  </si>
  <si>
    <t>Алексеев А.А.</t>
  </si>
  <si>
    <t>s-001</t>
  </si>
  <si>
    <t>Борисов И.Н.</t>
  </si>
  <si>
    <t>s-002</t>
  </si>
  <si>
    <t>Васильев М.А.</t>
  </si>
  <si>
    <t>s-003</t>
  </si>
  <si>
    <t>Головин Г.Н.</t>
  </si>
  <si>
    <t>s-004</t>
  </si>
  <si>
    <t>Деревцов А.А.</t>
  </si>
  <si>
    <t>s-005</t>
  </si>
  <si>
    <t>Елин Е.С.</t>
  </si>
  <si>
    <t>s-006</t>
  </si>
  <si>
    <t>Журавлев В.В.</t>
  </si>
  <si>
    <t>s-007</t>
  </si>
  <si>
    <t>Зиновьев С.В.</t>
  </si>
  <si>
    <t>s-008</t>
  </si>
  <si>
    <t>Иванов И.В.</t>
  </si>
  <si>
    <t>s-009</t>
  </si>
  <si>
    <t>Коротков К.С.</t>
  </si>
  <si>
    <t>s-010</t>
  </si>
  <si>
    <t>Ломов Л.Р.</t>
  </si>
  <si>
    <t>s-011</t>
  </si>
  <si>
    <t>Морев А.Р.</t>
  </si>
  <si>
    <t>s-012</t>
  </si>
  <si>
    <t>Носов Д.А.</t>
  </si>
  <si>
    <t>s-013</t>
  </si>
  <si>
    <t>Осипов Е.В.</t>
  </si>
  <si>
    <t>s-014</t>
  </si>
  <si>
    <t>Полозов П.А.</t>
  </si>
  <si>
    <t>s-015</t>
  </si>
  <si>
    <t>Рогачев В.К.</t>
  </si>
  <si>
    <t>s-016</t>
  </si>
  <si>
    <t>Продажи</t>
  </si>
  <si>
    <t>Продавец</t>
  </si>
</sst>
</file>

<file path=xl/styles.xml><?xml version="1.0" encoding="utf-8"?>
<styleSheet xmlns="http://schemas.openxmlformats.org/spreadsheetml/2006/main">
  <numFmts count="2">
    <numFmt numFmtId="164" formatCode="_-* #,##0.00&quot;р.&quot;_-;\-* #,##0.00&quot;р.&quot;_-;_-* &quot;-&quot;??&quot;р.&quot;_-;_-@_-"/>
    <numFmt numFmtId="165" formatCode="_-* #,##0.00[$р.-419]_-;\-* #,##0.00[$р.-419]_-;_-* &quot;-&quot;??[$р.-419]_-;_-@_-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454545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3" fillId="0" borderId="2" xfId="0" applyFont="1" applyBorder="1"/>
    <xf numFmtId="165" fontId="2" fillId="0" borderId="2" xfId="0" applyNumberFormat="1" applyFont="1" applyBorder="1"/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164" fontId="2" fillId="0" borderId="1" xfId="1" applyFont="1" applyBorder="1"/>
    <xf numFmtId="165" fontId="3" fillId="0" borderId="0" xfId="0" applyNumberFormat="1" applyFont="1"/>
    <xf numFmtId="165" fontId="4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165" fontId="2" fillId="0" borderId="0" xfId="0" applyNumberFormat="1" applyFont="1"/>
    <xf numFmtId="165" fontId="2" fillId="2" borderId="0" xfId="0" applyNumberFormat="1" applyFont="1" applyFill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opLeftCell="C1" zoomScaleNormal="100" workbookViewId="0">
      <selection activeCell="N22" sqref="N22"/>
    </sheetView>
  </sheetViews>
  <sheetFormatPr defaultColWidth="10.7109375" defaultRowHeight="12.75"/>
  <cols>
    <col min="1" max="1" width="30.7109375" style="2" customWidth="1"/>
    <col min="2" max="8" width="11.28515625" style="1" bestFit="1" customWidth="1"/>
    <col min="9" max="9" width="12.28515625" style="1" bestFit="1" customWidth="1"/>
    <col min="10" max="13" width="11.28515625" style="1" bestFit="1" customWidth="1"/>
    <col min="14" max="14" width="12.28515625" style="1" bestFit="1" customWidth="1"/>
    <col min="15" max="16384" width="10.7109375" style="1"/>
  </cols>
  <sheetData>
    <row r="1" spans="1:14" s="2" customFormat="1">
      <c r="A1" s="3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39</v>
      </c>
    </row>
    <row r="2" spans="1:14">
      <c r="A2" s="3" t="s">
        <v>13</v>
      </c>
      <c r="B2" s="5">
        <f>15*150</f>
        <v>2250</v>
      </c>
      <c r="C2" s="5">
        <f>15*83</f>
        <v>1245</v>
      </c>
      <c r="D2" s="5">
        <f>15*62</f>
        <v>930</v>
      </c>
      <c r="E2" s="5">
        <f>15*75</f>
        <v>1125</v>
      </c>
      <c r="F2" s="5">
        <f>15*180</f>
        <v>2700</v>
      </c>
      <c r="G2" s="5">
        <f>15*120</f>
        <v>1800</v>
      </c>
      <c r="H2" s="5">
        <f>15*45</f>
        <v>675</v>
      </c>
      <c r="I2" s="5">
        <f>15*220</f>
        <v>3300</v>
      </c>
      <c r="J2" s="5">
        <f>15*128</f>
        <v>1920</v>
      </c>
      <c r="K2" s="5">
        <f>15*94</f>
        <v>1410</v>
      </c>
      <c r="L2" s="5">
        <f>15*85</f>
        <v>1275</v>
      </c>
      <c r="M2" s="5">
        <f>15*110</f>
        <v>1650</v>
      </c>
      <c r="N2" s="9">
        <f>SUM(B2:M2)</f>
        <v>20280</v>
      </c>
    </row>
    <row r="3" spans="1:14">
      <c r="A3" s="3" t="s">
        <v>14</v>
      </c>
      <c r="B3" s="5">
        <f>22*60</f>
        <v>1320</v>
      </c>
      <c r="C3" s="5">
        <f>22*55</f>
        <v>1210</v>
      </c>
      <c r="D3" s="5">
        <f>22*45</f>
        <v>990</v>
      </c>
      <c r="E3" s="5">
        <f>22*68</f>
        <v>1496</v>
      </c>
      <c r="F3" s="5">
        <f>22*57</f>
        <v>1254</v>
      </c>
      <c r="G3" s="5">
        <f>22*74</f>
        <v>1628</v>
      </c>
      <c r="H3" s="5">
        <f>22*63</f>
        <v>1386</v>
      </c>
      <c r="I3" s="5">
        <f>22*88</f>
        <v>1936</v>
      </c>
      <c r="J3" s="5">
        <f t="shared" ref="J3" si="0">22*60</f>
        <v>1320</v>
      </c>
      <c r="K3" s="5">
        <f>22*32</f>
        <v>704</v>
      </c>
      <c r="L3" s="5">
        <f>22*25</f>
        <v>550</v>
      </c>
      <c r="M3" s="5">
        <f>22*54</f>
        <v>1188</v>
      </c>
      <c r="N3" s="9">
        <f t="shared" ref="N3:N26" si="1">SUM(B3:M3)</f>
        <v>14982</v>
      </c>
    </row>
    <row r="4" spans="1:14">
      <c r="A4" s="3" t="s">
        <v>15</v>
      </c>
      <c r="B4" s="5">
        <f>15*45</f>
        <v>675</v>
      </c>
      <c r="C4" s="5">
        <f>15*68</f>
        <v>1020</v>
      </c>
      <c r="D4" s="5">
        <f>15*75</f>
        <v>1125</v>
      </c>
      <c r="E4" s="5">
        <f>15*55</f>
        <v>825</v>
      </c>
      <c r="F4" s="5">
        <f>15*30</f>
        <v>450</v>
      </c>
      <c r="G4" s="5">
        <f>15*62</f>
        <v>930</v>
      </c>
      <c r="H4" s="5">
        <f>15*15</f>
        <v>225</v>
      </c>
      <c r="I4" s="5">
        <f>15*94</f>
        <v>1410</v>
      </c>
      <c r="J4" s="5">
        <f>15*50</f>
        <v>750</v>
      </c>
      <c r="K4" s="5">
        <f>15*30</f>
        <v>450</v>
      </c>
      <c r="L4" s="5">
        <f t="shared" ref="L4" si="2">15*45</f>
        <v>675</v>
      </c>
      <c r="M4" s="5">
        <f>15*20</f>
        <v>300</v>
      </c>
      <c r="N4" s="9">
        <f t="shared" si="1"/>
        <v>8835</v>
      </c>
    </row>
    <row r="5" spans="1:14">
      <c r="A5" s="3" t="s">
        <v>16</v>
      </c>
      <c r="B5" s="5">
        <f>8*30</f>
        <v>240</v>
      </c>
      <c r="C5" s="5">
        <f>8*42</f>
        <v>336</v>
      </c>
      <c r="D5" s="5">
        <f>8*28</f>
        <v>224</v>
      </c>
      <c r="E5" s="5">
        <f>8*45</f>
        <v>360</v>
      </c>
      <c r="F5" s="5">
        <f>8*64</f>
        <v>512</v>
      </c>
      <c r="G5" s="5">
        <f>8*38</f>
        <v>304</v>
      </c>
      <c r="H5" s="5">
        <f>8*15</f>
        <v>120</v>
      </c>
      <c r="I5" s="5">
        <f>8*75</f>
        <v>600</v>
      </c>
      <c r="J5" s="5">
        <f>8*65</f>
        <v>520</v>
      </c>
      <c r="K5" s="5">
        <f>8*35</f>
        <v>280</v>
      </c>
      <c r="L5" s="5">
        <f>8*20</f>
        <v>160</v>
      </c>
      <c r="M5" s="5">
        <f>8*28</f>
        <v>224</v>
      </c>
      <c r="N5" s="9">
        <f t="shared" si="1"/>
        <v>3880</v>
      </c>
    </row>
    <row r="6" spans="1:14">
      <c r="A6" s="3" t="s">
        <v>17</v>
      </c>
      <c r="B6" s="5">
        <f>120*15</f>
        <v>1800</v>
      </c>
      <c r="C6" s="5">
        <f>120*12</f>
        <v>1440</v>
      </c>
      <c r="D6" s="5">
        <f>120*10</f>
        <v>1200</v>
      </c>
      <c r="E6" s="5">
        <f>120*16</f>
        <v>1920</v>
      </c>
      <c r="F6" s="5">
        <f>120*20</f>
        <v>2400</v>
      </c>
      <c r="G6" s="5">
        <f>120*8</f>
        <v>960</v>
      </c>
      <c r="H6" s="5">
        <f>120*10</f>
        <v>1200</v>
      </c>
      <c r="I6" s="5">
        <f>120*12</f>
        <v>1440</v>
      </c>
      <c r="J6" s="5">
        <f>120*18</f>
        <v>2160</v>
      </c>
      <c r="K6" s="5">
        <f>120*14</f>
        <v>1680</v>
      </c>
      <c r="L6" s="5">
        <f>120*17</f>
        <v>2040</v>
      </c>
      <c r="M6" s="5">
        <f>120*10</f>
        <v>1200</v>
      </c>
      <c r="N6" s="9">
        <f t="shared" si="1"/>
        <v>19440</v>
      </c>
    </row>
    <row r="7" spans="1:14">
      <c r="A7" s="3" t="s">
        <v>18</v>
      </c>
      <c r="B7" s="5">
        <f>220*150</f>
        <v>33000</v>
      </c>
      <c r="C7" s="5">
        <f>220*180</f>
        <v>39600</v>
      </c>
      <c r="D7" s="5">
        <f>220*120</f>
        <v>26400</v>
      </c>
      <c r="E7" s="5">
        <f>220*130</f>
        <v>28600</v>
      </c>
      <c r="F7" s="5">
        <f>220*180</f>
        <v>39600</v>
      </c>
      <c r="G7" s="5">
        <f>220*140</f>
        <v>30800</v>
      </c>
      <c r="H7" s="5">
        <f>220*125</f>
        <v>27500</v>
      </c>
      <c r="I7" s="5">
        <f>220*110</f>
        <v>24200</v>
      </c>
      <c r="J7" s="5">
        <f>220*170</f>
        <v>37400</v>
      </c>
      <c r="K7" s="5">
        <f>220*110</f>
        <v>24200</v>
      </c>
      <c r="L7" s="5">
        <f>220*100</f>
        <v>22000</v>
      </c>
      <c r="M7" s="5">
        <f t="shared" ref="M7" si="3">220*150</f>
        <v>33000</v>
      </c>
      <c r="N7" s="9">
        <f t="shared" si="1"/>
        <v>366300</v>
      </c>
    </row>
    <row r="8" spans="1:14">
      <c r="A8" s="3" t="s">
        <v>19</v>
      </c>
      <c r="B8" s="5">
        <f>23*56</f>
        <v>1288</v>
      </c>
      <c r="C8" s="5">
        <f>23*48</f>
        <v>1104</v>
      </c>
      <c r="D8" s="5">
        <f>23*47</f>
        <v>1081</v>
      </c>
      <c r="E8" s="5">
        <f>23*35</f>
        <v>805</v>
      </c>
      <c r="F8" s="5">
        <f>23*28</f>
        <v>644</v>
      </c>
      <c r="G8" s="5">
        <f>23*74</f>
        <v>1702</v>
      </c>
      <c r="H8" s="5">
        <f>23*15</f>
        <v>345</v>
      </c>
      <c r="I8" s="5">
        <f>23*82</f>
        <v>1886</v>
      </c>
      <c r="J8" s="5">
        <f>23*65</f>
        <v>1495</v>
      </c>
      <c r="K8" s="5">
        <f>23*30</f>
        <v>690</v>
      </c>
      <c r="L8" s="5">
        <f>23*21</f>
        <v>483</v>
      </c>
      <c r="M8" s="5">
        <f>23*28</f>
        <v>644</v>
      </c>
      <c r="N8" s="9">
        <f t="shared" si="1"/>
        <v>12167</v>
      </c>
    </row>
    <row r="9" spans="1:14">
      <c r="A9" s="3" t="s">
        <v>20</v>
      </c>
      <c r="B9" s="5">
        <f>18*30</f>
        <v>540</v>
      </c>
      <c r="C9" s="5">
        <f>18*25</f>
        <v>450</v>
      </c>
      <c r="D9" s="5">
        <f>18*20</f>
        <v>360</v>
      </c>
      <c r="E9" s="5">
        <f>18*35</f>
        <v>630</v>
      </c>
      <c r="F9" s="5">
        <f>18*34</f>
        <v>612</v>
      </c>
      <c r="G9" s="5">
        <f>18*28</f>
        <v>504</v>
      </c>
      <c r="H9" s="5">
        <f>18*15</f>
        <v>270</v>
      </c>
      <c r="I9" s="5">
        <f>18*48</f>
        <v>864</v>
      </c>
      <c r="J9" s="5">
        <f>18*48</f>
        <v>864</v>
      </c>
      <c r="K9" s="5">
        <f>18*24</f>
        <v>432</v>
      </c>
      <c r="L9" s="5">
        <f>18*33</f>
        <v>594</v>
      </c>
      <c r="M9" s="5">
        <f>18*24</f>
        <v>432</v>
      </c>
      <c r="N9" s="9">
        <f t="shared" si="1"/>
        <v>6552</v>
      </c>
    </row>
    <row r="10" spans="1:14">
      <c r="A10" s="3" t="s">
        <v>21</v>
      </c>
      <c r="B10" s="5">
        <f>8*70</f>
        <v>560</v>
      </c>
      <c r="C10" s="5">
        <f>8*77</f>
        <v>616</v>
      </c>
      <c r="D10" s="5">
        <f>8*85</f>
        <v>680</v>
      </c>
      <c r="E10" s="5">
        <f>8*65</f>
        <v>520</v>
      </c>
      <c r="F10" s="5">
        <f>8*60</f>
        <v>480</v>
      </c>
      <c r="G10" s="5">
        <f>8*95</f>
        <v>760</v>
      </c>
      <c r="H10" s="5">
        <f>8*48</f>
        <v>384</v>
      </c>
      <c r="I10" s="5">
        <f>8*104</f>
        <v>832</v>
      </c>
      <c r="J10" s="5">
        <f>8*92</f>
        <v>736</v>
      </c>
      <c r="K10" s="5">
        <f>8*56</f>
        <v>448</v>
      </c>
      <c r="L10" s="5">
        <f>8*63</f>
        <v>504</v>
      </c>
      <c r="M10" s="5">
        <f>8*50</f>
        <v>400</v>
      </c>
      <c r="N10" s="9">
        <f t="shared" si="1"/>
        <v>6920</v>
      </c>
    </row>
    <row r="11" spans="1:14">
      <c r="A11" s="3" t="s">
        <v>22</v>
      </c>
      <c r="B11" s="5">
        <f>16*230</f>
        <v>3680</v>
      </c>
      <c r="C11" s="5">
        <f>16*200</f>
        <v>3200</v>
      </c>
      <c r="D11" s="5">
        <f>16*180</f>
        <v>2880</v>
      </c>
      <c r="E11" s="5">
        <f>16*250</f>
        <v>4000</v>
      </c>
      <c r="F11" s="5">
        <f>16*220</f>
        <v>3520</v>
      </c>
      <c r="G11" s="5">
        <f>16*150</f>
        <v>2400</v>
      </c>
      <c r="H11" s="5">
        <f>16*170</f>
        <v>2720</v>
      </c>
      <c r="I11" s="5">
        <f>16*180</f>
        <v>2880</v>
      </c>
      <c r="J11" s="5">
        <f>16*205</f>
        <v>3280</v>
      </c>
      <c r="K11" s="5">
        <f>16*194</f>
        <v>3104</v>
      </c>
      <c r="L11" s="5">
        <f>16*208</f>
        <v>3328</v>
      </c>
      <c r="M11" s="5">
        <f>16*188</f>
        <v>3008</v>
      </c>
      <c r="N11" s="9">
        <f t="shared" si="1"/>
        <v>38000</v>
      </c>
    </row>
    <row r="12" spans="1:14">
      <c r="A12" s="3" t="s">
        <v>23</v>
      </c>
      <c r="B12" s="5">
        <f>150*80</f>
        <v>12000</v>
      </c>
      <c r="C12" s="5">
        <f>150*75</f>
        <v>11250</v>
      </c>
      <c r="D12" s="5">
        <f>150*60</f>
        <v>9000</v>
      </c>
      <c r="E12" s="5">
        <f>150*82</f>
        <v>12300</v>
      </c>
      <c r="F12" s="5">
        <f>150*84</f>
        <v>12600</v>
      </c>
      <c r="G12" s="5">
        <f>150*75</f>
        <v>11250</v>
      </c>
      <c r="H12" s="5">
        <f>150*95</f>
        <v>14250</v>
      </c>
      <c r="I12" s="5">
        <f>150*74</f>
        <v>11100</v>
      </c>
      <c r="J12" s="5">
        <f>150*60</f>
        <v>9000</v>
      </c>
      <c r="K12" s="5">
        <f>150*78</f>
        <v>11700</v>
      </c>
      <c r="L12" s="5">
        <f>150*92</f>
        <v>13800</v>
      </c>
      <c r="M12" s="5">
        <f>150*77</f>
        <v>11550</v>
      </c>
      <c r="N12" s="9">
        <f t="shared" si="1"/>
        <v>139800</v>
      </c>
    </row>
    <row r="13" spans="1:14">
      <c r="A13" s="3" t="s">
        <v>24</v>
      </c>
      <c r="B13" s="5">
        <f>9*260</f>
        <v>2340</v>
      </c>
      <c r="C13" s="5">
        <f>9*230</f>
        <v>2070</v>
      </c>
      <c r="D13" s="5">
        <f>9*210</f>
        <v>1890</v>
      </c>
      <c r="E13" s="5">
        <f>9*190</f>
        <v>1710</v>
      </c>
      <c r="F13" s="5">
        <f>9*275</f>
        <v>2475</v>
      </c>
      <c r="G13" s="5">
        <f>9*238</f>
        <v>2142</v>
      </c>
      <c r="H13" s="5">
        <f>9*205</f>
        <v>1845</v>
      </c>
      <c r="I13" s="5">
        <f>9*214</f>
        <v>1926</v>
      </c>
      <c r="J13" s="5">
        <f>9*216</f>
        <v>1944</v>
      </c>
      <c r="K13" s="5">
        <f>9*305</f>
        <v>2745</v>
      </c>
      <c r="L13" s="5">
        <f>9*238</f>
        <v>2142</v>
      </c>
      <c r="M13" s="5">
        <f>9*278</f>
        <v>2502</v>
      </c>
      <c r="N13" s="9">
        <f t="shared" si="1"/>
        <v>25731</v>
      </c>
    </row>
    <row r="14" spans="1:14">
      <c r="A14" s="3" t="s">
        <v>25</v>
      </c>
      <c r="B14" s="5">
        <f>4*95</f>
        <v>380</v>
      </c>
      <c r="C14" s="5">
        <f>4*80</f>
        <v>320</v>
      </c>
      <c r="D14" s="5">
        <f>4*85</f>
        <v>340</v>
      </c>
      <c r="E14" s="5">
        <f>4*100</f>
        <v>400</v>
      </c>
      <c r="F14" s="5">
        <f>4*65</f>
        <v>260</v>
      </c>
      <c r="G14" s="5">
        <f>4*80</f>
        <v>320</v>
      </c>
      <c r="H14" s="5">
        <f>4*85</f>
        <v>340</v>
      </c>
      <c r="I14" s="5">
        <f>4*105</f>
        <v>420</v>
      </c>
      <c r="J14" s="5">
        <f>4*110</f>
        <v>440</v>
      </c>
      <c r="K14" s="5">
        <f>4*115</f>
        <v>460</v>
      </c>
      <c r="L14" s="5">
        <f t="shared" ref="L14" si="4">4*95</f>
        <v>380</v>
      </c>
      <c r="M14" s="5">
        <f>4*110</f>
        <v>440</v>
      </c>
      <c r="N14" s="9">
        <f t="shared" si="1"/>
        <v>4500</v>
      </c>
    </row>
    <row r="15" spans="1:14">
      <c r="A15" s="3" t="s">
        <v>26</v>
      </c>
      <c r="B15" s="5">
        <f>12*55</f>
        <v>660</v>
      </c>
      <c r="C15" s="5">
        <f>12*40</f>
        <v>480</v>
      </c>
      <c r="D15" s="5">
        <f>12*43</f>
        <v>516</v>
      </c>
      <c r="E15" s="5">
        <f>12*62</f>
        <v>744</v>
      </c>
      <c r="F15" s="5">
        <f>12*48</f>
        <v>576</v>
      </c>
      <c r="G15" s="5">
        <f>12*51</f>
        <v>612</v>
      </c>
      <c r="H15" s="5">
        <f>12*62</f>
        <v>744</v>
      </c>
      <c r="I15" s="5">
        <f>12*47</f>
        <v>564</v>
      </c>
      <c r="J15" s="5">
        <f>12*35</f>
        <v>420</v>
      </c>
      <c r="K15" s="5">
        <f>12*40</f>
        <v>480</v>
      </c>
      <c r="L15" s="5">
        <f>12*65</f>
        <v>780</v>
      </c>
      <c r="M15" s="5">
        <f>12*63</f>
        <v>756</v>
      </c>
      <c r="N15" s="9">
        <f t="shared" si="1"/>
        <v>7332</v>
      </c>
    </row>
    <row r="16" spans="1:14">
      <c r="A16" s="3" t="s">
        <v>27</v>
      </c>
      <c r="B16" s="5">
        <f>18*32</f>
        <v>576</v>
      </c>
      <c r="C16" s="5">
        <f>18*25</f>
        <v>450</v>
      </c>
      <c r="D16" s="5">
        <f>18*28</f>
        <v>504</v>
      </c>
      <c r="E16" s="5">
        <f>18*35</f>
        <v>630</v>
      </c>
      <c r="F16" s="5">
        <f t="shared" ref="F16" si="5">18*32</f>
        <v>576</v>
      </c>
      <c r="G16" s="5">
        <f>18*36</f>
        <v>648</v>
      </c>
      <c r="H16" s="5">
        <f>18*40</f>
        <v>720</v>
      </c>
      <c r="I16" s="5">
        <f>18*26</f>
        <v>468</v>
      </c>
      <c r="J16" s="5">
        <f>18*29</f>
        <v>522</v>
      </c>
      <c r="K16" s="5">
        <f>18*37</f>
        <v>666</v>
      </c>
      <c r="L16" s="5">
        <f>18*36</f>
        <v>648</v>
      </c>
      <c r="M16" s="5">
        <f>18*46</f>
        <v>828</v>
      </c>
      <c r="N16" s="9">
        <f t="shared" si="1"/>
        <v>7236</v>
      </c>
    </row>
    <row r="17" spans="1:14">
      <c r="A17" s="3" t="s">
        <v>28</v>
      </c>
      <c r="B17" s="5">
        <f>6*42</f>
        <v>252</v>
      </c>
      <c r="C17" s="5">
        <f>6*50</f>
        <v>300</v>
      </c>
      <c r="D17" s="5">
        <f>6*35</f>
        <v>210</v>
      </c>
      <c r="E17" s="5">
        <f>6*65</f>
        <v>390</v>
      </c>
      <c r="F17" s="5">
        <f>6*78</f>
        <v>468</v>
      </c>
      <c r="G17" s="5">
        <f>6*74</f>
        <v>444</v>
      </c>
      <c r="H17" s="5">
        <f>6*45</f>
        <v>270</v>
      </c>
      <c r="I17" s="5">
        <f>6*85</f>
        <v>510</v>
      </c>
      <c r="J17" s="5">
        <f>6*50</f>
        <v>300</v>
      </c>
      <c r="K17" s="5">
        <f>6*34</f>
        <v>204</v>
      </c>
      <c r="L17" s="5">
        <f>6*45</f>
        <v>270</v>
      </c>
      <c r="M17" s="5">
        <f>6*54</f>
        <v>324</v>
      </c>
      <c r="N17" s="9">
        <f t="shared" si="1"/>
        <v>3942</v>
      </c>
    </row>
    <row r="18" spans="1:14">
      <c r="A18" s="3" t="s">
        <v>29</v>
      </c>
      <c r="B18" s="5">
        <f>56*45</f>
        <v>2520</v>
      </c>
      <c r="C18" s="5">
        <f>56*50</f>
        <v>2800</v>
      </c>
      <c r="D18" s="5">
        <f>56*40</f>
        <v>2240</v>
      </c>
      <c r="E18" s="5">
        <f>56*48</f>
        <v>2688</v>
      </c>
      <c r="F18" s="5">
        <f>56*62</f>
        <v>3472</v>
      </c>
      <c r="G18" s="5">
        <f>56*30</f>
        <v>1680</v>
      </c>
      <c r="H18" s="5">
        <f>56*32</f>
        <v>1792</v>
      </c>
      <c r="I18" s="5">
        <f>56*58</f>
        <v>3248</v>
      </c>
      <c r="J18" s="5">
        <f>56*44</f>
        <v>2464</v>
      </c>
      <c r="K18" s="5">
        <f>56*62</f>
        <v>3472</v>
      </c>
      <c r="L18" s="5">
        <f>56*64</f>
        <v>3584</v>
      </c>
      <c r="M18" s="5">
        <f>56*54</f>
        <v>3024</v>
      </c>
      <c r="N18" s="9">
        <f t="shared" si="1"/>
        <v>32984</v>
      </c>
    </row>
    <row r="19" spans="1:14">
      <c r="A19" s="3" t="s">
        <v>30</v>
      </c>
      <c r="B19" s="5">
        <f>25*10</f>
        <v>250</v>
      </c>
      <c r="C19" s="5">
        <f>25*15</f>
        <v>375</v>
      </c>
      <c r="D19" s="5">
        <f>25*18</f>
        <v>450</v>
      </c>
      <c r="E19" s="5">
        <f>25*20</f>
        <v>500</v>
      </c>
      <c r="F19" s="5">
        <f>25*40</f>
        <v>1000</v>
      </c>
      <c r="G19" s="5">
        <f>25*25</f>
        <v>625</v>
      </c>
      <c r="H19" s="5">
        <f>25*15</f>
        <v>375</v>
      </c>
      <c r="I19" s="5">
        <f>25*25</f>
        <v>625</v>
      </c>
      <c r="J19" s="5">
        <f>25*32</f>
        <v>800</v>
      </c>
      <c r="K19" s="5">
        <f>25*18</f>
        <v>450</v>
      </c>
      <c r="L19" s="5">
        <f>25*16</f>
        <v>400</v>
      </c>
      <c r="M19" s="5">
        <f>25*12</f>
        <v>300</v>
      </c>
      <c r="N19" s="9">
        <f t="shared" si="1"/>
        <v>6150</v>
      </c>
    </row>
    <row r="20" spans="1:14">
      <c r="A20" s="3" t="s">
        <v>31</v>
      </c>
      <c r="B20" s="5">
        <f>25*20</f>
        <v>500</v>
      </c>
      <c r="C20" s="5">
        <f>25*25</f>
        <v>625</v>
      </c>
      <c r="D20" s="5">
        <f>25*30</f>
        <v>750</v>
      </c>
      <c r="E20" s="5">
        <f>25*22</f>
        <v>550</v>
      </c>
      <c r="F20" s="5">
        <f>25*28</f>
        <v>700</v>
      </c>
      <c r="G20" s="5">
        <f>25*32</f>
        <v>800</v>
      </c>
      <c r="H20" s="5">
        <f>25*34</f>
        <v>850</v>
      </c>
      <c r="I20" s="5">
        <f>25*18</f>
        <v>450</v>
      </c>
      <c r="J20" s="5">
        <f>25*28</f>
        <v>700</v>
      </c>
      <c r="K20" s="5">
        <f>25*17</f>
        <v>425</v>
      </c>
      <c r="L20" s="5">
        <f>25*35</f>
        <v>875</v>
      </c>
      <c r="M20" s="5">
        <f>25*22</f>
        <v>550</v>
      </c>
      <c r="N20" s="9">
        <f t="shared" si="1"/>
        <v>7775</v>
      </c>
    </row>
    <row r="21" spans="1:14">
      <c r="A21" s="3" t="s">
        <v>32</v>
      </c>
      <c r="B21" s="5">
        <f>42*25</f>
        <v>1050</v>
      </c>
      <c r="C21" s="5">
        <f>42*22</f>
        <v>924</v>
      </c>
      <c r="D21" s="5">
        <f>42*18</f>
        <v>756</v>
      </c>
      <c r="E21" s="5">
        <f>42*16</f>
        <v>672</v>
      </c>
      <c r="F21" s="5">
        <f>42*29</f>
        <v>1218</v>
      </c>
      <c r="G21" s="5">
        <f>42*15</f>
        <v>630</v>
      </c>
      <c r="H21" s="5">
        <f>42*18</f>
        <v>756</v>
      </c>
      <c r="I21" s="5">
        <f>42*30</f>
        <v>1260</v>
      </c>
      <c r="J21" s="5">
        <f>42*24</f>
        <v>1008</v>
      </c>
      <c r="K21" s="5">
        <f>42*26</f>
        <v>1092</v>
      </c>
      <c r="L21" s="5">
        <f>42*29</f>
        <v>1218</v>
      </c>
      <c r="M21" s="5">
        <f>42*33</f>
        <v>1386</v>
      </c>
      <c r="N21" s="9">
        <f t="shared" si="1"/>
        <v>11970</v>
      </c>
    </row>
    <row r="22" spans="1:14">
      <c r="A22" s="3" t="s">
        <v>33</v>
      </c>
      <c r="B22" s="5">
        <f>5*180</f>
        <v>900</v>
      </c>
      <c r="C22" s="5">
        <f>5*150</f>
        <v>750</v>
      </c>
      <c r="D22" s="5">
        <f>5*200</f>
        <v>1000</v>
      </c>
      <c r="E22" s="5">
        <f>5*175</f>
        <v>875</v>
      </c>
      <c r="F22" s="5">
        <f>5*185</f>
        <v>925</v>
      </c>
      <c r="G22" s="5">
        <f>5*193</f>
        <v>965</v>
      </c>
      <c r="H22" s="5">
        <f>5*208</f>
        <v>1040</v>
      </c>
      <c r="I22" s="5">
        <f>5*225</f>
        <v>1125</v>
      </c>
      <c r="J22" s="5">
        <f>5*195</f>
        <v>975</v>
      </c>
      <c r="K22" s="5">
        <f>5*184</f>
        <v>920</v>
      </c>
      <c r="L22" s="5">
        <f>5*174</f>
        <v>870</v>
      </c>
      <c r="M22" s="5">
        <f>5*210</f>
        <v>1050</v>
      </c>
      <c r="N22" s="9">
        <f t="shared" si="1"/>
        <v>11395</v>
      </c>
    </row>
    <row r="23" spans="1:14">
      <c r="A23" s="3" t="s">
        <v>34</v>
      </c>
      <c r="B23" s="5">
        <f>680*10</f>
        <v>6800</v>
      </c>
      <c r="C23" s="5">
        <f>680*5</f>
        <v>3400</v>
      </c>
      <c r="D23" s="5">
        <f>680*7</f>
        <v>4760</v>
      </c>
      <c r="E23" s="5">
        <f>680*6</f>
        <v>4080</v>
      </c>
      <c r="F23" s="5">
        <f>680*10</f>
        <v>6800</v>
      </c>
      <c r="G23" s="5">
        <f>680*6</f>
        <v>4080</v>
      </c>
      <c r="H23" s="5">
        <f>680*2</f>
        <v>1360</v>
      </c>
      <c r="I23" s="5">
        <f>680*15</f>
        <v>10200</v>
      </c>
      <c r="J23" s="5">
        <f>680*6</f>
        <v>4080</v>
      </c>
      <c r="K23" s="5">
        <f t="shared" ref="K23" si="6">680*5</f>
        <v>3400</v>
      </c>
      <c r="L23" s="5">
        <f>680*3</f>
        <v>2040</v>
      </c>
      <c r="M23" s="5">
        <f>680*4</f>
        <v>2720</v>
      </c>
      <c r="N23" s="9">
        <f t="shared" si="1"/>
        <v>53720</v>
      </c>
    </row>
    <row r="24" spans="1:14">
      <c r="A24" s="3" t="s">
        <v>35</v>
      </c>
      <c r="B24" s="5">
        <f>430*6</f>
        <v>2580</v>
      </c>
      <c r="C24" s="5">
        <f>430*2</f>
        <v>860</v>
      </c>
      <c r="D24" s="5">
        <f>430*5</f>
        <v>2150</v>
      </c>
      <c r="E24" s="5">
        <f>430*7</f>
        <v>3010</v>
      </c>
      <c r="F24" s="5">
        <f>430*12</f>
        <v>5160</v>
      </c>
      <c r="G24" s="5">
        <f>430*15</f>
        <v>6450</v>
      </c>
      <c r="H24" s="5">
        <f>430*4</f>
        <v>1720</v>
      </c>
      <c r="I24" s="5">
        <f>430*20</f>
        <v>8600</v>
      </c>
      <c r="J24" s="5">
        <f>430*10</f>
        <v>4300</v>
      </c>
      <c r="K24" s="5">
        <f>430*5</f>
        <v>2150</v>
      </c>
      <c r="L24" s="5">
        <f t="shared" ref="L24" si="7">430*6</f>
        <v>2580</v>
      </c>
      <c r="M24" s="5">
        <f>430*3</f>
        <v>1290</v>
      </c>
      <c r="N24" s="9">
        <f t="shared" si="1"/>
        <v>40850</v>
      </c>
    </row>
    <row r="25" spans="1:14">
      <c r="A25" s="3" t="s">
        <v>36</v>
      </c>
      <c r="B25" s="5">
        <f>54*28</f>
        <v>1512</v>
      </c>
      <c r="C25" s="5">
        <f>54*20</f>
        <v>1080</v>
      </c>
      <c r="D25" s="5">
        <f>54*15</f>
        <v>810</v>
      </c>
      <c r="E25" s="5">
        <f>54*22</f>
        <v>1188</v>
      </c>
      <c r="F25" s="5">
        <f>54*13</f>
        <v>702</v>
      </c>
      <c r="G25" s="5">
        <f>54*15</f>
        <v>810</v>
      </c>
      <c r="H25" s="5">
        <f>54*18</f>
        <v>972</v>
      </c>
      <c r="I25" s="5">
        <f>54*65</f>
        <v>3510</v>
      </c>
      <c r="J25" s="5">
        <f>54*32</f>
        <v>1728</v>
      </c>
      <c r="K25" s="5">
        <f>54*18</f>
        <v>972</v>
      </c>
      <c r="L25" s="5">
        <f>54*22</f>
        <v>1188</v>
      </c>
      <c r="M25" s="5">
        <f>54*18</f>
        <v>972</v>
      </c>
      <c r="N25" s="9">
        <f t="shared" si="1"/>
        <v>15444</v>
      </c>
    </row>
    <row r="26" spans="1:14">
      <c r="A26" s="6" t="s">
        <v>37</v>
      </c>
      <c r="B26" s="7">
        <f>26*670</f>
        <v>17420</v>
      </c>
      <c r="C26" s="7">
        <f>26*130</f>
        <v>3380</v>
      </c>
      <c r="D26" s="7">
        <f>26*140</f>
        <v>3640</v>
      </c>
      <c r="E26" s="7">
        <f>26*110</f>
        <v>2860</v>
      </c>
      <c r="F26" s="7">
        <f>26*150</f>
        <v>3900</v>
      </c>
      <c r="G26" s="7">
        <f>26*120</f>
        <v>3120</v>
      </c>
      <c r="H26" s="7">
        <f>26*80</f>
        <v>2080</v>
      </c>
      <c r="I26" s="7">
        <f>26*780</f>
        <v>20280</v>
      </c>
      <c r="J26" s="7">
        <f>26*690</f>
        <v>17940</v>
      </c>
      <c r="K26" s="7">
        <f>26*320</f>
        <v>8320</v>
      </c>
      <c r="L26" s="7">
        <f>26*210</f>
        <v>5460</v>
      </c>
      <c r="M26" s="7">
        <f>26*110</f>
        <v>2860</v>
      </c>
      <c r="N26" s="9">
        <f t="shared" si="1"/>
        <v>91260</v>
      </c>
    </row>
    <row r="27" spans="1:14">
      <c r="A27" s="3" t="s">
        <v>40</v>
      </c>
      <c r="B27" s="8">
        <f>SUM(B2,B26)</f>
        <v>19670</v>
      </c>
      <c r="C27" s="8">
        <f t="shared" ref="C27:N27" si="8">SUM(C2,C26)</f>
        <v>4625</v>
      </c>
      <c r="D27" s="8">
        <f t="shared" si="8"/>
        <v>4570</v>
      </c>
      <c r="E27" s="8">
        <f t="shared" si="8"/>
        <v>3985</v>
      </c>
      <c r="F27" s="8">
        <f t="shared" si="8"/>
        <v>6600</v>
      </c>
      <c r="G27" s="8">
        <f t="shared" si="8"/>
        <v>4920</v>
      </c>
      <c r="H27" s="8">
        <f t="shared" si="8"/>
        <v>2755</v>
      </c>
      <c r="I27" s="8">
        <f t="shared" si="8"/>
        <v>23580</v>
      </c>
      <c r="J27" s="8">
        <f t="shared" si="8"/>
        <v>19860</v>
      </c>
      <c r="K27" s="8">
        <f t="shared" si="8"/>
        <v>9730</v>
      </c>
      <c r="L27" s="8">
        <f t="shared" si="8"/>
        <v>6735</v>
      </c>
      <c r="M27" s="8">
        <f t="shared" si="8"/>
        <v>4510</v>
      </c>
      <c r="N27" s="8">
        <f t="shared" si="8"/>
        <v>111540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tabSelected="1" zoomScaleNormal="100" workbookViewId="0">
      <selection activeCell="C2" sqref="C2"/>
    </sheetView>
  </sheetViews>
  <sheetFormatPr defaultColWidth="10.7109375" defaultRowHeight="12.75"/>
  <cols>
    <col min="1" max="1" width="30.7109375" style="2" customWidth="1"/>
    <col min="2" max="12" width="15.7109375" style="1" customWidth="1"/>
    <col min="13" max="16384" width="10.7109375" style="1"/>
  </cols>
  <sheetData>
    <row r="1" spans="1:6" s="2" customFormat="1">
      <c r="A1" s="3" t="s">
        <v>12</v>
      </c>
      <c r="B1" s="4" t="s">
        <v>38</v>
      </c>
      <c r="C1" s="4" t="s">
        <v>41</v>
      </c>
      <c r="D1" s="4" t="s">
        <v>42</v>
      </c>
      <c r="E1" s="4" t="s">
        <v>43</v>
      </c>
      <c r="F1" s="3" t="s">
        <v>44</v>
      </c>
    </row>
    <row r="2" spans="1:6">
      <c r="A2" s="3" t="s">
        <v>13</v>
      </c>
      <c r="B2" s="5">
        <f>VLOOKUP('Продажи по месяцам'!N2,ИтогоЗаГод,1,FALSE)</f>
        <v>20280</v>
      </c>
      <c r="C2" s="5"/>
      <c r="D2" s="10"/>
      <c r="E2" s="5"/>
      <c r="F2" s="5"/>
    </row>
    <row r="3" spans="1:6">
      <c r="A3" s="3" t="s">
        <v>14</v>
      </c>
      <c r="B3" s="5">
        <f>VLOOKUP('Продажи по месяцам'!N3,ИтогоЗаГод,1,FALSE)</f>
        <v>14982</v>
      </c>
      <c r="C3" s="5"/>
      <c r="D3" s="10"/>
      <c r="E3" s="5"/>
      <c r="F3" s="5"/>
    </row>
    <row r="4" spans="1:6">
      <c r="A4" s="3" t="s">
        <v>15</v>
      </c>
      <c r="B4" s="5">
        <f>VLOOKUP('Продажи по месяцам'!N4,ИтогоЗаГод,1,FALSE)</f>
        <v>8835</v>
      </c>
      <c r="C4" s="5"/>
      <c r="D4" s="10"/>
      <c r="E4" s="5"/>
      <c r="F4" s="5"/>
    </row>
    <row r="5" spans="1:6">
      <c r="A5" s="3" t="s">
        <v>16</v>
      </c>
      <c r="B5" s="5">
        <f>VLOOKUP('Продажи по месяцам'!N5,ИтогоЗаГод,1,FALSE)</f>
        <v>3880</v>
      </c>
      <c r="C5" s="5"/>
      <c r="D5" s="10"/>
      <c r="E5" s="5"/>
      <c r="F5" s="5"/>
    </row>
    <row r="6" spans="1:6">
      <c r="A6" s="3" t="s">
        <v>17</v>
      </c>
      <c r="B6" s="5">
        <f>VLOOKUP('Продажи по месяцам'!N6,ИтогоЗаГод,1,FALSE)</f>
        <v>19440</v>
      </c>
      <c r="C6" s="5"/>
      <c r="D6" s="10"/>
      <c r="E6" s="5"/>
      <c r="F6" s="5"/>
    </row>
    <row r="7" spans="1:6">
      <c r="A7" s="3" t="s">
        <v>18</v>
      </c>
      <c r="B7" s="5">
        <f>VLOOKUP('Продажи по месяцам'!N7,ИтогоЗаГод,1,FALSE)</f>
        <v>366300</v>
      </c>
      <c r="C7" s="5"/>
      <c r="D7" s="10"/>
      <c r="E7" s="5"/>
      <c r="F7" s="5"/>
    </row>
    <row r="8" spans="1:6">
      <c r="A8" s="3" t="s">
        <v>19</v>
      </c>
      <c r="B8" s="5">
        <f>VLOOKUP('Продажи по месяцам'!N8,ИтогоЗаГод,1,FALSE)</f>
        <v>12167</v>
      </c>
      <c r="C8" s="5"/>
      <c r="D8" s="10"/>
      <c r="E8" s="5"/>
      <c r="F8" s="5"/>
    </row>
    <row r="9" spans="1:6">
      <c r="A9" s="3" t="s">
        <v>20</v>
      </c>
      <c r="B9" s="5">
        <f>VLOOKUP('Продажи по месяцам'!N9,ИтогоЗаГод,1,FALSE)</f>
        <v>6552</v>
      </c>
      <c r="C9" s="5"/>
      <c r="D9" s="10"/>
      <c r="E9" s="5"/>
      <c r="F9" s="5"/>
    </row>
    <row r="10" spans="1:6">
      <c r="A10" s="3" t="s">
        <v>21</v>
      </c>
      <c r="B10" s="5">
        <f>VLOOKUP('Продажи по месяцам'!N10,ИтогоЗаГод,1,FALSE)</f>
        <v>6920</v>
      </c>
      <c r="C10" s="5"/>
      <c r="D10" s="10"/>
      <c r="E10" s="5"/>
      <c r="F10" s="5"/>
    </row>
    <row r="11" spans="1:6">
      <c r="A11" s="3" t="s">
        <v>22</v>
      </c>
      <c r="B11" s="5">
        <f>VLOOKUP('Продажи по месяцам'!N11,ИтогоЗаГод,1,FALSE)</f>
        <v>38000</v>
      </c>
      <c r="C11" s="5"/>
      <c r="D11" s="10"/>
      <c r="E11" s="5"/>
      <c r="F11" s="5"/>
    </row>
    <row r="12" spans="1:6">
      <c r="A12" s="3" t="s">
        <v>23</v>
      </c>
      <c r="B12" s="5">
        <f>VLOOKUP('Продажи по месяцам'!N12,ИтогоЗаГод,1,FALSE)</f>
        <v>139800</v>
      </c>
      <c r="C12" s="5"/>
      <c r="D12" s="10"/>
      <c r="E12" s="5"/>
      <c r="F12" s="5"/>
    </row>
    <row r="13" spans="1:6">
      <c r="A13" s="3" t="s">
        <v>24</v>
      </c>
      <c r="B13" s="5">
        <f>VLOOKUP('Продажи по месяцам'!N13,ИтогоЗаГод,1,FALSE)</f>
        <v>25731</v>
      </c>
      <c r="C13" s="5"/>
      <c r="D13" s="10"/>
      <c r="E13" s="5"/>
      <c r="F13" s="5"/>
    </row>
    <row r="14" spans="1:6">
      <c r="A14" s="3" t="s">
        <v>25</v>
      </c>
      <c r="B14" s="5">
        <f>VLOOKUP('Продажи по месяцам'!N14,ИтогоЗаГод,1,FALSE)</f>
        <v>4500</v>
      </c>
      <c r="C14" s="5"/>
      <c r="D14" s="10"/>
      <c r="E14" s="5"/>
      <c r="F14" s="5"/>
    </row>
    <row r="15" spans="1:6">
      <c r="A15" s="3" t="s">
        <v>26</v>
      </c>
      <c r="B15" s="5">
        <f>VLOOKUP('Продажи по месяцам'!N15,ИтогоЗаГод,1,FALSE)</f>
        <v>7332</v>
      </c>
      <c r="C15" s="5"/>
      <c r="D15" s="10"/>
      <c r="E15" s="5"/>
      <c r="F15" s="5"/>
    </row>
    <row r="16" spans="1:6">
      <c r="A16" s="3" t="s">
        <v>27</v>
      </c>
      <c r="B16" s="5">
        <f>VLOOKUP('Продажи по месяцам'!N16,ИтогоЗаГод,1,FALSE)</f>
        <v>7236</v>
      </c>
      <c r="C16" s="5"/>
      <c r="D16" s="10"/>
      <c r="E16" s="5"/>
      <c r="F16" s="5"/>
    </row>
    <row r="17" spans="1:6">
      <c r="A17" s="3" t="s">
        <v>28</v>
      </c>
      <c r="B17" s="5">
        <f>VLOOKUP('Продажи по месяцам'!N17,ИтогоЗаГод,1,FALSE)</f>
        <v>3942</v>
      </c>
      <c r="C17" s="5"/>
      <c r="D17" s="10"/>
      <c r="E17" s="5"/>
      <c r="F17" s="5"/>
    </row>
    <row r="18" spans="1:6">
      <c r="A18" s="3" t="s">
        <v>29</v>
      </c>
      <c r="B18" s="5">
        <f>VLOOKUP('Продажи по месяцам'!N18,ИтогоЗаГод,1,FALSE)</f>
        <v>32984</v>
      </c>
      <c r="C18" s="5"/>
      <c r="D18" s="10"/>
      <c r="E18" s="5"/>
      <c r="F18" s="5"/>
    </row>
    <row r="19" spans="1:6">
      <c r="A19" s="3" t="s">
        <v>30</v>
      </c>
      <c r="B19" s="5">
        <f>VLOOKUP('Продажи по месяцам'!N19,ИтогоЗаГод,1,FALSE)</f>
        <v>6150</v>
      </c>
      <c r="C19" s="5"/>
      <c r="D19" s="10"/>
      <c r="E19" s="5"/>
      <c r="F19" s="5"/>
    </row>
    <row r="20" spans="1:6">
      <c r="A20" s="3" t="s">
        <v>31</v>
      </c>
      <c r="B20" s="5">
        <f>VLOOKUP('Продажи по месяцам'!N20,ИтогоЗаГод,1,FALSE)</f>
        <v>7775</v>
      </c>
      <c r="C20" s="5"/>
      <c r="D20" s="10"/>
      <c r="E20" s="5"/>
      <c r="F20" s="5"/>
    </row>
    <row r="21" spans="1:6">
      <c r="A21" s="3" t="s">
        <v>32</v>
      </c>
      <c r="B21" s="5">
        <f>VLOOKUP('Продажи по месяцам'!N21,ИтогоЗаГод,1,FALSE)</f>
        <v>11970</v>
      </c>
      <c r="C21" s="5"/>
      <c r="D21" s="10"/>
      <c r="E21" s="5"/>
      <c r="F21" s="5"/>
    </row>
    <row r="22" spans="1:6">
      <c r="A22" s="3" t="s">
        <v>33</v>
      </c>
      <c r="B22" s="5">
        <f>VLOOKUP('Продажи по месяцам'!N22,ИтогоЗаГод,1,FALSE)</f>
        <v>11395</v>
      </c>
      <c r="C22" s="5"/>
      <c r="D22" s="10"/>
      <c r="E22" s="5"/>
      <c r="F22" s="5"/>
    </row>
    <row r="23" spans="1:6">
      <c r="A23" s="3" t="s">
        <v>34</v>
      </c>
      <c r="B23" s="5">
        <f>VLOOKUP('Продажи по месяцам'!N23,ИтогоЗаГод,1,FALSE)</f>
        <v>53720</v>
      </c>
      <c r="C23" s="5"/>
      <c r="D23" s="10"/>
      <c r="E23" s="5"/>
      <c r="F23" s="5"/>
    </row>
    <row r="24" spans="1:6">
      <c r="A24" s="3" t="s">
        <v>35</v>
      </c>
      <c r="B24" s="5">
        <f>VLOOKUP('Продажи по месяцам'!N24,ИтогоЗаГод,1,FALSE)</f>
        <v>40850</v>
      </c>
      <c r="C24" s="5"/>
      <c r="D24" s="10"/>
      <c r="E24" s="5"/>
      <c r="F24" s="5"/>
    </row>
    <row r="25" spans="1:6">
      <c r="A25" s="3" t="s">
        <v>36</v>
      </c>
      <c r="B25" s="5">
        <f>VLOOKUP('Продажи по месяцам'!N25,ИтогоЗаГод,1,FALSE)</f>
        <v>15444</v>
      </c>
      <c r="C25" s="5"/>
      <c r="D25" s="10"/>
      <c r="E25" s="5"/>
      <c r="F25" s="5"/>
    </row>
    <row r="26" spans="1:6">
      <c r="A26" s="3" t="s">
        <v>37</v>
      </c>
      <c r="B26" s="5">
        <f>VLOOKUP('Продажи по месяцам'!N26,ИтогоЗаГод,1,FALSE)</f>
        <v>91260</v>
      </c>
      <c r="C26" s="5"/>
      <c r="D26" s="10"/>
      <c r="E26" s="5"/>
      <c r="F2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zoomScaleNormal="100" workbookViewId="0">
      <selection activeCell="I21" sqref="I21"/>
    </sheetView>
  </sheetViews>
  <sheetFormatPr defaultColWidth="10.7109375" defaultRowHeight="12.75"/>
  <cols>
    <col min="1" max="1" width="30.7109375" style="2" customWidth="1"/>
    <col min="2" max="2" width="11.28515625" style="1" bestFit="1" customWidth="1"/>
    <col min="3" max="16384" width="10.7109375" style="1"/>
  </cols>
  <sheetData>
    <row r="1" spans="1:2" s="2" customFormat="1">
      <c r="A1" s="3" t="s">
        <v>12</v>
      </c>
      <c r="B1" s="4" t="s">
        <v>45</v>
      </c>
    </row>
    <row r="2" spans="1:2">
      <c r="A2" s="3" t="s">
        <v>36</v>
      </c>
      <c r="B2" s="5">
        <v>54</v>
      </c>
    </row>
    <row r="3" spans="1:2">
      <c r="A3" s="3" t="s">
        <v>18</v>
      </c>
      <c r="B3" s="5">
        <v>220</v>
      </c>
    </row>
    <row r="4" spans="1:2">
      <c r="A4" s="3" t="s">
        <v>17</v>
      </c>
      <c r="B4" s="5">
        <v>120</v>
      </c>
    </row>
    <row r="5" spans="1:2">
      <c r="A5" s="3" t="s">
        <v>33</v>
      </c>
      <c r="B5" s="5">
        <v>5</v>
      </c>
    </row>
    <row r="6" spans="1:2">
      <c r="A6" s="3" t="s">
        <v>15</v>
      </c>
      <c r="B6" s="5">
        <v>15</v>
      </c>
    </row>
    <row r="7" spans="1:2">
      <c r="A7" s="3" t="s">
        <v>20</v>
      </c>
      <c r="B7" s="5">
        <v>18</v>
      </c>
    </row>
    <row r="8" spans="1:2">
      <c r="A8" s="3" t="s">
        <v>21</v>
      </c>
      <c r="B8" s="5">
        <v>8</v>
      </c>
    </row>
    <row r="9" spans="1:2">
      <c r="A9" s="3" t="s">
        <v>27</v>
      </c>
      <c r="B9" s="5">
        <v>18</v>
      </c>
    </row>
    <row r="10" spans="1:2">
      <c r="A10" s="3" t="s">
        <v>29</v>
      </c>
      <c r="B10" s="5">
        <v>56</v>
      </c>
    </row>
    <row r="11" spans="1:2">
      <c r="A11" s="3" t="s">
        <v>16</v>
      </c>
      <c r="B11" s="5">
        <v>8</v>
      </c>
    </row>
    <row r="12" spans="1:2">
      <c r="A12" s="3" t="s">
        <v>19</v>
      </c>
      <c r="B12" s="5">
        <v>23</v>
      </c>
    </row>
    <row r="13" spans="1:2">
      <c r="A13" s="3" t="s">
        <v>35</v>
      </c>
      <c r="B13" s="5">
        <v>430</v>
      </c>
    </row>
    <row r="14" spans="1:2">
      <c r="A14" s="3" t="s">
        <v>34</v>
      </c>
      <c r="B14" s="5">
        <v>680</v>
      </c>
    </row>
    <row r="15" spans="1:2">
      <c r="A15" s="3" t="s">
        <v>25</v>
      </c>
      <c r="B15" s="5">
        <v>4</v>
      </c>
    </row>
    <row r="16" spans="1:2">
      <c r="A16" s="3" t="s">
        <v>24</v>
      </c>
      <c r="B16" s="5">
        <v>9</v>
      </c>
    </row>
    <row r="17" spans="1:2">
      <c r="A17" s="3" t="s">
        <v>14</v>
      </c>
      <c r="B17" s="5">
        <v>22</v>
      </c>
    </row>
    <row r="18" spans="1:2">
      <c r="A18" s="3" t="s">
        <v>13</v>
      </c>
      <c r="B18" s="5">
        <v>15</v>
      </c>
    </row>
    <row r="19" spans="1:2">
      <c r="A19" s="3" t="s">
        <v>26</v>
      </c>
      <c r="B19" s="5">
        <v>12</v>
      </c>
    </row>
    <row r="20" spans="1:2">
      <c r="A20" s="3" t="s">
        <v>37</v>
      </c>
      <c r="B20" s="5">
        <v>26</v>
      </c>
    </row>
    <row r="21" spans="1:2">
      <c r="A21" s="3" t="s">
        <v>28</v>
      </c>
      <c r="B21" s="5">
        <v>6</v>
      </c>
    </row>
    <row r="22" spans="1:2">
      <c r="A22" s="3" t="s">
        <v>22</v>
      </c>
      <c r="B22" s="5">
        <v>16</v>
      </c>
    </row>
    <row r="23" spans="1:2">
      <c r="A23" s="3" t="s">
        <v>23</v>
      </c>
      <c r="B23" s="5">
        <v>150</v>
      </c>
    </row>
    <row r="24" spans="1:2">
      <c r="A24" s="3" t="s">
        <v>31</v>
      </c>
      <c r="B24" s="5">
        <v>25</v>
      </c>
    </row>
    <row r="25" spans="1:2">
      <c r="A25" s="3" t="s">
        <v>32</v>
      </c>
      <c r="B25" s="5">
        <v>42</v>
      </c>
    </row>
    <row r="26" spans="1:2">
      <c r="A26" s="6" t="s">
        <v>30</v>
      </c>
      <c r="B26" s="7">
        <v>25</v>
      </c>
    </row>
    <row r="27" spans="1:2">
      <c r="A27" s="3"/>
      <c r="B27" s="8"/>
    </row>
  </sheetData>
  <sortState ref="A2:B26">
    <sortCondition ref="A2:A2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zoomScaleNormal="100" workbookViewId="0">
      <selection activeCell="C15" sqref="C15"/>
    </sheetView>
  </sheetViews>
  <sheetFormatPr defaultColWidth="10.7109375" defaultRowHeight="12.75"/>
  <cols>
    <col min="1" max="1" width="15" style="1" customWidth="1"/>
    <col min="2" max="2" width="30.7109375" style="2" customWidth="1"/>
    <col min="3" max="3" width="11.28515625" style="1" bestFit="1" customWidth="1"/>
    <col min="4" max="5" width="10.7109375" style="1"/>
    <col min="6" max="6" width="15.7109375" style="1" customWidth="1"/>
    <col min="7" max="7" width="16.140625" style="1" customWidth="1"/>
    <col min="8" max="8" width="16" style="1" customWidth="1"/>
    <col min="9" max="9" width="15.7109375" style="1" customWidth="1"/>
    <col min="10" max="10" width="14" style="1" customWidth="1"/>
    <col min="11" max="11" width="15.140625" style="1" customWidth="1"/>
    <col min="12" max="16384" width="10.7109375" style="1"/>
  </cols>
  <sheetData>
    <row r="1" spans="1:11" s="2" customFormat="1">
      <c r="A1" s="3" t="s">
        <v>46</v>
      </c>
      <c r="B1" s="3" t="s">
        <v>47</v>
      </c>
      <c r="C1" s="4" t="s">
        <v>48</v>
      </c>
      <c r="F1" s="2" t="s">
        <v>46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</row>
    <row r="2" spans="1:11" s="2" customFormat="1" ht="15">
      <c r="A2" s="3" t="s">
        <v>49</v>
      </c>
      <c r="B2" s="3" t="s">
        <v>13</v>
      </c>
      <c r="C2" s="4">
        <v>45</v>
      </c>
      <c r="F2" s="2" t="s">
        <v>54</v>
      </c>
      <c r="G2" s="12"/>
      <c r="H2" s="12"/>
      <c r="I2" s="12"/>
      <c r="J2" s="12"/>
      <c r="K2" s="12"/>
    </row>
    <row r="3" spans="1:11" s="2" customFormat="1">
      <c r="A3" s="3" t="s">
        <v>49</v>
      </c>
      <c r="B3" s="3" t="s">
        <v>18</v>
      </c>
      <c r="C3" s="4">
        <v>20</v>
      </c>
    </row>
    <row r="4" spans="1:11" s="2" customFormat="1">
      <c r="A4" s="3" t="s">
        <v>49</v>
      </c>
      <c r="B4" s="3" t="s">
        <v>15</v>
      </c>
      <c r="C4" s="4">
        <v>10</v>
      </c>
    </row>
    <row r="5" spans="1:11" s="2" customFormat="1">
      <c r="A5" s="3" t="s">
        <v>49</v>
      </c>
      <c r="B5" s="3" t="s">
        <v>16</v>
      </c>
      <c r="C5" s="4">
        <v>10</v>
      </c>
    </row>
    <row r="6" spans="1:11" s="2" customFormat="1">
      <c r="A6" s="3" t="s">
        <v>49</v>
      </c>
      <c r="B6" s="3" t="s">
        <v>19</v>
      </c>
      <c r="C6" s="4">
        <v>10</v>
      </c>
      <c r="H6" s="11"/>
    </row>
    <row r="7" spans="1:11" s="2" customFormat="1">
      <c r="A7" s="3" t="s">
        <v>49</v>
      </c>
      <c r="B7" s="3" t="s">
        <v>21</v>
      </c>
      <c r="C7" s="4">
        <v>20</v>
      </c>
    </row>
    <row r="8" spans="1:11" s="2" customFormat="1">
      <c r="A8" s="3" t="s">
        <v>49</v>
      </c>
      <c r="B8" s="3" t="s">
        <v>23</v>
      </c>
      <c r="C8" s="4">
        <v>5</v>
      </c>
    </row>
    <row r="9" spans="1:11" s="2" customFormat="1">
      <c r="A9" s="3" t="s">
        <v>49</v>
      </c>
      <c r="B9" s="3" t="s">
        <v>26</v>
      </c>
      <c r="C9" s="4">
        <v>15</v>
      </c>
    </row>
    <row r="10" spans="1:11" s="2" customFormat="1">
      <c r="A10" s="3" t="s">
        <v>49</v>
      </c>
      <c r="B10" s="3" t="s">
        <v>35</v>
      </c>
      <c r="C10" s="4">
        <v>2</v>
      </c>
    </row>
    <row r="11" spans="1:11" s="2" customFormat="1">
      <c r="A11" s="3" t="s">
        <v>49</v>
      </c>
      <c r="B11" s="3" t="s">
        <v>33</v>
      </c>
      <c r="C11" s="4">
        <v>25</v>
      </c>
    </row>
    <row r="12" spans="1:11" s="2" customFormat="1">
      <c r="A12" s="3" t="s">
        <v>50</v>
      </c>
      <c r="B12" s="3" t="s">
        <v>18</v>
      </c>
      <c r="C12" s="4">
        <v>10</v>
      </c>
    </row>
    <row r="13" spans="1:11" s="2" customFormat="1">
      <c r="A13" s="3" t="s">
        <v>50</v>
      </c>
      <c r="B13" s="3" t="s">
        <v>13</v>
      </c>
      <c r="C13" s="4">
        <v>10</v>
      </c>
    </row>
    <row r="14" spans="1:11" s="2" customFormat="1">
      <c r="A14" s="3" t="s">
        <v>50</v>
      </c>
      <c r="B14" s="3" t="s">
        <v>24</v>
      </c>
      <c r="C14" s="4">
        <v>15</v>
      </c>
    </row>
    <row r="15" spans="1:11" s="2" customFormat="1">
      <c r="A15" s="3" t="s">
        <v>50</v>
      </c>
      <c r="B15" s="3" t="s">
        <v>26</v>
      </c>
      <c r="C15" s="4">
        <v>5</v>
      </c>
    </row>
    <row r="16" spans="1:11" s="2" customFormat="1">
      <c r="A16" s="3" t="s">
        <v>50</v>
      </c>
      <c r="B16" s="3" t="s">
        <v>19</v>
      </c>
      <c r="C16" s="4">
        <v>5</v>
      </c>
    </row>
    <row r="17" spans="1:3" s="2" customFormat="1">
      <c r="A17" s="3" t="s">
        <v>51</v>
      </c>
      <c r="B17" s="3" t="s">
        <v>13</v>
      </c>
      <c r="C17" s="4">
        <v>25</v>
      </c>
    </row>
    <row r="18" spans="1:3" s="2" customFormat="1">
      <c r="A18" s="3" t="s">
        <v>51</v>
      </c>
      <c r="B18" s="3" t="s">
        <v>14</v>
      </c>
      <c r="C18" s="4">
        <v>5</v>
      </c>
    </row>
    <row r="19" spans="1:3" s="2" customFormat="1">
      <c r="A19" s="3" t="s">
        <v>51</v>
      </c>
      <c r="B19" s="3" t="s">
        <v>15</v>
      </c>
      <c r="C19" s="4">
        <v>12</v>
      </c>
    </row>
    <row r="20" spans="1:3" s="2" customFormat="1">
      <c r="A20" s="3" t="s">
        <v>51</v>
      </c>
      <c r="B20" s="3" t="s">
        <v>16</v>
      </c>
      <c r="C20" s="4">
        <v>5</v>
      </c>
    </row>
    <row r="21" spans="1:3" s="2" customFormat="1">
      <c r="A21" s="3" t="s">
        <v>51</v>
      </c>
      <c r="B21" s="3" t="s">
        <v>19</v>
      </c>
      <c r="C21" s="4">
        <v>8</v>
      </c>
    </row>
    <row r="22" spans="1:3" s="2" customFormat="1">
      <c r="A22" s="3" t="s">
        <v>51</v>
      </c>
      <c r="B22" s="3" t="s">
        <v>20</v>
      </c>
      <c r="C22" s="4">
        <v>4</v>
      </c>
    </row>
    <row r="23" spans="1:3" s="2" customFormat="1">
      <c r="A23" s="3" t="s">
        <v>51</v>
      </c>
      <c r="B23" s="3" t="s">
        <v>18</v>
      </c>
      <c r="C23" s="4">
        <v>5</v>
      </c>
    </row>
    <row r="24" spans="1:3" s="2" customFormat="1">
      <c r="A24" s="3" t="s">
        <v>51</v>
      </c>
      <c r="B24" s="3" t="s">
        <v>24</v>
      </c>
      <c r="C24" s="4">
        <v>20</v>
      </c>
    </row>
    <row r="25" spans="1:3" s="2" customFormat="1">
      <c r="A25" s="3" t="s">
        <v>51</v>
      </c>
      <c r="B25" s="3" t="s">
        <v>28</v>
      </c>
      <c r="C25" s="4">
        <v>3</v>
      </c>
    </row>
    <row r="26" spans="1:3" s="2" customFormat="1">
      <c r="A26" s="3" t="s">
        <v>52</v>
      </c>
      <c r="B26" s="3" t="s">
        <v>13</v>
      </c>
      <c r="C26" s="4">
        <v>3</v>
      </c>
    </row>
    <row r="27" spans="1:3" s="2" customFormat="1">
      <c r="A27" s="3" t="s">
        <v>52</v>
      </c>
      <c r="B27" s="3" t="s">
        <v>18</v>
      </c>
      <c r="C27" s="4">
        <v>3</v>
      </c>
    </row>
    <row r="28" spans="1:3" s="2" customFormat="1">
      <c r="A28" s="3" t="s">
        <v>52</v>
      </c>
      <c r="B28" s="3" t="s">
        <v>22</v>
      </c>
      <c r="C28" s="4">
        <v>3</v>
      </c>
    </row>
    <row r="29" spans="1:3" s="2" customFormat="1">
      <c r="A29" s="3" t="s">
        <v>52</v>
      </c>
      <c r="B29" s="3" t="s">
        <v>24</v>
      </c>
      <c r="C29" s="4">
        <v>10</v>
      </c>
    </row>
    <row r="30" spans="1:3" s="2" customFormat="1">
      <c r="A30" s="3" t="s">
        <v>53</v>
      </c>
      <c r="B30" s="3" t="s">
        <v>13</v>
      </c>
      <c r="C30" s="4">
        <v>5</v>
      </c>
    </row>
    <row r="31" spans="1:3" s="2" customFormat="1">
      <c r="A31" s="3" t="s">
        <v>53</v>
      </c>
      <c r="B31" s="3" t="s">
        <v>15</v>
      </c>
      <c r="C31" s="4">
        <v>5</v>
      </c>
    </row>
    <row r="32" spans="1:3" s="2" customFormat="1">
      <c r="A32" s="3" t="s">
        <v>53</v>
      </c>
      <c r="B32" s="3" t="s">
        <v>16</v>
      </c>
      <c r="C32" s="4">
        <v>5</v>
      </c>
    </row>
    <row r="33" spans="1:3" s="2" customFormat="1">
      <c r="A33" s="3" t="s">
        <v>53</v>
      </c>
      <c r="B33" s="3" t="s">
        <v>19</v>
      </c>
      <c r="C33" s="4">
        <v>5</v>
      </c>
    </row>
    <row r="34" spans="1:3" s="2" customFormat="1">
      <c r="A34" s="3" t="s">
        <v>53</v>
      </c>
      <c r="B34" s="3" t="s">
        <v>35</v>
      </c>
      <c r="C34" s="4">
        <v>2</v>
      </c>
    </row>
    <row r="35" spans="1:3" s="2" customFormat="1">
      <c r="A35" s="3" t="s">
        <v>53</v>
      </c>
      <c r="B35" s="3" t="s">
        <v>33</v>
      </c>
      <c r="C35" s="4">
        <v>8</v>
      </c>
    </row>
    <row r="36" spans="1:3" s="2" customFormat="1">
      <c r="A36" s="3" t="s">
        <v>53</v>
      </c>
      <c r="B36" s="3" t="s">
        <v>18</v>
      </c>
      <c r="C36" s="4">
        <v>3</v>
      </c>
    </row>
    <row r="37" spans="1:3" s="2" customFormat="1">
      <c r="A37" s="3" t="s">
        <v>53</v>
      </c>
      <c r="B37" s="3" t="s">
        <v>17</v>
      </c>
      <c r="C37" s="4">
        <v>1</v>
      </c>
    </row>
    <row r="38" spans="1:3" s="2" customFormat="1">
      <c r="A38" s="3" t="s">
        <v>53</v>
      </c>
      <c r="B38" s="3" t="s">
        <v>21</v>
      </c>
      <c r="C38" s="4">
        <v>4</v>
      </c>
    </row>
    <row r="39" spans="1:3" s="2" customFormat="1">
      <c r="A39" s="3" t="s">
        <v>53</v>
      </c>
      <c r="B39" s="3" t="s">
        <v>24</v>
      </c>
      <c r="C39" s="4">
        <v>10</v>
      </c>
    </row>
    <row r="40" spans="1:3" s="2" customFormat="1">
      <c r="A40" s="3" t="s">
        <v>53</v>
      </c>
      <c r="B40" s="3" t="s">
        <v>23</v>
      </c>
      <c r="C40" s="4">
        <v>1</v>
      </c>
    </row>
    <row r="41" spans="1:3">
      <c r="A41" s="3" t="s">
        <v>49</v>
      </c>
      <c r="B41" s="3" t="s">
        <v>34</v>
      </c>
      <c r="C41" s="4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A9" sqref="A9"/>
    </sheetView>
  </sheetViews>
  <sheetFormatPr defaultRowHeight="12.75"/>
  <cols>
    <col min="1" max="1" width="23.42578125" style="1" customWidth="1"/>
    <col min="2" max="2" width="11.42578125" style="1" customWidth="1"/>
    <col min="3" max="16384" width="9.140625" style="1"/>
  </cols>
  <sheetData>
    <row r="1" spans="1:2">
      <c r="A1" s="4" t="s">
        <v>55</v>
      </c>
      <c r="B1" s="4" t="s">
        <v>56</v>
      </c>
    </row>
    <row r="2" spans="1:2">
      <c r="A2" s="13" t="s">
        <v>57</v>
      </c>
      <c r="B2" s="14" t="s">
        <v>58</v>
      </c>
    </row>
    <row r="3" spans="1:2">
      <c r="A3" s="13" t="s">
        <v>59</v>
      </c>
      <c r="B3" s="14" t="s">
        <v>60</v>
      </c>
    </row>
    <row r="4" spans="1:2">
      <c r="A4" s="13" t="s">
        <v>61</v>
      </c>
      <c r="B4" s="14" t="s">
        <v>62</v>
      </c>
    </row>
    <row r="5" spans="1:2">
      <c r="A5" s="13" t="s">
        <v>63</v>
      </c>
      <c r="B5" s="14" t="s">
        <v>64</v>
      </c>
    </row>
    <row r="6" spans="1:2">
      <c r="A6" s="13" t="s">
        <v>65</v>
      </c>
      <c r="B6" s="14" t="s">
        <v>66</v>
      </c>
    </row>
    <row r="7" spans="1:2">
      <c r="A7" s="13" t="s">
        <v>67</v>
      </c>
      <c r="B7" s="14" t="s">
        <v>68</v>
      </c>
    </row>
    <row r="8" spans="1:2">
      <c r="A8" s="13" t="s">
        <v>69</v>
      </c>
      <c r="B8" s="14" t="s">
        <v>70</v>
      </c>
    </row>
    <row r="9" spans="1:2">
      <c r="A9" s="13" t="s">
        <v>71</v>
      </c>
      <c r="B9" s="14" t="s">
        <v>72</v>
      </c>
    </row>
    <row r="10" spans="1:2">
      <c r="A10" s="13" t="s">
        <v>73</v>
      </c>
      <c r="B10" s="14" t="s">
        <v>74</v>
      </c>
    </row>
    <row r="11" spans="1:2">
      <c r="A11" s="13" t="s">
        <v>75</v>
      </c>
      <c r="B11" s="14" t="s">
        <v>76</v>
      </c>
    </row>
    <row r="12" spans="1:2">
      <c r="A12" s="13" t="s">
        <v>77</v>
      </c>
      <c r="B12" s="14" t="s">
        <v>78</v>
      </c>
    </row>
    <row r="13" spans="1:2">
      <c r="A13" s="13" t="s">
        <v>79</v>
      </c>
      <c r="B13" s="14" t="s">
        <v>80</v>
      </c>
    </row>
    <row r="14" spans="1:2">
      <c r="A14" s="13" t="s">
        <v>81</v>
      </c>
      <c r="B14" s="14" t="s">
        <v>82</v>
      </c>
    </row>
    <row r="15" spans="1:2">
      <c r="A15" s="13" t="s">
        <v>83</v>
      </c>
      <c r="B15" s="14" t="s">
        <v>84</v>
      </c>
    </row>
    <row r="16" spans="1:2">
      <c r="A16" s="13" t="s">
        <v>85</v>
      </c>
      <c r="B16" s="14" t="s">
        <v>86</v>
      </c>
    </row>
    <row r="17" spans="1:2">
      <c r="A17" s="13" t="s">
        <v>87</v>
      </c>
      <c r="B17" s="1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" sqref="G2"/>
    </sheetView>
  </sheetViews>
  <sheetFormatPr defaultRowHeight="12.75"/>
  <cols>
    <col min="1" max="1" width="11.42578125" style="1" customWidth="1"/>
    <col min="2" max="2" width="22.140625" style="1" customWidth="1"/>
    <col min="3" max="5" width="9.140625" style="1"/>
    <col min="6" max="6" width="10.7109375" style="1" customWidth="1"/>
    <col min="7" max="7" width="25.140625" style="1" customWidth="1"/>
    <col min="8" max="16384" width="9.140625" style="1"/>
  </cols>
  <sheetData>
    <row r="1" spans="1:7">
      <c r="A1" s="4" t="s">
        <v>56</v>
      </c>
      <c r="B1" s="15" t="s">
        <v>89</v>
      </c>
      <c r="F1" s="2" t="s">
        <v>90</v>
      </c>
      <c r="G1" s="13" t="s">
        <v>71</v>
      </c>
    </row>
    <row r="2" spans="1:7">
      <c r="A2" s="14" t="s">
        <v>58</v>
      </c>
      <c r="B2" s="5">
        <v>24265</v>
      </c>
      <c r="F2" s="2" t="s">
        <v>89</v>
      </c>
      <c r="G2" s="17">
        <f>SUM(B9)</f>
        <v>31250</v>
      </c>
    </row>
    <row r="3" spans="1:7">
      <c r="A3" s="14" t="s">
        <v>58</v>
      </c>
      <c r="B3" s="5">
        <v>35478</v>
      </c>
    </row>
    <row r="4" spans="1:7">
      <c r="A4" s="14" t="s">
        <v>62</v>
      </c>
      <c r="B4" s="5">
        <v>12684</v>
      </c>
    </row>
    <row r="5" spans="1:7">
      <c r="A5" s="14" t="s">
        <v>62</v>
      </c>
      <c r="B5" s="5">
        <v>16874</v>
      </c>
      <c r="G5" s="16"/>
    </row>
    <row r="6" spans="1:7">
      <c r="A6" s="14" t="s">
        <v>66</v>
      </c>
      <c r="B6" s="5">
        <v>6845</v>
      </c>
      <c r="G6" s="16"/>
    </row>
    <row r="7" spans="1:7">
      <c r="A7" s="14" t="s">
        <v>68</v>
      </c>
      <c r="B7" s="5">
        <v>65280</v>
      </c>
    </row>
    <row r="8" spans="1:7">
      <c r="A8" s="14" t="s">
        <v>70</v>
      </c>
      <c r="B8" s="5">
        <v>29760</v>
      </c>
    </row>
    <row r="9" spans="1:7">
      <c r="A9" s="14" t="s">
        <v>72</v>
      </c>
      <c r="B9" s="5">
        <v>31250</v>
      </c>
    </row>
    <row r="10" spans="1:7">
      <c r="A10" s="14" t="s">
        <v>72</v>
      </c>
      <c r="B10" s="5">
        <v>26310</v>
      </c>
    </row>
    <row r="11" spans="1:7">
      <c r="A11" s="14" t="s">
        <v>76</v>
      </c>
      <c r="B11" s="5">
        <v>18450</v>
      </c>
    </row>
    <row r="12" spans="1:7">
      <c r="A12" s="14" t="s">
        <v>78</v>
      </c>
      <c r="B12" s="5">
        <v>16348</v>
      </c>
    </row>
    <row r="13" spans="1:7">
      <c r="A13" s="14" t="s">
        <v>80</v>
      </c>
      <c r="B13" s="5">
        <v>16890</v>
      </c>
    </row>
    <row r="14" spans="1:7">
      <c r="A14" s="14" t="s">
        <v>72</v>
      </c>
      <c r="B14" s="5">
        <v>14675</v>
      </c>
    </row>
    <row r="15" spans="1:7">
      <c r="A15" s="14" t="s">
        <v>62</v>
      </c>
      <c r="B15" s="5">
        <v>48570</v>
      </c>
    </row>
    <row r="16" spans="1:7">
      <c r="A16" s="14" t="s">
        <v>58</v>
      </c>
      <c r="B16" s="5">
        <v>23690</v>
      </c>
    </row>
    <row r="17" spans="1:2">
      <c r="A17" s="14" t="s">
        <v>88</v>
      </c>
      <c r="B17" s="5">
        <v>34200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Продажи по месяцам</vt:lpstr>
      <vt:lpstr>Продажи итоги</vt:lpstr>
      <vt:lpstr>Прайс</vt:lpstr>
      <vt:lpstr>Заказы</vt:lpstr>
      <vt:lpstr>Продавцы</vt:lpstr>
      <vt:lpstr>Продажи по продавцам</vt:lpstr>
      <vt:lpstr>Лист2</vt:lpstr>
      <vt:lpstr>Лист3</vt:lpstr>
      <vt:lpstr>ИтогоЗаГод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S.AleksandrovRA</dc:creator>
  <cp:lastModifiedBy>S.AleksandrovRA</cp:lastModifiedBy>
  <dcterms:created xsi:type="dcterms:W3CDTF">2018-04-19T00:16:59Z</dcterms:created>
  <dcterms:modified xsi:type="dcterms:W3CDTF">2019-04-18T03:53:23Z</dcterms:modified>
</cp:coreProperties>
</file>