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22BBA75-1583-463A-BCB4-F46015313154}" xr6:coauthVersionLast="47" xr6:coauthVersionMax="47" xr10:uidLastSave="{00000000-0000-0000-0000-000000000000}"/>
  <bookViews>
    <workbookView xWindow="-120" yWindow="-120" windowWidth="20730" windowHeight="11160" activeTab="1" xr2:uid="{202560AD-B648-4F1E-97EB-EF94EEE1EAFC}"/>
  </bookViews>
  <sheets>
    <sheet name="PATH" sheetId="1" r:id="rId1"/>
    <sheet name="Analyses AI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2" l="1"/>
  <c r="W8" i="2" s="1"/>
  <c r="S9" i="2" l="1"/>
  <c r="P4" i="2"/>
  <c r="P5" i="2" l="1"/>
  <c r="R5" i="2" s="1"/>
  <c r="W5" i="2" s="1"/>
  <c r="P6" i="2"/>
  <c r="P7" i="2"/>
  <c r="Q7" i="2" s="1"/>
  <c r="R7" i="2" s="1"/>
  <c r="W7" i="2" s="1"/>
  <c r="N9" i="2"/>
  <c r="M9" i="2"/>
  <c r="L9" i="2"/>
  <c r="K9" i="2"/>
  <c r="J9" i="2"/>
  <c r="J8" i="1"/>
  <c r="K8" i="1"/>
  <c r="L8" i="1"/>
  <c r="M8" i="1"/>
  <c r="N8" i="1"/>
  <c r="Q6" i="2" l="1"/>
  <c r="R6" i="2" s="1"/>
  <c r="W6" i="2" s="1"/>
  <c r="P9" i="2"/>
  <c r="R4" i="2"/>
  <c r="R9" i="2" l="1"/>
  <c r="W4" i="2"/>
  <c r="W9" i="2" s="1"/>
  <c r="Q9" i="2"/>
</calcChain>
</file>

<file path=xl/sharedStrings.xml><?xml version="1.0" encoding="utf-8"?>
<sst xmlns="http://schemas.openxmlformats.org/spreadsheetml/2006/main" count="114" uniqueCount="49">
  <si>
    <t>Type Mouvement</t>
  </si>
  <si>
    <t>Branche</t>
  </si>
  <si>
    <t>Catégorie</t>
  </si>
  <si>
    <t>Libllé Type Int</t>
  </si>
  <si>
    <t>Intetérmidiare</t>
  </si>
  <si>
    <t>N° Police</t>
  </si>
  <si>
    <t>Assuré</t>
  </si>
  <si>
    <t>Effet</t>
  </si>
  <si>
    <t>Echéance</t>
  </si>
  <si>
    <t>Prime Nette</t>
  </si>
  <si>
    <t>Acc/ CP</t>
  </si>
  <si>
    <t>TVA</t>
  </si>
  <si>
    <t>Frais ARCA</t>
  </si>
  <si>
    <t>Prime Totale</t>
  </si>
  <si>
    <t>EMISSIONS</t>
  </si>
  <si>
    <t>Assurance Santé</t>
  </si>
  <si>
    <t>Santé Internationale</t>
  </si>
  <si>
    <t>Bureau Direct</t>
  </si>
  <si>
    <t>BD Kinshasa</t>
  </si>
  <si>
    <t>PATH RDC</t>
  </si>
  <si>
    <t>01/09/2022</t>
  </si>
  <si>
    <t>30/11/2022</t>
  </si>
  <si>
    <t>Courtier</t>
  </si>
  <si>
    <t>ALLIED INSURANCE BROKERS SARL</t>
  </si>
  <si>
    <t>PATH DRC</t>
  </si>
  <si>
    <t>01/12/2022</t>
  </si>
  <si>
    <t>28/02/2023</t>
  </si>
  <si>
    <t>01/03/2023</t>
  </si>
  <si>
    <t>31/05/2023</t>
  </si>
  <si>
    <t>01/06/2023</t>
  </si>
  <si>
    <t>31/08/2023</t>
  </si>
  <si>
    <t>Taux Com</t>
  </si>
  <si>
    <t>Total</t>
  </si>
  <si>
    <t>Com ht</t>
  </si>
  <si>
    <t>Tva / Com</t>
  </si>
  <si>
    <t>Com TTC</t>
  </si>
  <si>
    <t>SOA PATH - Analyses</t>
  </si>
  <si>
    <t>Mont reçu</t>
  </si>
  <si>
    <t>Date</t>
  </si>
  <si>
    <t>Solde dû</t>
  </si>
  <si>
    <t>Réf. ND @AIB RDC</t>
  </si>
  <si>
    <t>ND0088/AIB RDC/2023</t>
  </si>
  <si>
    <t>Description - ND AIB</t>
  </si>
  <si>
    <t>Commission AIB - Juillet 2023</t>
  </si>
  <si>
    <t>ND0016-B/AIB RDC/2023</t>
  </si>
  <si>
    <t>Commission AIB - Février 2023 (B)</t>
  </si>
  <si>
    <t>ND0021/AIB RDC/2023</t>
  </si>
  <si>
    <t>Frais de gestion</t>
  </si>
  <si>
    <t>Frais de gestion / Optimum Global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</si>
</sst>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ahoma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0" xfId="0" applyFont="1" applyFill="1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43" fontId="2" fillId="0" borderId="0" xfId="0" applyNumberFormat="1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9" fontId="0" fillId="0" borderId="0" xfId="0" applyNumberFormat="1"/>
    <xf numFmtId="164" fontId="3" fillId="2" borderId="0" xfId="0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left"/>
    </xf>
    <xf numFmtId="14" fontId="0" fillId="0" borderId="0" xfId="0" applyNumberFormat="1"/>
    <xf numFmtId="14" fontId="3" fillId="2" borderId="0" xfId="0" applyNumberFormat="1" applyFont="1" applyFill="1" applyAlignment="1">
      <alignment horizontal="center" vertical="center"/>
    </xf>
    <xf numFmtId="164" fontId="0" fillId="3" borderId="0" xfId="0" applyNumberFormat="1" applyFill="1"/>
    <xf numFmtId="164" fontId="4" fillId="3" borderId="0" xfId="0" applyNumberFormat="1" applyFont="1" applyFill="1"/>
  </cellXfs>
  <cellStyles count="2">
    <cellStyle name="Milliers" xfId="1" builtinId="3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4" formatCode="_-[$$-409]* #,##0.00_ ;_-[$$-409]* \-#,##0.00\ ;_-[$$-409]* &quot;-&quot;??_ ;_-@_ "/>
      <fill>
        <patternFill patternType="solid">
          <fgColor indexed="64"/>
          <bgColor rgb="FFFFFF00"/>
        </patternFill>
      </fill>
    </dxf>
    <dxf>
      <numFmt numFmtId="19" formatCode="dd/mm/yyyy"/>
    </dxf>
    <dxf>
      <numFmt numFmtId="164" formatCode="_-[$$-409]* #,##0.00_ ;_-[$$-409]* \-#,##0.00\ ;_-[$$-409]* &quot;-&quot;??_ ;_-@_ "/>
      <fill>
        <patternFill patternType="solid">
          <fgColor indexed="64"/>
          <bgColor rgb="FFFFFF00"/>
        </patternFill>
      </fill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alignment horizontal="center" vertical="center" textRotation="0" wrapText="0" indent="0" justifyLastLine="0" shrinkToFit="0" readingOrder="0"/>
    </dxf>
    <dxf>
      <numFmt numFmtId="164" formatCode="_-[$$-409]* #,##0.00_ ;_-[$$-409]* \-#,##0.00\ ;_-[$$-409]* &quot;-&quot;??_ ;_-@_ "/>
      <alignment horizontal="center" vertical="center" textRotation="0" wrapText="0" indent="0" justifyLastLine="0" shrinkToFit="0" readingOrder="0"/>
    </dxf>
    <dxf>
      <numFmt numFmtId="164" formatCode="_-[$$-409]* #,##0.00_ ;_-[$$-409]* \-#,##0.00\ ;_-[$$-409]* &quot;-&quot;??_ ;_-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4" formatCode="_-[$$-409]* #,##0.00_ ;_-[$$-409]* \-#,##0.00\ ;_-[$$-409]* &quot;-&quot;??_ ;_-@_ "/>
      <fill>
        <patternFill patternType="solid">
          <fgColor indexed="64"/>
          <bgColor rgb="FFFFFF00"/>
        </patternFill>
      </fill>
    </dxf>
    <dxf>
      <numFmt numFmtId="19" formatCode="dd/mm/yyyy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  <fill>
        <patternFill patternType="solid">
          <fgColor indexed="64"/>
          <bgColor rgb="FFFFFF00"/>
        </patternFill>
      </fill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alignment horizontal="center" vertical="center" textRotation="0" wrapText="0" indent="0" justifyLastLine="0" shrinkToFit="0" readingOrder="0"/>
    </dxf>
    <dxf>
      <numFmt numFmtId="164" formatCode="_-[$$-409]* #,##0.00_ ;_-[$$-409]* \-#,##0.00\ ;_-[$$-409]* &quot;-&quot;??_ ;_-@_ "/>
      <alignment horizontal="center" vertical="center" textRotation="0" wrapText="0" indent="0" justifyLastLine="0" shrinkToFit="0" readingOrder="0"/>
    </dxf>
    <dxf>
      <numFmt numFmtId="164" formatCode="_-[$$-409]* #,##0.00_ ;_-[$$-409]* \-#,##0.00\ ;_-[$$-409]* &quot;-&quot;??_ ;_-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ahoma"/>
        <family val="2"/>
        <scheme val="none"/>
      </font>
      <fill>
        <patternFill patternType="solid">
          <fgColor rgb="FF000080"/>
          <bgColor rgb="FF00008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7CDA02-FE72-4466-8EA7-A165CF8A65AD}" name="Tableau1" displayName="Tableau1" ref="A3:W9" totalsRowCount="1" headerRowDxfId="26">
  <autoFilter ref="A3:W8" xr:uid="{077CDA02-FE72-4466-8EA7-A165CF8A65AD}"/>
  <tableColumns count="23">
    <tableColumn id="1" xr3:uid="{DEE867DE-DAF4-450A-A110-BE28CB9F0B41}" name="Type Mouvement" totalsRowLabel="Total"/>
    <tableColumn id="2" xr3:uid="{2C622433-F08A-444E-9C42-FEC64DF1A687}" name="Branche"/>
    <tableColumn id="3" xr3:uid="{68F698F6-9E2D-406D-B4CE-65DE7998C990}" name="Catégorie"/>
    <tableColumn id="4" xr3:uid="{AC744862-4E16-4280-9052-84A043B65BEF}" name="Libllé Type Int"/>
    <tableColumn id="5" xr3:uid="{8066CA57-A4E2-47CA-9EFD-C55E0757E7D1}" name="Intetérmidiare"/>
    <tableColumn id="6" xr3:uid="{29B2F448-449E-43EE-B6E9-46EC703D5C4C}" name="N° Police"/>
    <tableColumn id="7" xr3:uid="{CB41AC04-812B-4410-9A21-70EF276E5564}" name="Assuré"/>
    <tableColumn id="8" xr3:uid="{5EF5767E-1D34-4DBF-8EAF-DD3563134513}" name="Effet"/>
    <tableColumn id="9" xr3:uid="{1D549B3D-A9E9-46FC-B41C-8DB66B8860EF}" name="Echéance"/>
    <tableColumn id="10" xr3:uid="{C32B24E5-1383-43C4-82F8-F9597187A6AA}" name="Prime Nette" totalsRowFunction="sum" dataDxfId="25" totalsRowDxfId="11" dataCellStyle="Milliers"/>
    <tableColumn id="11" xr3:uid="{9E44F7E0-ACE1-473F-9F93-3BA4701B560B}" name="Acc/ CP" totalsRowFunction="sum" dataDxfId="24" totalsRowDxfId="10"/>
    <tableColumn id="12" xr3:uid="{80D20134-2FEF-47D4-B9A2-EE7B55ED7594}" name="TVA" totalsRowFunction="sum" dataDxfId="23" totalsRowDxfId="9"/>
    <tableColumn id="13" xr3:uid="{327503D3-E9B6-4EDE-9CE6-9377D1BA4CA6}" name="Frais ARCA" totalsRowFunction="sum" dataDxfId="22" totalsRowDxfId="8" dataCellStyle="Milliers"/>
    <tableColumn id="14" xr3:uid="{C2967F41-A7AE-4BA4-B347-FA7405106247}" name="Prime Totale" totalsRowFunction="sum" dataDxfId="21" totalsRowDxfId="7" dataCellStyle="Milliers"/>
    <tableColumn id="15" xr3:uid="{C36F6A67-9F80-4C6A-AA99-0B7B129B5D2E}" name="Taux Com" dataDxfId="20" totalsRowDxfId="6"/>
    <tableColumn id="16" xr3:uid="{ADEDDA1E-D7A6-416C-A56E-17BCC6FC81A4}" name="Com ht" totalsRowFunction="sum" dataDxfId="19" totalsRowDxfId="5">
      <calculatedColumnFormula>Tableau1[[#This Row],[Taux Com]]*Tableau1[[#This Row],[Prime Nette]]</calculatedColumnFormula>
    </tableColumn>
    <tableColumn id="17" xr3:uid="{FC084D39-561E-49A6-A32A-F4E7C3EFB17D}" name="Tva / Com" totalsRowFunction="sum" dataDxfId="18" totalsRowDxfId="4">
      <calculatedColumnFormula>16%*Tableau1[[#This Row],[Com ht]]</calculatedColumnFormula>
    </tableColumn>
    <tableColumn id="18" xr3:uid="{1853FE7D-6922-4ABD-8C1F-3FF7154D80F6}" name="Com TTC" totalsRowFunction="sum" dataDxfId="17" totalsRowDxfId="3">
      <calculatedColumnFormula>Tableau1[[#This Row],[Tva / Com]]+Tableau1[[#This Row],[Com ht]]</calculatedColumnFormula>
    </tableColumn>
    <tableColumn id="19" xr3:uid="{5A09B991-94DE-4638-809F-3715F0505BCC}" name="Mont reçu" totalsRowFunction="sum" dataDxfId="16" totalsRowDxfId="2"/>
    <tableColumn id="22" xr3:uid="{5AF64FD0-A477-4203-B868-FEAD0947D1DF}" name="Réf. ND @AIB RDC" dataDxfId="15"/>
    <tableColumn id="23" xr3:uid="{32598D84-E12B-4723-9BB0-BDF4BDD17F11}" name="Description - ND AIB" dataDxfId="14"/>
    <tableColumn id="20" xr3:uid="{D32EA87A-10ED-4EB0-8A02-5425A569253F}" name="Date" dataDxfId="13" totalsRowDxfId="1"/>
    <tableColumn id="21" xr3:uid="{719FBAEB-4F0A-4BEB-B0E8-4A66F3ABFCB9}" name="Solde dû" totalsRowFunction="sum" dataDxfId="12" totalsRowDxfId="0">
      <calculatedColumnFormula>Tableau1[[#This Row],[Com TTC]]-Tableau1[[#This Row],[Mont reçu]]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DEC6-568C-475A-ADD5-B993CF73C52B}">
  <dimension ref="A3:N8"/>
  <sheetViews>
    <sheetView topLeftCell="F1" workbookViewId="0">
      <selection activeCell="N12" sqref="N12"/>
    </sheetView>
  </sheetViews>
  <sheetFormatPr baseColWidth="10" defaultRowHeight="15" x14ac:dyDescent="0.25"/>
  <cols>
    <col min="1" max="6" width="20" customWidth="1"/>
    <col min="7" max="7" width="9.7109375" bestFit="1" customWidth="1"/>
    <col min="8" max="8" width="10.7109375" bestFit="1" customWidth="1"/>
    <col min="9" max="9" width="11.28515625" bestFit="1" customWidth="1"/>
    <col min="10" max="10" width="14.140625" bestFit="1" customWidth="1"/>
    <col min="11" max="11" width="9.7109375" bestFit="1" customWidth="1"/>
    <col min="12" max="12" width="5.42578125" bestFit="1" customWidth="1"/>
    <col min="13" max="13" width="20" customWidth="1"/>
    <col min="14" max="14" width="14.85546875" bestFit="1" customWidth="1"/>
  </cols>
  <sheetData>
    <row r="3" spans="1:1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10200013</v>
      </c>
      <c r="G4" t="s">
        <v>19</v>
      </c>
      <c r="H4" t="s">
        <v>20</v>
      </c>
      <c r="I4" t="s">
        <v>21</v>
      </c>
      <c r="J4" s="2">
        <v>183827.67</v>
      </c>
      <c r="K4" s="3">
        <v>0</v>
      </c>
      <c r="L4" s="3">
        <v>0</v>
      </c>
      <c r="M4" s="2">
        <v>3676.55</v>
      </c>
      <c r="N4" s="2">
        <v>187504.22</v>
      </c>
    </row>
    <row r="5" spans="1:14" x14ac:dyDescent="0.25">
      <c r="A5" t="s">
        <v>14</v>
      </c>
      <c r="B5" t="s">
        <v>15</v>
      </c>
      <c r="C5" t="s">
        <v>16</v>
      </c>
      <c r="D5" t="s">
        <v>22</v>
      </c>
      <c r="E5" t="s">
        <v>23</v>
      </c>
      <c r="F5">
        <v>10200002</v>
      </c>
      <c r="G5" t="s">
        <v>24</v>
      </c>
      <c r="H5" t="s">
        <v>25</v>
      </c>
      <c r="I5" t="s">
        <v>26</v>
      </c>
      <c r="J5" s="2">
        <v>176409.55</v>
      </c>
      <c r="K5" s="3">
        <v>0</v>
      </c>
      <c r="L5" s="3">
        <v>0</v>
      </c>
      <c r="M5" s="2">
        <v>3528.19</v>
      </c>
      <c r="N5" s="2">
        <v>179937.74</v>
      </c>
    </row>
    <row r="6" spans="1:14" x14ac:dyDescent="0.25">
      <c r="A6" t="s">
        <v>14</v>
      </c>
      <c r="B6" t="s">
        <v>15</v>
      </c>
      <c r="C6" t="s">
        <v>16</v>
      </c>
      <c r="D6" t="s">
        <v>22</v>
      </c>
      <c r="E6" t="s">
        <v>23</v>
      </c>
      <c r="F6">
        <v>10200002</v>
      </c>
      <c r="G6" t="s">
        <v>24</v>
      </c>
      <c r="H6" t="s">
        <v>27</v>
      </c>
      <c r="I6" t="s">
        <v>28</v>
      </c>
      <c r="J6" s="2">
        <v>123982.84</v>
      </c>
      <c r="K6" s="3">
        <v>0</v>
      </c>
      <c r="L6" s="3">
        <v>0</v>
      </c>
      <c r="M6" s="2">
        <v>2479.66</v>
      </c>
      <c r="N6" s="2">
        <v>126462.5</v>
      </c>
    </row>
    <row r="7" spans="1:14" x14ac:dyDescent="0.25">
      <c r="A7" t="s">
        <v>14</v>
      </c>
      <c r="B7" t="s">
        <v>15</v>
      </c>
      <c r="C7" t="s">
        <v>16</v>
      </c>
      <c r="D7" t="s">
        <v>22</v>
      </c>
      <c r="E7" t="s">
        <v>23</v>
      </c>
      <c r="F7">
        <v>10200002</v>
      </c>
      <c r="G7" t="s">
        <v>24</v>
      </c>
      <c r="H7" t="s">
        <v>29</v>
      </c>
      <c r="I7" t="s">
        <v>30</v>
      </c>
      <c r="J7" s="2">
        <v>84699.89</v>
      </c>
      <c r="K7" s="3">
        <v>0</v>
      </c>
      <c r="L7" s="3">
        <v>0</v>
      </c>
      <c r="M7" s="2">
        <v>1694</v>
      </c>
      <c r="N7" s="2">
        <v>86393.89</v>
      </c>
    </row>
    <row r="8" spans="1:14" x14ac:dyDescent="0.25">
      <c r="J8" s="4">
        <f t="shared" ref="J8:M8" si="0">SUM(J4:J7)</f>
        <v>568919.94999999995</v>
      </c>
      <c r="K8" s="4">
        <f t="shared" si="0"/>
        <v>0</v>
      </c>
      <c r="L8" s="4">
        <f t="shared" si="0"/>
        <v>0</v>
      </c>
      <c r="M8" s="5">
        <f t="shared" si="0"/>
        <v>11378.4</v>
      </c>
      <c r="N8" s="5">
        <f>SUM(N4:N7)</f>
        <v>580298.35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C28A-C268-461A-A5DB-5BA8213D4059}">
  <sheetPr>
    <pageSetUpPr fitToPage="1"/>
  </sheetPr>
  <dimension ref="A1:W9"/>
  <sheetViews>
    <sheetView tabSelected="1" zoomScale="90" zoomScaleNormal="90" workbookViewId="0">
      <selection activeCell="C11" sqref="C11"/>
    </sheetView>
  </sheetViews>
  <sheetFormatPr baseColWidth="10" defaultRowHeight="15" x14ac:dyDescent="0.25"/>
  <cols>
    <col min="1" max="1" width="24" bestFit="1" customWidth="1"/>
    <col min="2" max="2" width="15.42578125" bestFit="1" customWidth="1"/>
    <col min="3" max="3" width="34.85546875" bestFit="1" customWidth="1"/>
    <col min="4" max="4" width="21.42578125" bestFit="1" customWidth="1"/>
    <col min="5" max="5" width="31.140625" bestFit="1" customWidth="1"/>
    <col min="6" max="6" width="15.85546875" bestFit="1" customWidth="1"/>
    <col min="7" max="7" width="13.42578125" bestFit="1" customWidth="1"/>
    <col min="8" max="8" width="11.5703125" bestFit="1" customWidth="1"/>
    <col min="9" max="9" width="15.85546875" bestFit="1" customWidth="1"/>
    <col min="10" max="10" width="20.140625" style="11" bestFit="1" customWidth="1"/>
    <col min="11" max="11" width="16" style="11" bestFit="1" customWidth="1"/>
    <col min="12" max="12" width="11.85546875" style="11" bestFit="1" customWidth="1"/>
    <col min="13" max="13" width="19.140625" style="11" bestFit="1" customWidth="1"/>
    <col min="14" max="14" width="21" style="11" bestFit="1" customWidth="1"/>
    <col min="15" max="15" width="16.140625" bestFit="1" customWidth="1"/>
    <col min="16" max="16" width="14.85546875" style="11" bestFit="1" customWidth="1"/>
    <col min="17" max="17" width="16.7109375" bestFit="1" customWidth="1"/>
    <col min="18" max="18" width="15" bestFit="1" customWidth="1"/>
    <col min="19" max="19" width="16.7109375" bestFit="1" customWidth="1"/>
    <col min="20" max="20" width="24.42578125" customWidth="1"/>
    <col min="21" max="21" width="32.5703125" customWidth="1"/>
    <col min="22" max="22" width="11.5703125" style="13" bestFit="1" customWidth="1"/>
    <col min="23" max="23" width="15" bestFit="1" customWidth="1"/>
  </cols>
  <sheetData>
    <row r="1" spans="1:23" x14ac:dyDescent="0.25">
      <c r="A1" s="12" t="s">
        <v>36</v>
      </c>
      <c r="B1" s="12"/>
      <c r="C1" s="12"/>
    </row>
    <row r="3" spans="1:2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1" t="s">
        <v>31</v>
      </c>
      <c r="P3" s="7" t="s">
        <v>33</v>
      </c>
      <c r="Q3" s="1" t="s">
        <v>34</v>
      </c>
      <c r="R3" s="1" t="s">
        <v>35</v>
      </c>
      <c r="S3" s="1" t="s">
        <v>37</v>
      </c>
      <c r="T3" s="1" t="s">
        <v>40</v>
      </c>
      <c r="U3" s="1" t="s">
        <v>42</v>
      </c>
      <c r="V3" s="14" t="s">
        <v>38</v>
      </c>
      <c r="W3" s="1" t="s">
        <v>39</v>
      </c>
    </row>
    <row r="4" spans="1:23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10200013</v>
      </c>
      <c r="G4" t="s">
        <v>19</v>
      </c>
      <c r="H4" t="s">
        <v>20</v>
      </c>
      <c r="I4" t="s">
        <v>21</v>
      </c>
      <c r="J4" s="8">
        <v>182678.64</v>
      </c>
      <c r="K4" s="9">
        <v>0</v>
      </c>
      <c r="L4" s="9">
        <v>0</v>
      </c>
      <c r="M4" s="8">
        <v>3676.55</v>
      </c>
      <c r="N4" s="8">
        <v>186332.21</v>
      </c>
      <c r="O4" s="6">
        <v>0.1</v>
      </c>
      <c r="P4" s="11">
        <f>Tableau1[[#This Row],[Taux Com]]*Tableau1[[#This Row],[Prime Nette]]</f>
        <v>18267.864000000001</v>
      </c>
      <c r="Q4" s="11">
        <v>0</v>
      </c>
      <c r="R4" s="11">
        <f>Tableau1[[#This Row],[Tva / Com]]+Tableau1[[#This Row],[Com ht]]</f>
        <v>18267.864000000001</v>
      </c>
      <c r="S4" s="15">
        <v>18255.86</v>
      </c>
      <c r="T4" s="11" t="s">
        <v>46</v>
      </c>
      <c r="U4" s="11" t="s">
        <v>47</v>
      </c>
      <c r="V4" s="13">
        <v>45014</v>
      </c>
      <c r="W4" s="16">
        <f>Tableau1[[#This Row],[Com TTC]]-Tableau1[[#This Row],[Mont reçu]]</f>
        <v>12.004000000000815</v>
      </c>
    </row>
    <row r="5" spans="1:23" x14ac:dyDescent="0.25">
      <c r="A5" t="s">
        <v>14</v>
      </c>
      <c r="B5" t="s">
        <v>15</v>
      </c>
      <c r="C5" t="s">
        <v>16</v>
      </c>
      <c r="D5" t="s">
        <v>22</v>
      </c>
      <c r="E5" t="s">
        <v>23</v>
      </c>
      <c r="F5">
        <v>10200002</v>
      </c>
      <c r="G5" t="s">
        <v>24</v>
      </c>
      <c r="H5" t="s">
        <v>25</v>
      </c>
      <c r="I5" t="s">
        <v>26</v>
      </c>
      <c r="J5" s="8">
        <v>176409.55</v>
      </c>
      <c r="K5" s="9">
        <v>0</v>
      </c>
      <c r="L5" s="9">
        <v>0</v>
      </c>
      <c r="M5" s="8">
        <v>3528.19</v>
      </c>
      <c r="N5" s="8">
        <v>179937.74</v>
      </c>
      <c r="O5" s="6">
        <v>0.1</v>
      </c>
      <c r="P5" s="11">
        <f>Tableau1[[#This Row],[Taux Com]]*Tableau1[[#This Row],[Prime Nette]]</f>
        <v>17640.954999999998</v>
      </c>
      <c r="Q5" s="11">
        <v>0</v>
      </c>
      <c r="R5" s="11">
        <f>Tableau1[[#This Row],[Tva / Com]]+Tableau1[[#This Row],[Com ht]]</f>
        <v>17640.954999999998</v>
      </c>
      <c r="S5" s="15">
        <v>17640.954999999998</v>
      </c>
      <c r="T5" s="11" t="s">
        <v>44</v>
      </c>
      <c r="U5" s="11" t="s">
        <v>45</v>
      </c>
      <c r="V5" s="13">
        <v>45014</v>
      </c>
      <c r="W5" s="16">
        <f>Tableau1[[#This Row],[Com TTC]]-Tableau1[[#This Row],[Mont reçu]]</f>
        <v>0</v>
      </c>
    </row>
    <row r="6" spans="1:23" x14ac:dyDescent="0.25">
      <c r="A6" t="s">
        <v>14</v>
      </c>
      <c r="B6" t="s">
        <v>15</v>
      </c>
      <c r="C6" t="s">
        <v>16</v>
      </c>
      <c r="D6" t="s">
        <v>22</v>
      </c>
      <c r="E6" t="s">
        <v>23</v>
      </c>
      <c r="F6">
        <v>10200002</v>
      </c>
      <c r="G6" t="s">
        <v>24</v>
      </c>
      <c r="H6" t="s">
        <v>27</v>
      </c>
      <c r="I6" t="s">
        <v>28</v>
      </c>
      <c r="J6" s="8">
        <v>123982.84</v>
      </c>
      <c r="K6" s="9">
        <v>0</v>
      </c>
      <c r="L6" s="9">
        <v>0</v>
      </c>
      <c r="M6" s="8">
        <v>2479.66</v>
      </c>
      <c r="N6" s="8">
        <v>126462.5</v>
      </c>
      <c r="O6" s="6">
        <v>0.1</v>
      </c>
      <c r="P6" s="11">
        <f>Tableau1[[#This Row],[Taux Com]]*Tableau1[[#This Row],[Prime Nette]]</f>
        <v>12398.284</v>
      </c>
      <c r="Q6" s="11">
        <f>0%*Tableau1[[#This Row],[Com ht]]</f>
        <v>0</v>
      </c>
      <c r="R6" s="11">
        <f>Tableau1[[#This Row],[Tva / Com]]+Tableau1[[#This Row],[Com ht]]</f>
        <v>12398.284</v>
      </c>
      <c r="S6" s="15"/>
      <c r="T6" s="11"/>
      <c r="U6" s="11"/>
      <c r="W6" s="16">
        <f>Tableau1[[#This Row],[Com TTC]]-Tableau1[[#This Row],[Mont reçu]]</f>
        <v>12398.284</v>
      </c>
    </row>
    <row r="7" spans="1:23" x14ac:dyDescent="0.25">
      <c r="A7" t="s">
        <v>14</v>
      </c>
      <c r="B7" t="s">
        <v>15</v>
      </c>
      <c r="C7" t="s">
        <v>16</v>
      </c>
      <c r="D7" t="s">
        <v>22</v>
      </c>
      <c r="E7" t="s">
        <v>23</v>
      </c>
      <c r="F7">
        <v>10200002</v>
      </c>
      <c r="G7" t="s">
        <v>24</v>
      </c>
      <c r="H7" t="s">
        <v>29</v>
      </c>
      <c r="I7" t="s">
        <v>30</v>
      </c>
      <c r="J7" s="8">
        <v>84699.89</v>
      </c>
      <c r="K7" s="9">
        <v>0</v>
      </c>
      <c r="L7" s="9">
        <v>0</v>
      </c>
      <c r="M7" s="8">
        <v>1694</v>
      </c>
      <c r="N7" s="8">
        <v>86393.89</v>
      </c>
      <c r="O7" s="6">
        <v>0.1</v>
      </c>
      <c r="P7" s="11">
        <f>Tableau1[[#This Row],[Taux Com]]*Tableau1[[#This Row],[Prime Nette]]</f>
        <v>8469.9889999999996</v>
      </c>
      <c r="Q7" s="11">
        <f>16%*Tableau1[[#This Row],[Com ht]]</f>
        <v>1355.1982399999999</v>
      </c>
      <c r="R7" s="11">
        <f>Tableau1[[#This Row],[Tva / Com]]+Tableau1[[#This Row],[Com ht]]</f>
        <v>9825.1872399999993</v>
      </c>
      <c r="S7" s="15">
        <v>9825.1872399999993</v>
      </c>
      <c r="T7" s="11" t="s">
        <v>41</v>
      </c>
      <c r="U7" s="11" t="s">
        <v>43</v>
      </c>
      <c r="V7" s="13">
        <v>45175</v>
      </c>
      <c r="W7" s="16">
        <f>Tableau1[[#This Row],[Com TTC]]-Tableau1[[#This Row],[Mont reçu]]</f>
        <v>0</v>
      </c>
    </row>
    <row r="8" spans="1:23" x14ac:dyDescent="0.25">
      <c r="C8" t="s">
        <v>48</v>
      </c>
      <c r="E8" t="s">
        <v>23</v>
      </c>
      <c r="F8">
        <v>10200002</v>
      </c>
      <c r="G8" t="s">
        <v>24</v>
      </c>
      <c r="H8" t="s">
        <v>20</v>
      </c>
      <c r="I8" t="s">
        <v>30</v>
      </c>
      <c r="J8" s="8">
        <v>0</v>
      </c>
      <c r="K8" s="9">
        <v>0</v>
      </c>
      <c r="L8" s="9">
        <v>0</v>
      </c>
      <c r="M8" s="8">
        <v>0</v>
      </c>
      <c r="N8" s="8">
        <v>0</v>
      </c>
      <c r="O8" s="6">
        <v>0</v>
      </c>
      <c r="P8" s="11">
        <v>18255.86</v>
      </c>
      <c r="Q8" s="11">
        <v>0</v>
      </c>
      <c r="R8" s="11">
        <f>Tableau1[[#This Row],[Tva / Com]]+Tableau1[[#This Row],[Com ht]]</f>
        <v>18255.86</v>
      </c>
      <c r="S8" s="15"/>
      <c r="T8" s="11"/>
      <c r="U8" s="11"/>
      <c r="W8" s="16">
        <f>Tableau1[[#This Row],[Com TTC]]-Tableau1[[#This Row],[Mont reçu]]</f>
        <v>18255.86</v>
      </c>
    </row>
    <row r="9" spans="1:23" x14ac:dyDescent="0.25">
      <c r="A9" t="s">
        <v>32</v>
      </c>
      <c r="J9" s="10">
        <f>SUBTOTAL(109,Tableau1[Prime Nette])</f>
        <v>567770.92000000004</v>
      </c>
      <c r="K9" s="9">
        <f>SUBTOTAL(109,Tableau1[Acc/ CP])</f>
        <v>0</v>
      </c>
      <c r="L9" s="9">
        <f>SUBTOTAL(109,Tableau1[TVA])</f>
        <v>0</v>
      </c>
      <c r="M9" s="10">
        <f>SUBTOTAL(109,Tableau1[Frais ARCA])</f>
        <v>11378.4</v>
      </c>
      <c r="N9" s="10">
        <f>SUBTOTAL(109,Tableau1[Prime Totale])</f>
        <v>579126.34</v>
      </c>
      <c r="O9" s="6"/>
      <c r="P9" s="11">
        <f>SUBTOTAL(109,Tableau1[Com ht])</f>
        <v>75032.952000000005</v>
      </c>
      <c r="Q9" s="11">
        <f>SUBTOTAL(109,Tableau1[Tva / Com])</f>
        <v>1355.1982399999999</v>
      </c>
      <c r="R9" s="11">
        <f>SUBTOTAL(109,Tableau1[Com TTC])</f>
        <v>76388.150240000003</v>
      </c>
      <c r="S9" s="15">
        <f>SUBTOTAL(109,Tableau1[Mont reçu])</f>
        <v>45722.002240000002</v>
      </c>
      <c r="W9" s="16">
        <f>SUBTOTAL(109,Tableau1[Solde dû])</f>
        <v>30666.148000000001</v>
      </c>
    </row>
  </sheetData>
  <mergeCells count="1">
    <mergeCell ref="A1:C1"/>
  </mergeCells>
  <pageMargins left="0" right="0" top="0.74803149606299213" bottom="0.74803149606299213" header="0.31496062992125984" footer="0.31496062992125984"/>
  <pageSetup paperSize="9" scale="33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PATH</vt:lpstr>
      <vt:lpstr>Analyses AIB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KALUBI</dc:creator>
  <cp:lastModifiedBy>HP</cp:lastModifiedBy>
  <cp:lastPrinted>2023-11-03T14:50:34Z</cp:lastPrinted>
  <dcterms:created xsi:type="dcterms:W3CDTF">2023-11-03T09:56:20Z</dcterms:created>
  <dcterms:modified xsi:type="dcterms:W3CDTF">2023-11-03T15:07:30Z</dcterms:modified>
</cp:coreProperties>
</file>